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ocaldom.net\TI Folders D02\Organization\C014\Motor\Kommercielle opgaver 2024\TekKat\"/>
    </mc:Choice>
  </mc:AlternateContent>
  <xr:revisionPtr revIDLastSave="0" documentId="13_ncr:1_{4CC40BF9-024D-4142-A396-D22561A5D4AF}" xr6:coauthVersionLast="47" xr6:coauthVersionMax="47" xr10:uidLastSave="{00000000-0000-0000-0000-000000000000}"/>
  <bookViews>
    <workbookView xWindow="-120" yWindow="-120" windowWidth="29040" windowHeight="15840" tabRatio="834" activeTab="4" xr2:uid="{00000000-000D-0000-FFFF-FFFF00000000}"/>
  </bookViews>
  <sheets>
    <sheet name="START PAGE" sheetId="19" r:id="rId1"/>
    <sheet name="Graphs" sheetId="18" r:id="rId2"/>
    <sheet name="Simulations" sheetId="17" r:id="rId3"/>
    <sheet name="References" sheetId="20" r:id="rId4"/>
    <sheet name="Diesel L1" sheetId="2" r:id="rId5"/>
    <sheet name="Diesel L2" sheetId="1" r:id="rId6"/>
    <sheet name="Diesel L3" sheetId="3" r:id="rId7"/>
    <sheet name="Diesel B1" sheetId="4" r:id="rId8"/>
    <sheet name="Diesel B2" sheetId="5" r:id="rId9"/>
    <sheet name="BEV L1" sheetId="6" r:id="rId10"/>
    <sheet name="BEV L2" sheetId="7" r:id="rId11"/>
    <sheet name="BEV L3" sheetId="8" r:id="rId12"/>
    <sheet name="BEV B1" sheetId="9" r:id="rId13"/>
    <sheet name="BEV B2" sheetId="10" r:id="rId14"/>
    <sheet name="FCV L1" sheetId="11" r:id="rId15"/>
    <sheet name="FCV L2" sheetId="12" r:id="rId16"/>
    <sheet name="FCV L3" sheetId="13" r:id="rId17"/>
    <sheet name="FCV B1" sheetId="14" r:id="rId18"/>
    <sheet name="FCV B2" sheetId="15" r:id="rId19"/>
  </sheets>
  <externalReferences>
    <externalReference r:id="rId20"/>
  </externalReferences>
  <definedNames>
    <definedName name="V_MASS">'[1]Front end'!$B$4</definedName>
  </definedNames>
  <calcPr calcId="191029"/>
  <pivotCaches>
    <pivotCache cacheId="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B5" i="2" l="1"/>
  <c r="F5" i="2"/>
  <c r="C6" i="2"/>
  <c r="D6" i="2" s="1"/>
  <c r="E6" i="2" s="1"/>
  <c r="B7" i="2"/>
  <c r="B51" i="2" s="1"/>
  <c r="C8" i="2"/>
  <c r="D8" i="2" s="1"/>
  <c r="G8" i="2"/>
  <c r="G11" i="2" s="1"/>
  <c r="H8" i="2"/>
  <c r="H11" i="2" s="1"/>
  <c r="K8" i="2"/>
  <c r="K11" i="2" s="1"/>
  <c r="L8" i="2"/>
  <c r="L11" i="2" s="1"/>
  <c r="C9" i="2"/>
  <c r="D9" i="2" s="1"/>
  <c r="G9" i="2"/>
  <c r="H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F11" i="2"/>
  <c r="C14" i="2"/>
  <c r="D14" i="2" s="1"/>
  <c r="E14" i="2" s="1"/>
  <c r="C16" i="2"/>
  <c r="D16" i="2"/>
  <c r="E16" i="2" s="1"/>
  <c r="B49" i="2"/>
  <c r="F49" i="2"/>
  <c r="B61" i="2"/>
  <c r="B63" i="2"/>
  <c r="B64" i="2"/>
  <c r="B70" i="2"/>
  <c r="C70" i="2"/>
  <c r="D70" i="2"/>
  <c r="E70" i="2"/>
  <c r="F70" i="2"/>
  <c r="G70" i="2"/>
  <c r="H70" i="2"/>
  <c r="B71" i="2"/>
  <c r="C71" i="2"/>
  <c r="D71" i="2"/>
  <c r="E71" i="2"/>
  <c r="F71" i="2"/>
  <c r="C49" i="2" l="1"/>
  <c r="D49" i="2" s="1"/>
  <c r="E49" i="2" s="1"/>
  <c r="G7" i="2"/>
  <c r="B52" i="2"/>
  <c r="H7" i="2"/>
  <c r="C5" i="2"/>
  <c r="D5" i="2" s="1"/>
  <c r="I8" i="2"/>
  <c r="I11" i="2" s="1"/>
  <c r="E8" i="2"/>
  <c r="J8" i="2"/>
  <c r="J11" i="2" s="1"/>
  <c r="D11" i="2"/>
  <c r="J9" i="2"/>
  <c r="I9" i="2"/>
  <c r="E9" i="2"/>
  <c r="J14" i="2"/>
  <c r="L14" i="2" s="1"/>
  <c r="C11" i="2"/>
  <c r="I14" i="2"/>
  <c r="K14" i="2" s="1"/>
  <c r="E5" i="2" l="1"/>
  <c r="J5" i="2"/>
  <c r="L5" i="2" s="1"/>
  <c r="I5" i="2"/>
  <c r="K5" i="2" s="1"/>
  <c r="E11" i="2"/>
  <c r="B6" i="6" l="1"/>
  <c r="F6" i="6"/>
  <c r="F75" i="10" l="1"/>
  <c r="E75" i="10"/>
  <c r="D75" i="10"/>
  <c r="C75" i="10"/>
  <c r="B75" i="10"/>
  <c r="F75" i="9"/>
  <c r="E75" i="9"/>
  <c r="D75" i="9"/>
  <c r="C75" i="9"/>
  <c r="B75" i="9"/>
  <c r="F75" i="8"/>
  <c r="E75" i="8"/>
  <c r="D75" i="8"/>
  <c r="C75" i="8"/>
  <c r="B75" i="8"/>
  <c r="F75" i="7"/>
  <c r="E75" i="7"/>
  <c r="D75" i="7"/>
  <c r="C75" i="7"/>
  <c r="B75" i="7"/>
  <c r="C71" i="6" l="1"/>
  <c r="D71" i="6" s="1"/>
  <c r="E71" i="6" s="1"/>
  <c r="F72" i="10"/>
  <c r="B72" i="10"/>
  <c r="F72" i="9"/>
  <c r="B72" i="9"/>
  <c r="F72" i="8"/>
  <c r="B72" i="8"/>
  <c r="F72" i="7"/>
  <c r="B72" i="7"/>
  <c r="F73" i="15"/>
  <c r="B73" i="15"/>
  <c r="F73" i="14"/>
  <c r="B73" i="14"/>
  <c r="F73" i="13"/>
  <c r="B73" i="13"/>
  <c r="F73" i="11"/>
  <c r="B73" i="11"/>
  <c r="F73" i="10"/>
  <c r="B73" i="10"/>
  <c r="F73" i="9"/>
  <c r="B73" i="9"/>
  <c r="F73" i="8"/>
  <c r="B73" i="8"/>
  <c r="F73" i="7"/>
  <c r="B73" i="7"/>
  <c r="F73" i="6"/>
  <c r="B73" i="6"/>
  <c r="B72" i="6"/>
  <c r="F6" i="11"/>
  <c r="B6" i="11"/>
  <c r="W3" i="17"/>
  <c r="W4" i="17"/>
  <c r="W11" i="17"/>
  <c r="W12" i="17"/>
  <c r="W13" i="17"/>
  <c r="W20" i="17"/>
  <c r="W21" i="17"/>
  <c r="W22" i="17"/>
  <c r="W29" i="17"/>
  <c r="W30" i="17"/>
  <c r="W31" i="17"/>
  <c r="W38" i="17"/>
  <c r="W39" i="17"/>
  <c r="W40" i="17"/>
  <c r="W47" i="17"/>
  <c r="W48" i="17"/>
  <c r="W49" i="17"/>
  <c r="W56" i="17"/>
  <c r="W57" i="17"/>
  <c r="W58" i="17"/>
  <c r="W65" i="17"/>
  <c r="W66" i="17"/>
  <c r="W67" i="17"/>
  <c r="W74" i="17"/>
  <c r="W75" i="17"/>
  <c r="W76" i="17"/>
  <c r="W83" i="17"/>
  <c r="W84" i="17"/>
  <c r="W85" i="17"/>
  <c r="W92" i="17"/>
  <c r="W93" i="17"/>
  <c r="W94" i="17"/>
  <c r="W101" i="17"/>
  <c r="W102" i="17"/>
  <c r="W103" i="17"/>
  <c r="W110" i="17"/>
  <c r="W111" i="17"/>
  <c r="W112" i="17"/>
  <c r="W119" i="17"/>
  <c r="W120" i="17"/>
  <c r="W121" i="17"/>
  <c r="W128" i="17"/>
  <c r="W129" i="17"/>
  <c r="W130" i="17"/>
  <c r="W137" i="17"/>
  <c r="W138" i="17"/>
  <c r="W139" i="17"/>
  <c r="W146" i="17"/>
  <c r="W147" i="17"/>
  <c r="W148" i="17"/>
  <c r="W155" i="17"/>
  <c r="W156" i="17"/>
  <c r="W157" i="17"/>
  <c r="W164" i="17"/>
  <c r="W165" i="17"/>
  <c r="W166" i="17"/>
  <c r="W173" i="17"/>
  <c r="W174" i="17"/>
  <c r="W175" i="17"/>
  <c r="W182" i="17"/>
  <c r="W183" i="17"/>
  <c r="W184" i="17"/>
  <c r="W191" i="17"/>
  <c r="W192" i="17"/>
  <c r="W193" i="17"/>
  <c r="W200" i="17"/>
  <c r="W201" i="17"/>
  <c r="W202" i="17"/>
  <c r="W209" i="17"/>
  <c r="W210" i="17"/>
  <c r="W211" i="17"/>
  <c r="W218" i="17"/>
  <c r="W219" i="17"/>
  <c r="W220" i="17"/>
  <c r="W227" i="17"/>
  <c r="W228" i="17"/>
  <c r="W229" i="17"/>
  <c r="W236" i="17"/>
  <c r="W237" i="17"/>
  <c r="W238" i="17"/>
  <c r="W245" i="17"/>
  <c r="W246" i="17"/>
  <c r="W247" i="17"/>
  <c r="W254" i="17"/>
  <c r="W255" i="17"/>
  <c r="W256" i="17"/>
  <c r="W263" i="17"/>
  <c r="W264" i="17"/>
  <c r="W265" i="17"/>
  <c r="W2" i="17"/>
  <c r="C72" i="10" l="1"/>
  <c r="D72" i="10" s="1"/>
  <c r="E72" i="10" s="1"/>
  <c r="C72" i="9"/>
  <c r="D72" i="9" s="1"/>
  <c r="E72" i="9" s="1"/>
  <c r="C73" i="8"/>
  <c r="D73" i="8" s="1"/>
  <c r="E73" i="8" s="1"/>
  <c r="C73" i="10"/>
  <c r="D73" i="10" s="1"/>
  <c r="E73" i="10" s="1"/>
  <c r="C72" i="7"/>
  <c r="D72" i="7" s="1"/>
  <c r="E72" i="7" s="1"/>
  <c r="C72" i="8"/>
  <c r="D72" i="8" s="1"/>
  <c r="E72" i="8" s="1"/>
  <c r="C73" i="13"/>
  <c r="D73" i="13" s="1"/>
  <c r="E73" i="13" s="1"/>
  <c r="C73" i="7"/>
  <c r="D73" i="7" s="1"/>
  <c r="E73" i="7" s="1"/>
  <c r="C73" i="9"/>
  <c r="D73" i="9" s="1"/>
  <c r="C73" i="11"/>
  <c r="D73" i="11" s="1"/>
  <c r="E73" i="11" s="1"/>
  <c r="C73" i="15"/>
  <c r="D73" i="15" s="1"/>
  <c r="E73" i="15" s="1"/>
  <c r="C73" i="14"/>
  <c r="D73" i="14" s="1"/>
  <c r="E73" i="14" s="1"/>
  <c r="C73" i="6"/>
  <c r="D73" i="6" s="1"/>
  <c r="E73" i="6" s="1"/>
  <c r="E73" i="9" l="1"/>
  <c r="L10" i="5"/>
  <c r="J10" i="5"/>
  <c r="L10" i="4"/>
  <c r="J10" i="4"/>
  <c r="L10" i="3"/>
  <c r="J10" i="3"/>
  <c r="L10" i="1"/>
  <c r="J10" i="1"/>
  <c r="C10" i="5"/>
  <c r="C11" i="5" s="1"/>
  <c r="B10" i="5"/>
  <c r="B11" i="5" s="1"/>
  <c r="C10" i="4"/>
  <c r="B10" i="4"/>
  <c r="B11" i="4" s="1"/>
  <c r="C10" i="3"/>
  <c r="B10" i="3"/>
  <c r="B11" i="3" s="1"/>
  <c r="C10" i="1"/>
  <c r="B10" i="1"/>
  <c r="F72" i="15" l="1"/>
  <c r="B72" i="15"/>
  <c r="G70" i="15"/>
  <c r="B70" i="15"/>
  <c r="H69" i="15"/>
  <c r="B69" i="15"/>
  <c r="A68" i="15"/>
  <c r="H67" i="15"/>
  <c r="C67" i="15"/>
  <c r="F65" i="15"/>
  <c r="B65" i="15"/>
  <c r="C14" i="15"/>
  <c r="D14" i="15" s="1"/>
  <c r="E14" i="15" s="1"/>
  <c r="F10" i="15"/>
  <c r="C10" i="15"/>
  <c r="B10" i="15"/>
  <c r="E8" i="15"/>
  <c r="E10" i="15" s="1"/>
  <c r="C8" i="15"/>
  <c r="D8" i="15" s="1"/>
  <c r="D10" i="15" s="1"/>
  <c r="H7" i="15"/>
  <c r="G7" i="15"/>
  <c r="F7" i="15"/>
  <c r="C7" i="15"/>
  <c r="B7" i="15"/>
  <c r="H6" i="15"/>
  <c r="G6" i="15"/>
  <c r="F6" i="15"/>
  <c r="E6" i="15"/>
  <c r="D6" i="15"/>
  <c r="C6" i="15"/>
  <c r="B6" i="15"/>
  <c r="B5" i="15"/>
  <c r="H4" i="15"/>
  <c r="G4" i="15"/>
  <c r="C1" i="15"/>
  <c r="F72" i="14"/>
  <c r="B72" i="14"/>
  <c r="G70" i="14"/>
  <c r="D70" i="14"/>
  <c r="C70" i="14"/>
  <c r="H69" i="14"/>
  <c r="G69" i="14"/>
  <c r="H68" i="14"/>
  <c r="F68" i="14"/>
  <c r="C68" i="14"/>
  <c r="B68" i="14"/>
  <c r="A68" i="14"/>
  <c r="G67" i="14"/>
  <c r="F67" i="14"/>
  <c r="E67" i="14"/>
  <c r="F65" i="14"/>
  <c r="B65" i="14"/>
  <c r="D14" i="14"/>
  <c r="E14" i="14" s="1"/>
  <c r="C14" i="14"/>
  <c r="F10" i="14"/>
  <c r="B10" i="14"/>
  <c r="F9" i="14"/>
  <c r="F9" i="15" s="1"/>
  <c r="B9" i="14"/>
  <c r="B9" i="15" s="1"/>
  <c r="C8" i="14"/>
  <c r="F7" i="14"/>
  <c r="B7" i="14"/>
  <c r="K6" i="14"/>
  <c r="I6" i="14"/>
  <c r="H6" i="14"/>
  <c r="G6" i="14"/>
  <c r="F5" i="14"/>
  <c r="B1" i="14"/>
  <c r="F72" i="13"/>
  <c r="B72" i="13"/>
  <c r="H69" i="13"/>
  <c r="G69" i="13"/>
  <c r="F69" i="13"/>
  <c r="E69" i="13"/>
  <c r="D69" i="13"/>
  <c r="C69" i="13"/>
  <c r="B69" i="13"/>
  <c r="H68" i="13"/>
  <c r="G68" i="13"/>
  <c r="C68" i="13"/>
  <c r="A68" i="13"/>
  <c r="F65" i="13"/>
  <c r="B65" i="13"/>
  <c r="F16" i="13"/>
  <c r="B16" i="13"/>
  <c r="F15" i="13"/>
  <c r="C15" i="13"/>
  <c r="B15" i="13"/>
  <c r="C14" i="13"/>
  <c r="D14" i="13" s="1"/>
  <c r="E14" i="13" s="1"/>
  <c r="F10" i="13"/>
  <c r="B10" i="13"/>
  <c r="F9" i="13"/>
  <c r="B9" i="13"/>
  <c r="C8" i="13"/>
  <c r="C10" i="13" s="1"/>
  <c r="C1" i="13"/>
  <c r="F72" i="12"/>
  <c r="B72" i="12"/>
  <c r="G70" i="12"/>
  <c r="F70" i="12"/>
  <c r="B70" i="12"/>
  <c r="H69" i="12"/>
  <c r="G69" i="12"/>
  <c r="F69" i="12"/>
  <c r="E69" i="12"/>
  <c r="D69" i="12"/>
  <c r="C69" i="12"/>
  <c r="B69" i="12"/>
  <c r="H68" i="12"/>
  <c r="G68" i="12"/>
  <c r="C68" i="12"/>
  <c r="A68" i="12"/>
  <c r="E67" i="12"/>
  <c r="D67" i="12"/>
  <c r="F65" i="12"/>
  <c r="B65" i="12"/>
  <c r="B16" i="12"/>
  <c r="F15" i="12"/>
  <c r="D15" i="12"/>
  <c r="C15" i="12"/>
  <c r="B15" i="12"/>
  <c r="F14" i="12"/>
  <c r="F73" i="12" s="1"/>
  <c r="B14" i="12"/>
  <c r="B73" i="12" s="1"/>
  <c r="F10" i="12"/>
  <c r="B10" i="12"/>
  <c r="F9" i="12"/>
  <c r="B9" i="12"/>
  <c r="C8" i="12"/>
  <c r="C10" i="12" s="1"/>
  <c r="A8" i="12"/>
  <c r="F5" i="12"/>
  <c r="B5" i="12"/>
  <c r="C1" i="12"/>
  <c r="F72" i="11"/>
  <c r="B72" i="11"/>
  <c r="F70" i="11"/>
  <c r="H69" i="11"/>
  <c r="G69" i="11"/>
  <c r="F69" i="11"/>
  <c r="E69" i="11"/>
  <c r="D69" i="11"/>
  <c r="C69" i="11"/>
  <c r="B69" i="11"/>
  <c r="G68" i="11"/>
  <c r="G68" i="14" s="1"/>
  <c r="F68" i="11"/>
  <c r="F68" i="13" s="1"/>
  <c r="D68" i="11"/>
  <c r="C68" i="11"/>
  <c r="B68" i="11"/>
  <c r="B68" i="13" s="1"/>
  <c r="C67" i="11"/>
  <c r="F65" i="11"/>
  <c r="B65" i="11"/>
  <c r="E16" i="11"/>
  <c r="D16" i="11"/>
  <c r="C16" i="11"/>
  <c r="F15" i="11"/>
  <c r="E15" i="11"/>
  <c r="D15" i="11"/>
  <c r="C15" i="11"/>
  <c r="B15" i="11"/>
  <c r="E14" i="11"/>
  <c r="E14" i="12" s="1"/>
  <c r="D14" i="11"/>
  <c r="D14" i="12" s="1"/>
  <c r="C14" i="11"/>
  <c r="C14" i="12" s="1"/>
  <c r="F10" i="11"/>
  <c r="B10" i="11"/>
  <c r="F9" i="11"/>
  <c r="B9" i="11"/>
  <c r="C8" i="11"/>
  <c r="C10" i="11" s="1"/>
  <c r="C6" i="11"/>
  <c r="D6" i="11" s="1"/>
  <c r="F5" i="11"/>
  <c r="B5" i="11"/>
  <c r="B4" i="11"/>
  <c r="U100" i="17" s="1"/>
  <c r="C1" i="11"/>
  <c r="R88" i="17"/>
  <c r="S226" i="17"/>
  <c r="S88" i="17"/>
  <c r="D71" i="10"/>
  <c r="B71" i="10"/>
  <c r="P91" i="17" s="1"/>
  <c r="H70" i="10"/>
  <c r="H70" i="15" s="1"/>
  <c r="G70" i="10"/>
  <c r="F70" i="10"/>
  <c r="F70" i="15" s="1"/>
  <c r="E70" i="10"/>
  <c r="E70" i="15" s="1"/>
  <c r="B70" i="10"/>
  <c r="H69" i="10"/>
  <c r="G69" i="10"/>
  <c r="G69" i="15" s="1"/>
  <c r="F69" i="10"/>
  <c r="F69" i="15" s="1"/>
  <c r="E69" i="10"/>
  <c r="E69" i="15" s="1"/>
  <c r="D69" i="10"/>
  <c r="D69" i="15" s="1"/>
  <c r="C69" i="10"/>
  <c r="C69" i="15" s="1"/>
  <c r="B69" i="10"/>
  <c r="A68" i="10"/>
  <c r="H67" i="10"/>
  <c r="G67" i="10"/>
  <c r="G67" i="15" s="1"/>
  <c r="E67" i="10"/>
  <c r="E67" i="15" s="1"/>
  <c r="C67" i="10"/>
  <c r="F65" i="10"/>
  <c r="B65" i="10"/>
  <c r="F16" i="10"/>
  <c r="E16" i="10"/>
  <c r="D16" i="10"/>
  <c r="C16" i="10"/>
  <c r="B16" i="10"/>
  <c r="F15" i="10"/>
  <c r="E15" i="10"/>
  <c r="D15" i="10"/>
  <c r="C15" i="10"/>
  <c r="B15" i="10"/>
  <c r="D14" i="10"/>
  <c r="E14" i="10" s="1"/>
  <c r="C14" i="10"/>
  <c r="F13" i="10"/>
  <c r="E13" i="10"/>
  <c r="D13" i="10"/>
  <c r="C13" i="10"/>
  <c r="B13" i="10"/>
  <c r="F12" i="10"/>
  <c r="E12" i="10"/>
  <c r="D12" i="10"/>
  <c r="C12" i="10"/>
  <c r="B12" i="10"/>
  <c r="F11" i="10"/>
  <c r="C11" i="10"/>
  <c r="B11" i="10"/>
  <c r="E10" i="10"/>
  <c r="C10" i="10"/>
  <c r="D10" i="10" s="1"/>
  <c r="L9" i="10"/>
  <c r="K9" i="10"/>
  <c r="I9" i="10"/>
  <c r="H9" i="10"/>
  <c r="G9" i="10"/>
  <c r="F9" i="10"/>
  <c r="B9" i="10"/>
  <c r="D8" i="10"/>
  <c r="C8" i="10"/>
  <c r="F7" i="10"/>
  <c r="B7" i="10"/>
  <c r="F5" i="10"/>
  <c r="H4" i="10"/>
  <c r="G4" i="10"/>
  <c r="F4" i="10"/>
  <c r="E4" i="10"/>
  <c r="D4" i="10"/>
  <c r="C4" i="10"/>
  <c r="B4" i="10"/>
  <c r="C1" i="10"/>
  <c r="L73" i="9"/>
  <c r="K73" i="9"/>
  <c r="H73" i="9"/>
  <c r="G73" i="9"/>
  <c r="S217" i="17"/>
  <c r="S81" i="17"/>
  <c r="C71" i="9"/>
  <c r="C71" i="10" s="1"/>
  <c r="H70" i="9"/>
  <c r="F70" i="9"/>
  <c r="D70" i="9"/>
  <c r="H69" i="9"/>
  <c r="G69" i="9"/>
  <c r="D69" i="9"/>
  <c r="C69" i="9"/>
  <c r="A68" i="9"/>
  <c r="H67" i="9"/>
  <c r="H67" i="14" s="1"/>
  <c r="G67" i="9"/>
  <c r="F67" i="9"/>
  <c r="E67" i="9"/>
  <c r="D67" i="9"/>
  <c r="D67" i="14" s="1"/>
  <c r="C67" i="9"/>
  <c r="C67" i="14" s="1"/>
  <c r="B67" i="9"/>
  <c r="B67" i="14" s="1"/>
  <c r="F65" i="9"/>
  <c r="B65" i="9"/>
  <c r="F16" i="9"/>
  <c r="E16" i="9"/>
  <c r="D16" i="9"/>
  <c r="C16" i="9"/>
  <c r="B16" i="9"/>
  <c r="F15" i="9"/>
  <c r="E15" i="9"/>
  <c r="D15" i="9"/>
  <c r="C15" i="9"/>
  <c r="B15" i="9"/>
  <c r="D14" i="9"/>
  <c r="C14" i="9"/>
  <c r="F11" i="9"/>
  <c r="B11" i="9"/>
  <c r="C10" i="9"/>
  <c r="D10" i="9" s="1"/>
  <c r="E10" i="9" s="1"/>
  <c r="L9" i="9"/>
  <c r="K9" i="9"/>
  <c r="F9" i="9"/>
  <c r="B9" i="9"/>
  <c r="C8" i="9"/>
  <c r="C11" i="9" s="1"/>
  <c r="F7" i="9"/>
  <c r="B7" i="9"/>
  <c r="F5" i="9"/>
  <c r="C5" i="9"/>
  <c r="D5" i="9" s="1"/>
  <c r="E5" i="9" s="1"/>
  <c r="F4" i="9"/>
  <c r="B4" i="9"/>
  <c r="C1" i="9"/>
  <c r="S207" i="17"/>
  <c r="S71" i="17"/>
  <c r="H69" i="8"/>
  <c r="G69" i="8"/>
  <c r="F69" i="8"/>
  <c r="E69" i="8"/>
  <c r="D69" i="8"/>
  <c r="C69" i="8"/>
  <c r="B69" i="8"/>
  <c r="C68" i="8"/>
  <c r="A68" i="8"/>
  <c r="H67" i="8"/>
  <c r="H67" i="13" s="1"/>
  <c r="G67" i="8"/>
  <c r="G67" i="13" s="1"/>
  <c r="F67" i="8"/>
  <c r="F67" i="13" s="1"/>
  <c r="E67" i="8"/>
  <c r="E67" i="13" s="1"/>
  <c r="D67" i="8"/>
  <c r="D67" i="13" s="1"/>
  <c r="C67" i="8"/>
  <c r="C67" i="13" s="1"/>
  <c r="B67" i="8"/>
  <c r="B67" i="13" s="1"/>
  <c r="F65" i="8"/>
  <c r="B65" i="8"/>
  <c r="L16" i="8"/>
  <c r="K16" i="8"/>
  <c r="J16" i="8"/>
  <c r="I16" i="8"/>
  <c r="H16" i="8"/>
  <c r="G16" i="8"/>
  <c r="F16" i="8"/>
  <c r="B16" i="8"/>
  <c r="L15" i="8"/>
  <c r="K15" i="8"/>
  <c r="J15" i="8"/>
  <c r="I15" i="8"/>
  <c r="H15" i="8"/>
  <c r="G15" i="8"/>
  <c r="F15" i="8"/>
  <c r="B15" i="8"/>
  <c r="C14" i="8"/>
  <c r="D14" i="8" s="1"/>
  <c r="F11" i="8"/>
  <c r="B11" i="8"/>
  <c r="C10" i="8"/>
  <c r="D10" i="8" s="1"/>
  <c r="E10" i="8" s="1"/>
  <c r="L9" i="8"/>
  <c r="K9" i="8"/>
  <c r="H9" i="8"/>
  <c r="F9" i="8"/>
  <c r="B9" i="8"/>
  <c r="C8" i="8"/>
  <c r="L6" i="8"/>
  <c r="K6" i="8"/>
  <c r="J6" i="8"/>
  <c r="I6" i="8"/>
  <c r="H6" i="8"/>
  <c r="G6" i="8"/>
  <c r="F6" i="8"/>
  <c r="F6" i="13" s="1"/>
  <c r="B6" i="8"/>
  <c r="B6" i="13" s="1"/>
  <c r="S196" i="17"/>
  <c r="S63" i="17"/>
  <c r="F70" i="7"/>
  <c r="E70" i="7"/>
  <c r="B70" i="7"/>
  <c r="H69" i="7"/>
  <c r="G69" i="7"/>
  <c r="F69" i="7"/>
  <c r="E69" i="7"/>
  <c r="D69" i="7"/>
  <c r="C69" i="7"/>
  <c r="B69" i="7"/>
  <c r="A68" i="7"/>
  <c r="H67" i="7"/>
  <c r="H67" i="12" s="1"/>
  <c r="G67" i="7"/>
  <c r="G67" i="12" s="1"/>
  <c r="F67" i="7"/>
  <c r="F67" i="12" s="1"/>
  <c r="E67" i="7"/>
  <c r="D67" i="7"/>
  <c r="C67" i="7"/>
  <c r="C67" i="12" s="1"/>
  <c r="B67" i="7"/>
  <c r="B67" i="12" s="1"/>
  <c r="F65" i="7"/>
  <c r="B65" i="7"/>
  <c r="L16" i="7"/>
  <c r="K16" i="7"/>
  <c r="J16" i="7"/>
  <c r="I16" i="7"/>
  <c r="H16" i="7"/>
  <c r="G16" i="7"/>
  <c r="F16" i="7"/>
  <c r="C16" i="7"/>
  <c r="B16" i="7"/>
  <c r="L15" i="7"/>
  <c r="K15" i="7"/>
  <c r="J15" i="7"/>
  <c r="I15" i="7"/>
  <c r="H15" i="7"/>
  <c r="G15" i="7"/>
  <c r="F15" i="7"/>
  <c r="C15" i="7"/>
  <c r="B15" i="7"/>
  <c r="D14" i="7"/>
  <c r="E14" i="7" s="1"/>
  <c r="C14" i="7"/>
  <c r="F13" i="7"/>
  <c r="E13" i="7"/>
  <c r="D13" i="7"/>
  <c r="C13" i="7"/>
  <c r="B13" i="7"/>
  <c r="F12" i="7"/>
  <c r="E12" i="7"/>
  <c r="D12" i="7"/>
  <c r="C12" i="7"/>
  <c r="B12" i="7"/>
  <c r="F11" i="7"/>
  <c r="B11" i="7"/>
  <c r="E10" i="7"/>
  <c r="D10" i="7"/>
  <c r="C10" i="7"/>
  <c r="L9" i="7"/>
  <c r="K9" i="7"/>
  <c r="F9" i="7"/>
  <c r="B9" i="7"/>
  <c r="D8" i="7"/>
  <c r="C8" i="7"/>
  <c r="L6" i="7"/>
  <c r="K6" i="7"/>
  <c r="J6" i="7"/>
  <c r="I6" i="7"/>
  <c r="H6" i="7"/>
  <c r="G6" i="7"/>
  <c r="F6" i="7"/>
  <c r="F6" i="12" s="1"/>
  <c r="B6" i="7"/>
  <c r="B6" i="12" s="1"/>
  <c r="F75" i="11"/>
  <c r="D74" i="7"/>
  <c r="B75" i="11"/>
  <c r="L73" i="6"/>
  <c r="J73" i="6" s="1"/>
  <c r="K73" i="6"/>
  <c r="I73" i="6" s="1"/>
  <c r="R189" i="17"/>
  <c r="R55" i="17"/>
  <c r="F72" i="6"/>
  <c r="F70" i="6"/>
  <c r="B70" i="6"/>
  <c r="H69" i="6"/>
  <c r="G69" i="6"/>
  <c r="F69" i="6"/>
  <c r="E69" i="6"/>
  <c r="D69" i="6"/>
  <c r="C69" i="6"/>
  <c r="B69" i="6"/>
  <c r="H67" i="6"/>
  <c r="G67" i="6"/>
  <c r="G67" i="11" s="1"/>
  <c r="F67" i="6"/>
  <c r="E67" i="6"/>
  <c r="D67" i="6"/>
  <c r="C67" i="6"/>
  <c r="C68" i="6" s="1"/>
  <c r="C68" i="9" s="1"/>
  <c r="B67" i="6"/>
  <c r="F65" i="6"/>
  <c r="B65" i="6"/>
  <c r="F16" i="6"/>
  <c r="C16" i="6"/>
  <c r="B16" i="6"/>
  <c r="F15" i="6"/>
  <c r="E15" i="6"/>
  <c r="D15" i="6"/>
  <c r="C15" i="6"/>
  <c r="B15" i="6"/>
  <c r="C14" i="6"/>
  <c r="G73" i="6" s="1"/>
  <c r="F13" i="6"/>
  <c r="E13" i="6"/>
  <c r="D13" i="6"/>
  <c r="C13" i="6"/>
  <c r="B13" i="6"/>
  <c r="F12" i="6"/>
  <c r="E12" i="6"/>
  <c r="D12" i="6"/>
  <c r="C12" i="6"/>
  <c r="B12" i="6"/>
  <c r="F11" i="6"/>
  <c r="B11" i="6"/>
  <c r="C10" i="6"/>
  <c r="D10" i="6" s="1"/>
  <c r="E10" i="6" s="1"/>
  <c r="L9" i="6"/>
  <c r="K9" i="6"/>
  <c r="F9" i="6"/>
  <c r="B9" i="6"/>
  <c r="C8" i="6"/>
  <c r="D8" i="6" s="1"/>
  <c r="I9" i="6" s="1"/>
  <c r="B7" i="6"/>
  <c r="L6" i="6"/>
  <c r="K6" i="6"/>
  <c r="J6" i="6"/>
  <c r="I6" i="6"/>
  <c r="H6" i="6"/>
  <c r="G6" i="6"/>
  <c r="B5" i="6"/>
  <c r="B5" i="7" s="1"/>
  <c r="F5" i="7" s="1"/>
  <c r="H75" i="5"/>
  <c r="G75" i="5"/>
  <c r="H74" i="5"/>
  <c r="G74" i="5"/>
  <c r="F73" i="5"/>
  <c r="E73" i="5"/>
  <c r="D73" i="5"/>
  <c r="C73" i="5"/>
  <c r="B73" i="5"/>
  <c r="F72" i="5"/>
  <c r="S178" i="17" s="1"/>
  <c r="E72" i="5"/>
  <c r="D72" i="5"/>
  <c r="C72" i="5"/>
  <c r="B72" i="5"/>
  <c r="S38" i="17" s="1"/>
  <c r="A72" i="5"/>
  <c r="F70" i="5"/>
  <c r="E70" i="5"/>
  <c r="D70" i="5"/>
  <c r="D70" i="10" s="1"/>
  <c r="D70" i="15" s="1"/>
  <c r="C70" i="5"/>
  <c r="C70" i="10" s="1"/>
  <c r="C70" i="15" s="1"/>
  <c r="B70" i="5"/>
  <c r="H68" i="5"/>
  <c r="G68" i="5"/>
  <c r="F68" i="5"/>
  <c r="E68" i="5"/>
  <c r="D68" i="5"/>
  <c r="C68" i="5"/>
  <c r="B68" i="5"/>
  <c r="H67" i="5"/>
  <c r="G67" i="5"/>
  <c r="F67" i="5"/>
  <c r="F67" i="10" s="1"/>
  <c r="F67" i="15" s="1"/>
  <c r="E67" i="5"/>
  <c r="D67" i="5"/>
  <c r="D67" i="10" s="1"/>
  <c r="D67" i="15" s="1"/>
  <c r="C67" i="5"/>
  <c r="B67" i="5"/>
  <c r="B67" i="10" s="1"/>
  <c r="B67" i="15" s="1"/>
  <c r="B64" i="5"/>
  <c r="B63" i="5"/>
  <c r="B61" i="5"/>
  <c r="B52" i="5"/>
  <c r="B51" i="5"/>
  <c r="B49" i="5"/>
  <c r="F9" i="5"/>
  <c r="L9" i="5" s="1"/>
  <c r="D9" i="5"/>
  <c r="J9" i="5" s="1"/>
  <c r="C9" i="5"/>
  <c r="B9" i="5"/>
  <c r="G9" i="5" s="1"/>
  <c r="L8" i="5"/>
  <c r="K8" i="5"/>
  <c r="J8" i="5"/>
  <c r="I8" i="5"/>
  <c r="H8" i="5"/>
  <c r="G8" i="5"/>
  <c r="L7" i="5"/>
  <c r="D7" i="5"/>
  <c r="C7" i="5"/>
  <c r="C7" i="10" s="1"/>
  <c r="K6" i="5"/>
  <c r="J6" i="5"/>
  <c r="L6" i="5" s="1"/>
  <c r="I6" i="5"/>
  <c r="F5" i="5"/>
  <c r="C5" i="5" s="1"/>
  <c r="L4" i="5"/>
  <c r="K7" i="5" s="1"/>
  <c r="K4" i="5"/>
  <c r="J4" i="5"/>
  <c r="I4" i="5"/>
  <c r="H75" i="4"/>
  <c r="G75" i="4"/>
  <c r="H74" i="4"/>
  <c r="G74" i="4"/>
  <c r="F72" i="4"/>
  <c r="S172" i="17" s="1"/>
  <c r="E72" i="4"/>
  <c r="D72" i="4"/>
  <c r="C72" i="4"/>
  <c r="B72" i="4"/>
  <c r="S36" i="17" s="1"/>
  <c r="A72" i="4"/>
  <c r="H70" i="4"/>
  <c r="H70" i="14" s="1"/>
  <c r="G70" i="4"/>
  <c r="G70" i="9" s="1"/>
  <c r="F70" i="4"/>
  <c r="F70" i="14" s="1"/>
  <c r="E70" i="4"/>
  <c r="D70" i="4"/>
  <c r="D69" i="4" s="1"/>
  <c r="D69" i="14" s="1"/>
  <c r="C70" i="4"/>
  <c r="C70" i="9" s="1"/>
  <c r="B70" i="4"/>
  <c r="B70" i="14" s="1"/>
  <c r="C69" i="4"/>
  <c r="C69" i="14" s="1"/>
  <c r="B69" i="4"/>
  <c r="B69" i="9" s="1"/>
  <c r="H68" i="4"/>
  <c r="G68" i="4"/>
  <c r="F68" i="4"/>
  <c r="E68" i="4"/>
  <c r="D68" i="4"/>
  <c r="C68" i="4"/>
  <c r="B68" i="4"/>
  <c r="B64" i="4"/>
  <c r="B63" i="4"/>
  <c r="B61" i="4"/>
  <c r="B52" i="4"/>
  <c r="B51" i="4"/>
  <c r="B49" i="4"/>
  <c r="F9" i="4"/>
  <c r="D9" i="4"/>
  <c r="J9" i="4" s="1"/>
  <c r="C9" i="4"/>
  <c r="B9" i="4"/>
  <c r="G9" i="4" s="1"/>
  <c r="L8" i="4"/>
  <c r="K8" i="4"/>
  <c r="K11" i="4" s="1"/>
  <c r="H8" i="4"/>
  <c r="G8" i="4"/>
  <c r="C8" i="4"/>
  <c r="H7" i="4"/>
  <c r="G7" i="4"/>
  <c r="C7" i="4"/>
  <c r="C7" i="9" s="1"/>
  <c r="C6" i="4"/>
  <c r="F5" i="4"/>
  <c r="C5" i="4" s="1"/>
  <c r="C4" i="4"/>
  <c r="H75" i="3"/>
  <c r="G75" i="3"/>
  <c r="H74" i="3"/>
  <c r="G74" i="3"/>
  <c r="F73" i="3"/>
  <c r="R161" i="17" s="1"/>
  <c r="E73" i="3"/>
  <c r="D73" i="3"/>
  <c r="C73" i="3"/>
  <c r="B73" i="3"/>
  <c r="R22" i="17" s="1"/>
  <c r="F72" i="3"/>
  <c r="S160" i="17" s="1"/>
  <c r="E72" i="3"/>
  <c r="D72" i="3"/>
  <c r="C72" i="3"/>
  <c r="B72" i="3"/>
  <c r="S28" i="17" s="1"/>
  <c r="A72" i="3"/>
  <c r="F71" i="3"/>
  <c r="P160" i="17" s="1"/>
  <c r="E71" i="3"/>
  <c r="D71" i="3"/>
  <c r="C71" i="3"/>
  <c r="B71" i="3"/>
  <c r="P21" i="17" s="1"/>
  <c r="F70" i="3"/>
  <c r="F70" i="13" s="1"/>
  <c r="E70" i="3"/>
  <c r="D70" i="3"/>
  <c r="D70" i="13" s="1"/>
  <c r="C70" i="3"/>
  <c r="C70" i="8" s="1"/>
  <c r="B70" i="3"/>
  <c r="B70" i="8" s="1"/>
  <c r="H68" i="3"/>
  <c r="G68" i="3"/>
  <c r="F68" i="3"/>
  <c r="E68" i="3"/>
  <c r="D68" i="3"/>
  <c r="C68" i="3"/>
  <c r="B68" i="3"/>
  <c r="B64" i="3"/>
  <c r="B63" i="3"/>
  <c r="B61" i="3"/>
  <c r="C16" i="3"/>
  <c r="D16" i="3" s="1"/>
  <c r="D16" i="8" s="1"/>
  <c r="C15" i="3"/>
  <c r="D15" i="3" s="1"/>
  <c r="F9" i="3"/>
  <c r="K9" i="3" s="1"/>
  <c r="D9" i="3"/>
  <c r="I9" i="3" s="1"/>
  <c r="C9" i="3"/>
  <c r="B9" i="3"/>
  <c r="G9" i="3" s="1"/>
  <c r="L8" i="3"/>
  <c r="K8" i="3"/>
  <c r="K11" i="3" s="1"/>
  <c r="H8" i="3"/>
  <c r="G8" i="3"/>
  <c r="C8" i="3"/>
  <c r="C11" i="3" s="1"/>
  <c r="A8" i="3"/>
  <c r="C6" i="3"/>
  <c r="C6" i="8" s="1"/>
  <c r="H5" i="3"/>
  <c r="G4" i="3" s="1"/>
  <c r="G5" i="3"/>
  <c r="H4" i="3" s="1"/>
  <c r="B5" i="3"/>
  <c r="F73" i="1"/>
  <c r="E73" i="1"/>
  <c r="D73" i="1"/>
  <c r="C73" i="1"/>
  <c r="B73" i="1"/>
  <c r="F72" i="1"/>
  <c r="S147" i="17" s="1"/>
  <c r="E72" i="1"/>
  <c r="D72" i="1"/>
  <c r="C72" i="1"/>
  <c r="B72" i="1"/>
  <c r="A72" i="1"/>
  <c r="F71" i="1"/>
  <c r="E71" i="1"/>
  <c r="D71" i="1"/>
  <c r="C71" i="1"/>
  <c r="B71" i="1"/>
  <c r="H70" i="1"/>
  <c r="H70" i="12" s="1"/>
  <c r="G70" i="1"/>
  <c r="F70" i="1"/>
  <c r="E70" i="1"/>
  <c r="E70" i="12" s="1"/>
  <c r="D70" i="1"/>
  <c r="C70" i="1"/>
  <c r="B70" i="1"/>
  <c r="H68" i="1"/>
  <c r="G68" i="1"/>
  <c r="F68" i="1"/>
  <c r="E68" i="1"/>
  <c r="D68" i="1"/>
  <c r="C68" i="1"/>
  <c r="B68" i="1"/>
  <c r="B64" i="1"/>
  <c r="B63" i="1"/>
  <c r="B61" i="1"/>
  <c r="C16" i="1"/>
  <c r="D16" i="1" s="1"/>
  <c r="E16" i="1" s="1"/>
  <c r="E16" i="7" s="1"/>
  <c r="E15" i="1"/>
  <c r="D15" i="1"/>
  <c r="D15" i="7" s="1"/>
  <c r="C15" i="1"/>
  <c r="F14" i="1"/>
  <c r="E14" i="1"/>
  <c r="D14" i="1"/>
  <c r="C14" i="1"/>
  <c r="B14" i="1"/>
  <c r="F9" i="1"/>
  <c r="K9" i="1" s="1"/>
  <c r="D9" i="1"/>
  <c r="I9" i="1" s="1"/>
  <c r="C9" i="1"/>
  <c r="B9" i="1"/>
  <c r="H9" i="1" s="1"/>
  <c r="L8" i="1"/>
  <c r="K8" i="1"/>
  <c r="K11" i="1" s="1"/>
  <c r="B8" i="1"/>
  <c r="B11" i="1" s="1"/>
  <c r="A8" i="1"/>
  <c r="C6" i="1"/>
  <c r="C6" i="7" s="1"/>
  <c r="H5" i="1"/>
  <c r="G4" i="1" s="1"/>
  <c r="G5" i="1"/>
  <c r="H4" i="1"/>
  <c r="H70" i="6"/>
  <c r="G70" i="6"/>
  <c r="D70" i="6"/>
  <c r="C70" i="6"/>
  <c r="B70" i="11"/>
  <c r="D16" i="6"/>
  <c r="E9" i="1"/>
  <c r="C6" i="6"/>
  <c r="V271" i="17"/>
  <c r="K271" i="17"/>
  <c r="J271" i="17"/>
  <c r="I271" i="17"/>
  <c r="H271" i="17"/>
  <c r="G271" i="17"/>
  <c r="F271" i="17"/>
  <c r="E271" i="17"/>
  <c r="D271" i="17"/>
  <c r="C271" i="17"/>
  <c r="B271" i="17"/>
  <c r="A271" i="17"/>
  <c r="N271" i="17" s="1"/>
  <c r="V270" i="17"/>
  <c r="K270" i="17"/>
  <c r="J270" i="17"/>
  <c r="I270" i="17"/>
  <c r="H270" i="17"/>
  <c r="G270" i="17"/>
  <c r="F270" i="17"/>
  <c r="E270" i="17"/>
  <c r="D270" i="17"/>
  <c r="C270" i="17"/>
  <c r="B270" i="17"/>
  <c r="A270" i="17"/>
  <c r="N270" i="17" s="1"/>
  <c r="V269" i="17"/>
  <c r="K269" i="17"/>
  <c r="J269" i="17"/>
  <c r="I269" i="17"/>
  <c r="H269" i="17"/>
  <c r="G269" i="17"/>
  <c r="F269" i="17"/>
  <c r="E269" i="17"/>
  <c r="D269" i="17"/>
  <c r="C269" i="17"/>
  <c r="B269" i="17"/>
  <c r="A269" i="17"/>
  <c r="M269" i="17" s="1"/>
  <c r="V268" i="17"/>
  <c r="S268" i="17"/>
  <c r="K268" i="17"/>
  <c r="J268" i="17"/>
  <c r="I268" i="17"/>
  <c r="H268" i="17"/>
  <c r="G268" i="17"/>
  <c r="F21" i="15" s="1"/>
  <c r="F268" i="17"/>
  <c r="E268" i="17"/>
  <c r="D268" i="17"/>
  <c r="C268" i="17"/>
  <c r="B268" i="17"/>
  <c r="A268" i="17"/>
  <c r="M268" i="17" s="1"/>
  <c r="V267" i="17"/>
  <c r="S267" i="17"/>
  <c r="K267" i="17"/>
  <c r="J267" i="17"/>
  <c r="I267" i="17"/>
  <c r="H267" i="17"/>
  <c r="G267" i="17"/>
  <c r="F20" i="15" s="1"/>
  <c r="F267" i="17"/>
  <c r="E267" i="17"/>
  <c r="D267" i="17"/>
  <c r="C267" i="17"/>
  <c r="B267" i="17"/>
  <c r="A267" i="17"/>
  <c r="M267" i="17" s="1"/>
  <c r="V266" i="17"/>
  <c r="K266" i="17"/>
  <c r="J266" i="17"/>
  <c r="I266" i="17"/>
  <c r="H266" i="17"/>
  <c r="G266" i="17"/>
  <c r="F19" i="15" s="1"/>
  <c r="F266" i="17"/>
  <c r="E266" i="17"/>
  <c r="D266" i="17"/>
  <c r="C266" i="17"/>
  <c r="B266" i="17"/>
  <c r="A266" i="17"/>
  <c r="N266" i="17" s="1"/>
  <c r="X265" i="17"/>
  <c r="K265" i="17"/>
  <c r="J265" i="17"/>
  <c r="I265" i="17"/>
  <c r="H265" i="17"/>
  <c r="G265" i="17"/>
  <c r="F265" i="17"/>
  <c r="E265" i="17"/>
  <c r="D265" i="17"/>
  <c r="C265" i="17"/>
  <c r="B265" i="17"/>
  <c r="A265" i="17"/>
  <c r="M265" i="17" s="1"/>
  <c r="X264" i="17"/>
  <c r="K264" i="17"/>
  <c r="J264" i="17"/>
  <c r="I264" i="17"/>
  <c r="H264" i="17"/>
  <c r="G264" i="17"/>
  <c r="F264" i="17"/>
  <c r="E264" i="17"/>
  <c r="D264" i="17"/>
  <c r="C264" i="17"/>
  <c r="B264" i="17"/>
  <c r="A264" i="17"/>
  <c r="M264" i="17" s="1"/>
  <c r="X263" i="17"/>
  <c r="S263" i="17"/>
  <c r="K263" i="17"/>
  <c r="J263" i="17"/>
  <c r="I263" i="17"/>
  <c r="H263" i="17"/>
  <c r="G263" i="17"/>
  <c r="F263" i="17"/>
  <c r="E263" i="17"/>
  <c r="D263" i="17"/>
  <c r="C263" i="17"/>
  <c r="B263" i="17"/>
  <c r="A263" i="17"/>
  <c r="M263" i="17" s="1"/>
  <c r="V262" i="17"/>
  <c r="K262" i="17"/>
  <c r="J262" i="17"/>
  <c r="I262" i="17"/>
  <c r="H262" i="17"/>
  <c r="G262" i="17"/>
  <c r="F262" i="17"/>
  <c r="E262" i="17"/>
  <c r="D262" i="17"/>
  <c r="C262" i="17"/>
  <c r="B262" i="17"/>
  <c r="A262" i="17"/>
  <c r="V261" i="17"/>
  <c r="K261" i="17"/>
  <c r="J261" i="17"/>
  <c r="I261" i="17"/>
  <c r="H261" i="17"/>
  <c r="G261" i="17"/>
  <c r="F261" i="17"/>
  <c r="E261" i="17"/>
  <c r="D261" i="17"/>
  <c r="C261" i="17"/>
  <c r="B261" i="17"/>
  <c r="A261" i="17"/>
  <c r="M261" i="17" s="1"/>
  <c r="V260" i="17"/>
  <c r="K260" i="17"/>
  <c r="J260" i="17"/>
  <c r="I260" i="17"/>
  <c r="H260" i="17"/>
  <c r="G260" i="17"/>
  <c r="F260" i="17"/>
  <c r="E260" i="17"/>
  <c r="D260" i="17"/>
  <c r="C260" i="17"/>
  <c r="B260" i="17"/>
  <c r="A260" i="17"/>
  <c r="M260" i="17" s="1"/>
  <c r="V259" i="17"/>
  <c r="K259" i="17"/>
  <c r="J259" i="17"/>
  <c r="I259" i="17"/>
  <c r="H259" i="17"/>
  <c r="G259" i="17"/>
  <c r="F21" i="14" s="1"/>
  <c r="F259" i="17"/>
  <c r="E259" i="17"/>
  <c r="D259" i="17"/>
  <c r="C259" i="17"/>
  <c r="B259" i="17"/>
  <c r="A259" i="17"/>
  <c r="N259" i="17" s="1"/>
  <c r="V258" i="17"/>
  <c r="K258" i="17"/>
  <c r="J258" i="17"/>
  <c r="I258" i="17"/>
  <c r="H258" i="17"/>
  <c r="G258" i="17"/>
  <c r="F20" i="14" s="1"/>
  <c r="F258" i="17"/>
  <c r="E258" i="17"/>
  <c r="D258" i="17"/>
  <c r="C258" i="17"/>
  <c r="B258" i="17"/>
  <c r="A258" i="17"/>
  <c r="V257" i="17"/>
  <c r="K257" i="17"/>
  <c r="J257" i="17"/>
  <c r="I257" i="17"/>
  <c r="H257" i="17"/>
  <c r="G257" i="17"/>
  <c r="F19" i="14" s="1"/>
  <c r="F257" i="17"/>
  <c r="E257" i="17"/>
  <c r="D257" i="17"/>
  <c r="C257" i="17"/>
  <c r="B257" i="17"/>
  <c r="A257" i="17"/>
  <c r="M257" i="17" s="1"/>
  <c r="X256" i="17"/>
  <c r="K256" i="17"/>
  <c r="J256" i="17"/>
  <c r="I256" i="17"/>
  <c r="H256" i="17"/>
  <c r="G256" i="17"/>
  <c r="F256" i="17"/>
  <c r="E256" i="17"/>
  <c r="D256" i="17"/>
  <c r="C256" i="17"/>
  <c r="B256" i="17"/>
  <c r="A256" i="17"/>
  <c r="M256" i="17" s="1"/>
  <c r="X255" i="17"/>
  <c r="K255" i="17"/>
  <c r="J255" i="17"/>
  <c r="I255" i="17"/>
  <c r="H255" i="17"/>
  <c r="G255" i="17"/>
  <c r="F255" i="17"/>
  <c r="E255" i="17"/>
  <c r="D255" i="17"/>
  <c r="C255" i="17"/>
  <c r="B255" i="17"/>
  <c r="A255" i="17"/>
  <c r="M255" i="17" s="1"/>
  <c r="X254" i="17"/>
  <c r="K254" i="17"/>
  <c r="J254" i="17"/>
  <c r="I254" i="17"/>
  <c r="H254" i="17"/>
  <c r="G254" i="17"/>
  <c r="F254" i="17"/>
  <c r="E254" i="17"/>
  <c r="D254" i="17"/>
  <c r="C254" i="17"/>
  <c r="B254" i="17"/>
  <c r="A254" i="17"/>
  <c r="M254" i="17" s="1"/>
  <c r="X253" i="17"/>
  <c r="K253" i="17"/>
  <c r="J253" i="17"/>
  <c r="I253" i="17"/>
  <c r="H253" i="17"/>
  <c r="G253" i="17"/>
  <c r="F253" i="17"/>
  <c r="E253" i="17"/>
  <c r="D253" i="17"/>
  <c r="C253" i="17"/>
  <c r="B253" i="17"/>
  <c r="A253" i="17"/>
  <c r="M253" i="17" s="1"/>
  <c r="X252" i="17"/>
  <c r="K252" i="17"/>
  <c r="J252" i="17"/>
  <c r="I252" i="17"/>
  <c r="H252" i="17"/>
  <c r="G252" i="17"/>
  <c r="F252" i="17"/>
  <c r="E252" i="17"/>
  <c r="D252" i="17"/>
  <c r="C252" i="17"/>
  <c r="B252" i="17"/>
  <c r="A252" i="17"/>
  <c r="M252" i="17" s="1"/>
  <c r="X251" i="17"/>
  <c r="K251" i="17"/>
  <c r="J251" i="17"/>
  <c r="I251" i="17"/>
  <c r="H251" i="17"/>
  <c r="G251" i="17"/>
  <c r="F251" i="17"/>
  <c r="E251" i="17"/>
  <c r="D251" i="17"/>
  <c r="C251" i="17"/>
  <c r="B251" i="17"/>
  <c r="A251" i="17"/>
  <c r="M251" i="17" s="1"/>
  <c r="X250" i="17"/>
  <c r="K250" i="17"/>
  <c r="J250" i="17"/>
  <c r="I250" i="17"/>
  <c r="H250" i="17"/>
  <c r="G250" i="17"/>
  <c r="F21" i="13" s="1"/>
  <c r="F250" i="17"/>
  <c r="E250" i="17"/>
  <c r="D250" i="17"/>
  <c r="C250" i="17"/>
  <c r="B250" i="17"/>
  <c r="A250" i="17"/>
  <c r="X249" i="17"/>
  <c r="K249" i="17"/>
  <c r="J249" i="17"/>
  <c r="I249" i="17"/>
  <c r="H249" i="17"/>
  <c r="G249" i="17"/>
  <c r="F20" i="13" s="1"/>
  <c r="F249" i="17"/>
  <c r="E249" i="17"/>
  <c r="D249" i="17"/>
  <c r="C249" i="17"/>
  <c r="B249" i="17"/>
  <c r="A249" i="17"/>
  <c r="X248" i="17"/>
  <c r="K248" i="17"/>
  <c r="J248" i="17"/>
  <c r="I248" i="17"/>
  <c r="H248" i="17"/>
  <c r="G248" i="17"/>
  <c r="F19" i="13" s="1"/>
  <c r="F248" i="17"/>
  <c r="E248" i="17"/>
  <c r="D248" i="17"/>
  <c r="C248" i="17"/>
  <c r="B248" i="17"/>
  <c r="A248" i="17"/>
  <c r="X247" i="17"/>
  <c r="K247" i="17"/>
  <c r="J247" i="17"/>
  <c r="I247" i="17"/>
  <c r="H247" i="17"/>
  <c r="G247" i="17"/>
  <c r="F247" i="17"/>
  <c r="E247" i="17"/>
  <c r="D247" i="17"/>
  <c r="C247" i="17"/>
  <c r="B247" i="17"/>
  <c r="A247" i="17"/>
  <c r="M247" i="17" s="1"/>
  <c r="X246" i="17"/>
  <c r="K246" i="17"/>
  <c r="J246" i="17"/>
  <c r="I246" i="17"/>
  <c r="H246" i="17"/>
  <c r="G246" i="17"/>
  <c r="F246" i="17"/>
  <c r="E246" i="17"/>
  <c r="D246" i="17"/>
  <c r="C246" i="17"/>
  <c r="B246" i="17"/>
  <c r="A246" i="17"/>
  <c r="M246" i="17" s="1"/>
  <c r="X245" i="17"/>
  <c r="K245" i="17"/>
  <c r="J245" i="17"/>
  <c r="I245" i="17"/>
  <c r="H245" i="17"/>
  <c r="G245" i="17"/>
  <c r="F245" i="17"/>
  <c r="E245" i="17"/>
  <c r="D245" i="17"/>
  <c r="C245" i="17"/>
  <c r="B245" i="17"/>
  <c r="A245" i="17"/>
  <c r="X244" i="17"/>
  <c r="K244" i="17"/>
  <c r="J244" i="17"/>
  <c r="I244" i="17"/>
  <c r="H244" i="17"/>
  <c r="G244" i="17"/>
  <c r="F244" i="17"/>
  <c r="E244" i="17"/>
  <c r="D244" i="17"/>
  <c r="C244" i="17"/>
  <c r="B244" i="17"/>
  <c r="A244" i="17"/>
  <c r="N244" i="17" s="1"/>
  <c r="X243" i="17"/>
  <c r="K243" i="17"/>
  <c r="J243" i="17"/>
  <c r="I243" i="17"/>
  <c r="H243" i="17"/>
  <c r="G243" i="17"/>
  <c r="F243" i="17"/>
  <c r="E243" i="17"/>
  <c r="D243" i="17"/>
  <c r="C243" i="17"/>
  <c r="B243" i="17"/>
  <c r="A243" i="17"/>
  <c r="L243" i="17" s="1"/>
  <c r="X242" i="17"/>
  <c r="K242" i="17"/>
  <c r="J242" i="17"/>
  <c r="I242" i="17"/>
  <c r="H242" i="17"/>
  <c r="G242" i="17"/>
  <c r="F242" i="17"/>
  <c r="E242" i="17"/>
  <c r="D242" i="17"/>
  <c r="C242" i="17"/>
  <c r="B242" i="17"/>
  <c r="A242" i="17"/>
  <c r="N242" i="17" s="1"/>
  <c r="X241" i="17"/>
  <c r="K241" i="17"/>
  <c r="J241" i="17"/>
  <c r="I241" i="17"/>
  <c r="H241" i="17"/>
  <c r="G241" i="17"/>
  <c r="F21" i="12" s="1"/>
  <c r="F241" i="17"/>
  <c r="E241" i="17"/>
  <c r="D241" i="17"/>
  <c r="C241" i="17"/>
  <c r="B241" i="17"/>
  <c r="A241" i="17"/>
  <c r="M241" i="17" s="1"/>
  <c r="X240" i="17"/>
  <c r="K240" i="17"/>
  <c r="J240" i="17"/>
  <c r="I240" i="17"/>
  <c r="H240" i="17"/>
  <c r="G240" i="17"/>
  <c r="F20" i="12" s="1"/>
  <c r="F240" i="17"/>
  <c r="E240" i="17"/>
  <c r="D240" i="17"/>
  <c r="C240" i="17"/>
  <c r="B240" i="17"/>
  <c r="A240" i="17"/>
  <c r="N240" i="17" s="1"/>
  <c r="X239" i="17"/>
  <c r="K239" i="17"/>
  <c r="J239" i="17"/>
  <c r="I239" i="17"/>
  <c r="H239" i="17"/>
  <c r="G239" i="17"/>
  <c r="F19" i="12" s="1"/>
  <c r="F239" i="17"/>
  <c r="E239" i="17"/>
  <c r="D239" i="17"/>
  <c r="C239" i="17"/>
  <c r="B239" i="17"/>
  <c r="A239" i="17"/>
  <c r="M239" i="17" s="1"/>
  <c r="X238" i="17"/>
  <c r="K238" i="17"/>
  <c r="J238" i="17"/>
  <c r="I238" i="17"/>
  <c r="H238" i="17"/>
  <c r="G238" i="17"/>
  <c r="F238" i="17"/>
  <c r="E238" i="17"/>
  <c r="D238" i="17"/>
  <c r="C238" i="17"/>
  <c r="B238" i="17"/>
  <c r="A238" i="17"/>
  <c r="N238" i="17" s="1"/>
  <c r="X237" i="17"/>
  <c r="K237" i="17"/>
  <c r="J237" i="17"/>
  <c r="I237" i="17"/>
  <c r="H237" i="17"/>
  <c r="G237" i="17"/>
  <c r="F237" i="17"/>
  <c r="E237" i="17"/>
  <c r="D237" i="17"/>
  <c r="C237" i="17"/>
  <c r="B237" i="17"/>
  <c r="A237" i="17"/>
  <c r="N237" i="17" s="1"/>
  <c r="X236" i="17"/>
  <c r="K236" i="17"/>
  <c r="J236" i="17"/>
  <c r="I236" i="17"/>
  <c r="H236" i="17"/>
  <c r="G236" i="17"/>
  <c r="F236" i="17"/>
  <c r="E236" i="17"/>
  <c r="D236" i="17"/>
  <c r="C236" i="17"/>
  <c r="B236" i="17"/>
  <c r="A236" i="17"/>
  <c r="M236" i="17" s="1"/>
  <c r="X235" i="17"/>
  <c r="K235" i="17"/>
  <c r="J235" i="17"/>
  <c r="I235" i="17"/>
  <c r="H235" i="17"/>
  <c r="G235" i="17"/>
  <c r="F235" i="17"/>
  <c r="E235" i="17"/>
  <c r="D235" i="17"/>
  <c r="C235" i="17"/>
  <c r="B235" i="17"/>
  <c r="A235" i="17"/>
  <c r="M235" i="17" s="1"/>
  <c r="X234" i="17"/>
  <c r="K234" i="17"/>
  <c r="J234" i="17"/>
  <c r="I234" i="17"/>
  <c r="H234" i="17"/>
  <c r="G234" i="17"/>
  <c r="F234" i="17"/>
  <c r="E234" i="17"/>
  <c r="D234" i="17"/>
  <c r="C234" i="17"/>
  <c r="B234" i="17"/>
  <c r="A234" i="17"/>
  <c r="N234" i="17" s="1"/>
  <c r="X233" i="17"/>
  <c r="K233" i="17"/>
  <c r="J233" i="17"/>
  <c r="I233" i="17"/>
  <c r="H233" i="17"/>
  <c r="G233" i="17"/>
  <c r="F233" i="17"/>
  <c r="E233" i="17"/>
  <c r="D233" i="17"/>
  <c r="C233" i="17"/>
  <c r="B233" i="17"/>
  <c r="A233" i="17"/>
  <c r="N233" i="17" s="1"/>
  <c r="X232" i="17"/>
  <c r="K232" i="17"/>
  <c r="J232" i="17"/>
  <c r="I232" i="17"/>
  <c r="H232" i="17"/>
  <c r="G232" i="17"/>
  <c r="F21" i="11" s="1"/>
  <c r="F232" i="17"/>
  <c r="E232" i="17"/>
  <c r="D232" i="17"/>
  <c r="C232" i="17"/>
  <c r="B232" i="17"/>
  <c r="A232" i="17"/>
  <c r="M232" i="17" s="1"/>
  <c r="X231" i="17"/>
  <c r="K231" i="17"/>
  <c r="J231" i="17"/>
  <c r="I231" i="17"/>
  <c r="H231" i="17"/>
  <c r="G231" i="17"/>
  <c r="F20" i="11" s="1"/>
  <c r="F231" i="17"/>
  <c r="E231" i="17"/>
  <c r="D231" i="17"/>
  <c r="C231" i="17"/>
  <c r="B231" i="17"/>
  <c r="A231" i="17"/>
  <c r="X230" i="17"/>
  <c r="K230" i="17"/>
  <c r="J230" i="17"/>
  <c r="I230" i="17"/>
  <c r="H230" i="17"/>
  <c r="G230" i="17"/>
  <c r="F19" i="11" s="1"/>
  <c r="F230" i="17"/>
  <c r="E230" i="17"/>
  <c r="D230" i="17"/>
  <c r="C230" i="17"/>
  <c r="B230" i="17"/>
  <c r="A230" i="17"/>
  <c r="M230" i="17" s="1"/>
  <c r="X229" i="17"/>
  <c r="K229" i="17"/>
  <c r="J229" i="17"/>
  <c r="I229" i="17"/>
  <c r="H229" i="17"/>
  <c r="G229" i="17"/>
  <c r="F229" i="17"/>
  <c r="E229" i="17"/>
  <c r="D229" i="17"/>
  <c r="C229" i="17"/>
  <c r="B229" i="17"/>
  <c r="A229" i="17"/>
  <c r="X228" i="17"/>
  <c r="K228" i="17"/>
  <c r="J228" i="17"/>
  <c r="I228" i="17"/>
  <c r="H228" i="17"/>
  <c r="G228" i="17"/>
  <c r="F228" i="17"/>
  <c r="E228" i="17"/>
  <c r="D228" i="17"/>
  <c r="C228" i="17"/>
  <c r="B228" i="17"/>
  <c r="A228" i="17"/>
  <c r="M228" i="17" s="1"/>
  <c r="X227" i="17"/>
  <c r="K227" i="17"/>
  <c r="J227" i="17"/>
  <c r="I227" i="17"/>
  <c r="H227" i="17"/>
  <c r="G227" i="17"/>
  <c r="F227" i="17"/>
  <c r="E227" i="17"/>
  <c r="D227" i="17"/>
  <c r="C227" i="17"/>
  <c r="B227" i="17"/>
  <c r="A227" i="17"/>
  <c r="N227" i="17" s="1"/>
  <c r="V226" i="17"/>
  <c r="R226" i="17"/>
  <c r="K226" i="17"/>
  <c r="J226" i="17"/>
  <c r="I226" i="17"/>
  <c r="H226" i="17"/>
  <c r="G226" i="17"/>
  <c r="F226" i="17"/>
  <c r="E226" i="17"/>
  <c r="D226" i="17"/>
  <c r="C226" i="17"/>
  <c r="B226" i="17"/>
  <c r="A226" i="17"/>
  <c r="M226" i="17" s="1"/>
  <c r="V225" i="17"/>
  <c r="R225" i="17"/>
  <c r="K225" i="17"/>
  <c r="J225" i="17"/>
  <c r="I225" i="17"/>
  <c r="H225" i="17"/>
  <c r="G225" i="17"/>
  <c r="F225" i="17"/>
  <c r="E225" i="17"/>
  <c r="D225" i="17"/>
  <c r="C225" i="17"/>
  <c r="B225" i="17"/>
  <c r="A225" i="17"/>
  <c r="M225" i="17" s="1"/>
  <c r="V224" i="17"/>
  <c r="R224" i="17"/>
  <c r="K224" i="17"/>
  <c r="J224" i="17"/>
  <c r="I224" i="17"/>
  <c r="H224" i="17"/>
  <c r="G224" i="17"/>
  <c r="F224" i="17"/>
  <c r="E224" i="17"/>
  <c r="D224" i="17"/>
  <c r="C224" i="17"/>
  <c r="B224" i="17"/>
  <c r="A224" i="17"/>
  <c r="N224" i="17" s="1"/>
  <c r="V223" i="17"/>
  <c r="R223" i="17"/>
  <c r="K223" i="17"/>
  <c r="J223" i="17"/>
  <c r="I223" i="17"/>
  <c r="H223" i="17"/>
  <c r="G223" i="17"/>
  <c r="F21" i="10" s="1"/>
  <c r="F223" i="17"/>
  <c r="E223" i="17"/>
  <c r="D223" i="17"/>
  <c r="C223" i="17"/>
  <c r="B223" i="17"/>
  <c r="A223" i="17"/>
  <c r="M223" i="17" s="1"/>
  <c r="V222" i="17"/>
  <c r="R222" i="17"/>
  <c r="K222" i="17"/>
  <c r="J222" i="17"/>
  <c r="I222" i="17"/>
  <c r="H222" i="17"/>
  <c r="G222" i="17"/>
  <c r="F20" i="10" s="1"/>
  <c r="F222" i="17"/>
  <c r="E222" i="17"/>
  <c r="D222" i="17"/>
  <c r="C222" i="17"/>
  <c r="B222" i="17"/>
  <c r="A222" i="17"/>
  <c r="V221" i="17"/>
  <c r="R221" i="17"/>
  <c r="K221" i="17"/>
  <c r="J221" i="17"/>
  <c r="I221" i="17"/>
  <c r="H221" i="17"/>
  <c r="G221" i="17"/>
  <c r="F19" i="10" s="1"/>
  <c r="F221" i="17"/>
  <c r="E221" i="17"/>
  <c r="D221" i="17"/>
  <c r="C221" i="17"/>
  <c r="B221" i="17"/>
  <c r="A221" i="17"/>
  <c r="M221" i="17" s="1"/>
  <c r="X220" i="17"/>
  <c r="R220" i="17"/>
  <c r="K220" i="17"/>
  <c r="J220" i="17"/>
  <c r="I220" i="17"/>
  <c r="H220" i="17"/>
  <c r="G220" i="17"/>
  <c r="F220" i="17"/>
  <c r="E220" i="17"/>
  <c r="D220" i="17"/>
  <c r="C220" i="17"/>
  <c r="B220" i="17"/>
  <c r="A220" i="17"/>
  <c r="M220" i="17" s="1"/>
  <c r="X219" i="17"/>
  <c r="R219" i="17"/>
  <c r="K219" i="17"/>
  <c r="J219" i="17"/>
  <c r="I219" i="17"/>
  <c r="H219" i="17"/>
  <c r="G219" i="17"/>
  <c r="F219" i="17"/>
  <c r="E219" i="17"/>
  <c r="D219" i="17"/>
  <c r="C219" i="17"/>
  <c r="B219" i="17"/>
  <c r="A219" i="17"/>
  <c r="M219" i="17" s="1"/>
  <c r="X218" i="17"/>
  <c r="R218" i="17"/>
  <c r="K218" i="17"/>
  <c r="J218" i="17"/>
  <c r="I218" i="17"/>
  <c r="H218" i="17"/>
  <c r="G218" i="17"/>
  <c r="F218" i="17"/>
  <c r="E218" i="17"/>
  <c r="D218" i="17"/>
  <c r="C218" i="17"/>
  <c r="B218" i="17"/>
  <c r="A218" i="17"/>
  <c r="V217" i="17"/>
  <c r="R217" i="17"/>
  <c r="K217" i="17"/>
  <c r="J217" i="17"/>
  <c r="I217" i="17"/>
  <c r="H217" i="17"/>
  <c r="G217" i="17"/>
  <c r="F217" i="17"/>
  <c r="E217" i="17"/>
  <c r="D217" i="17"/>
  <c r="C217" i="17"/>
  <c r="B217" i="17"/>
  <c r="A217" i="17"/>
  <c r="V216" i="17"/>
  <c r="R216" i="17"/>
  <c r="K216" i="17"/>
  <c r="J216" i="17"/>
  <c r="I216" i="17"/>
  <c r="H216" i="17"/>
  <c r="G216" i="17"/>
  <c r="F216" i="17"/>
  <c r="E216" i="17"/>
  <c r="D216" i="17"/>
  <c r="C216" i="17"/>
  <c r="B216" i="17"/>
  <c r="A216" i="17"/>
  <c r="M216" i="17" s="1"/>
  <c r="V215" i="17"/>
  <c r="R215" i="17"/>
  <c r="K215" i="17"/>
  <c r="J215" i="17"/>
  <c r="I215" i="17"/>
  <c r="H215" i="17"/>
  <c r="G215" i="17"/>
  <c r="F215" i="17"/>
  <c r="E215" i="17"/>
  <c r="D215" i="17"/>
  <c r="C215" i="17"/>
  <c r="B215" i="17"/>
  <c r="A215" i="17"/>
  <c r="N215" i="17" s="1"/>
  <c r="V214" i="17"/>
  <c r="R214" i="17"/>
  <c r="K214" i="17"/>
  <c r="J214" i="17"/>
  <c r="I214" i="17"/>
  <c r="H214" i="17"/>
  <c r="G214" i="17"/>
  <c r="F21" i="9" s="1"/>
  <c r="F214" i="17"/>
  <c r="E214" i="17"/>
  <c r="D214" i="17"/>
  <c r="C214" i="17"/>
  <c r="B214" i="17"/>
  <c r="A214" i="17"/>
  <c r="M214" i="17" s="1"/>
  <c r="V213" i="17"/>
  <c r="R213" i="17"/>
  <c r="K213" i="17"/>
  <c r="J213" i="17"/>
  <c r="I213" i="17"/>
  <c r="H213" i="17"/>
  <c r="G213" i="17"/>
  <c r="F20" i="9" s="1"/>
  <c r="F213" i="17"/>
  <c r="E213" i="17"/>
  <c r="D213" i="17"/>
  <c r="C213" i="17"/>
  <c r="B213" i="17"/>
  <c r="A213" i="17"/>
  <c r="M213" i="17" s="1"/>
  <c r="V212" i="17"/>
  <c r="R212" i="17"/>
  <c r="K212" i="17"/>
  <c r="J212" i="17"/>
  <c r="I212" i="17"/>
  <c r="H212" i="17"/>
  <c r="G212" i="17"/>
  <c r="F19" i="9" s="1"/>
  <c r="F212" i="17"/>
  <c r="E212" i="17"/>
  <c r="D212" i="17"/>
  <c r="C212" i="17"/>
  <c r="B212" i="17"/>
  <c r="A212" i="17"/>
  <c r="M212" i="17" s="1"/>
  <c r="X211" i="17"/>
  <c r="R211" i="17"/>
  <c r="K211" i="17"/>
  <c r="J211" i="17"/>
  <c r="I211" i="17"/>
  <c r="H211" i="17"/>
  <c r="G211" i="17"/>
  <c r="F211" i="17"/>
  <c r="E211" i="17"/>
  <c r="D211" i="17"/>
  <c r="C211" i="17"/>
  <c r="B211" i="17"/>
  <c r="A211" i="17"/>
  <c r="M211" i="17" s="1"/>
  <c r="X210" i="17"/>
  <c r="R210" i="17"/>
  <c r="K210" i="17"/>
  <c r="J210" i="17"/>
  <c r="I210" i="17"/>
  <c r="H210" i="17"/>
  <c r="G210" i="17"/>
  <c r="F210" i="17"/>
  <c r="E210" i="17"/>
  <c r="D210" i="17"/>
  <c r="C210" i="17"/>
  <c r="B210" i="17"/>
  <c r="A210" i="17"/>
  <c r="M210" i="17" s="1"/>
  <c r="X209" i="17"/>
  <c r="R209" i="17"/>
  <c r="K209" i="17"/>
  <c r="J209" i="17"/>
  <c r="I209" i="17"/>
  <c r="H209" i="17"/>
  <c r="G209" i="17"/>
  <c r="F209" i="17"/>
  <c r="E209" i="17"/>
  <c r="D209" i="17"/>
  <c r="C209" i="17"/>
  <c r="B209" i="17"/>
  <c r="A209" i="17"/>
  <c r="M209" i="17" s="1"/>
  <c r="X208" i="17"/>
  <c r="K208" i="17"/>
  <c r="J208" i="17"/>
  <c r="I208" i="17"/>
  <c r="H208" i="17"/>
  <c r="G208" i="17"/>
  <c r="F208" i="17"/>
  <c r="E208" i="17"/>
  <c r="D208" i="17"/>
  <c r="C208" i="17"/>
  <c r="B208" i="17"/>
  <c r="A208" i="17"/>
  <c r="M208" i="17" s="1"/>
  <c r="X207" i="17"/>
  <c r="K207" i="17"/>
  <c r="J207" i="17"/>
  <c r="I207" i="17"/>
  <c r="H207" i="17"/>
  <c r="G207" i="17"/>
  <c r="F207" i="17"/>
  <c r="E207" i="17"/>
  <c r="D207" i="17"/>
  <c r="C207" i="17"/>
  <c r="B207" i="17"/>
  <c r="A207" i="17"/>
  <c r="M207" i="17" s="1"/>
  <c r="X206" i="17"/>
  <c r="K206" i="17"/>
  <c r="J206" i="17"/>
  <c r="I206" i="17"/>
  <c r="H206" i="17"/>
  <c r="G206" i="17"/>
  <c r="F206" i="17"/>
  <c r="E206" i="17"/>
  <c r="D206" i="17"/>
  <c r="C206" i="17"/>
  <c r="B206" i="17"/>
  <c r="A206" i="17"/>
  <c r="N206" i="17" s="1"/>
  <c r="X205" i="17"/>
  <c r="K205" i="17"/>
  <c r="J205" i="17"/>
  <c r="I205" i="17"/>
  <c r="H205" i="17"/>
  <c r="G205" i="17"/>
  <c r="F21" i="8" s="1"/>
  <c r="F205" i="17"/>
  <c r="E205" i="17"/>
  <c r="D205" i="17"/>
  <c r="C205" i="17"/>
  <c r="B205" i="17"/>
  <c r="A205" i="17"/>
  <c r="M205" i="17" s="1"/>
  <c r="X204" i="17"/>
  <c r="K204" i="17"/>
  <c r="J204" i="17"/>
  <c r="I204" i="17"/>
  <c r="H204" i="17"/>
  <c r="G204" i="17"/>
  <c r="F20" i="8" s="1"/>
  <c r="F204" i="17"/>
  <c r="E204" i="17"/>
  <c r="D204" i="17"/>
  <c r="C204" i="17"/>
  <c r="B204" i="17"/>
  <c r="A204" i="17"/>
  <c r="M204" i="17" s="1"/>
  <c r="X203" i="17"/>
  <c r="K203" i="17"/>
  <c r="J203" i="17"/>
  <c r="I203" i="17"/>
  <c r="H203" i="17"/>
  <c r="G203" i="17"/>
  <c r="F19" i="8" s="1"/>
  <c r="F203" i="17"/>
  <c r="E203" i="17"/>
  <c r="D203" i="17"/>
  <c r="C203" i="17"/>
  <c r="B203" i="17"/>
  <c r="A203" i="17"/>
  <c r="M203" i="17" s="1"/>
  <c r="X202" i="17"/>
  <c r="K202" i="17"/>
  <c r="J202" i="17"/>
  <c r="I202" i="17"/>
  <c r="H202" i="17"/>
  <c r="G202" i="17"/>
  <c r="F202" i="17"/>
  <c r="E202" i="17"/>
  <c r="D202" i="17"/>
  <c r="C202" i="17"/>
  <c r="B202" i="17"/>
  <c r="A202" i="17"/>
  <c r="M202" i="17" s="1"/>
  <c r="X201" i="17"/>
  <c r="K201" i="17"/>
  <c r="J201" i="17"/>
  <c r="I201" i="17"/>
  <c r="H201" i="17"/>
  <c r="G201" i="17"/>
  <c r="F201" i="17"/>
  <c r="E201" i="17"/>
  <c r="D201" i="17"/>
  <c r="C201" i="17"/>
  <c r="B201" i="17"/>
  <c r="A201" i="17"/>
  <c r="M201" i="17" s="1"/>
  <c r="X200" i="17"/>
  <c r="K200" i="17"/>
  <c r="J200" i="17"/>
  <c r="I200" i="17"/>
  <c r="H200" i="17"/>
  <c r="G200" i="17"/>
  <c r="F200" i="17"/>
  <c r="E200" i="17"/>
  <c r="D200" i="17"/>
  <c r="C200" i="17"/>
  <c r="B200" i="17"/>
  <c r="A200" i="17"/>
  <c r="M200" i="17" s="1"/>
  <c r="X199" i="17"/>
  <c r="K199" i="17"/>
  <c r="J199" i="17"/>
  <c r="I199" i="17"/>
  <c r="H199" i="17"/>
  <c r="G199" i="17"/>
  <c r="F199" i="17"/>
  <c r="E199" i="17"/>
  <c r="D199" i="17"/>
  <c r="C199" i="17"/>
  <c r="B199" i="17"/>
  <c r="A199" i="17"/>
  <c r="M199" i="17" s="1"/>
  <c r="X198" i="17"/>
  <c r="K198" i="17"/>
  <c r="J198" i="17"/>
  <c r="I198" i="17"/>
  <c r="H198" i="17"/>
  <c r="G198" i="17"/>
  <c r="F198" i="17"/>
  <c r="E198" i="17"/>
  <c r="D198" i="17"/>
  <c r="C198" i="17"/>
  <c r="B198" i="17"/>
  <c r="A198" i="17"/>
  <c r="M198" i="17" s="1"/>
  <c r="X197" i="17"/>
  <c r="K197" i="17"/>
  <c r="J197" i="17"/>
  <c r="I197" i="17"/>
  <c r="H197" i="17"/>
  <c r="G197" i="17"/>
  <c r="F197" i="17"/>
  <c r="E197" i="17"/>
  <c r="D197" i="17"/>
  <c r="C197" i="17"/>
  <c r="B197" i="17"/>
  <c r="A197" i="17"/>
  <c r="X196" i="17"/>
  <c r="K196" i="17"/>
  <c r="J196" i="17"/>
  <c r="I196" i="17"/>
  <c r="H196" i="17"/>
  <c r="G196" i="17"/>
  <c r="F21" i="7" s="1"/>
  <c r="F196" i="17"/>
  <c r="E196" i="17"/>
  <c r="D196" i="17"/>
  <c r="C196" i="17"/>
  <c r="B196" i="17"/>
  <c r="A196" i="17"/>
  <c r="X195" i="17"/>
  <c r="K195" i="17"/>
  <c r="J195" i="17"/>
  <c r="I195" i="17"/>
  <c r="H195" i="17"/>
  <c r="G195" i="17"/>
  <c r="F20" i="7" s="1"/>
  <c r="F195" i="17"/>
  <c r="E195" i="17"/>
  <c r="D195" i="17"/>
  <c r="C195" i="17"/>
  <c r="B195" i="17"/>
  <c r="A195" i="17"/>
  <c r="X194" i="17"/>
  <c r="K194" i="17"/>
  <c r="J194" i="17"/>
  <c r="I194" i="17"/>
  <c r="H194" i="17"/>
  <c r="G194" i="17"/>
  <c r="F19" i="7" s="1"/>
  <c r="F194" i="17"/>
  <c r="E194" i="17"/>
  <c r="D194" i="17"/>
  <c r="C194" i="17"/>
  <c r="B194" i="17"/>
  <c r="A194" i="17"/>
  <c r="M194" i="17" s="1"/>
  <c r="X193" i="17"/>
  <c r="K193" i="17"/>
  <c r="J193" i="17"/>
  <c r="I193" i="17"/>
  <c r="H193" i="17"/>
  <c r="G193" i="17"/>
  <c r="F193" i="17"/>
  <c r="E193" i="17"/>
  <c r="D193" i="17"/>
  <c r="C193" i="17"/>
  <c r="B193" i="17"/>
  <c r="A193" i="17"/>
  <c r="X192" i="17"/>
  <c r="K192" i="17"/>
  <c r="J192" i="17"/>
  <c r="I192" i="17"/>
  <c r="H192" i="17"/>
  <c r="G192" i="17"/>
  <c r="F192" i="17"/>
  <c r="E192" i="17"/>
  <c r="D192" i="17"/>
  <c r="C192" i="17"/>
  <c r="B192" i="17"/>
  <c r="A192" i="17"/>
  <c r="M192" i="17" s="1"/>
  <c r="X191" i="17"/>
  <c r="K191" i="17"/>
  <c r="J191" i="17"/>
  <c r="I191" i="17"/>
  <c r="H191" i="17"/>
  <c r="G191" i="17"/>
  <c r="F191" i="17"/>
  <c r="E191" i="17"/>
  <c r="D191" i="17"/>
  <c r="C191" i="17"/>
  <c r="B191" i="17"/>
  <c r="A191" i="17"/>
  <c r="X190" i="17"/>
  <c r="K190" i="17"/>
  <c r="J190" i="17"/>
  <c r="I190" i="17"/>
  <c r="H190" i="17"/>
  <c r="G190" i="17"/>
  <c r="F190" i="17"/>
  <c r="E190" i="17"/>
  <c r="D190" i="17"/>
  <c r="C190" i="17"/>
  <c r="B190" i="17"/>
  <c r="A190" i="17"/>
  <c r="M190" i="17" s="1"/>
  <c r="X189" i="17"/>
  <c r="K189" i="17"/>
  <c r="J189" i="17"/>
  <c r="I189" i="17"/>
  <c r="H189" i="17"/>
  <c r="G189" i="17"/>
  <c r="F189" i="17"/>
  <c r="E189" i="17"/>
  <c r="D189" i="17"/>
  <c r="C189" i="17"/>
  <c r="B189" i="17"/>
  <c r="A189" i="17"/>
  <c r="M189" i="17" s="1"/>
  <c r="X188" i="17"/>
  <c r="K188" i="17"/>
  <c r="J188" i="17"/>
  <c r="I188" i="17"/>
  <c r="H188" i="17"/>
  <c r="G188" i="17"/>
  <c r="F188" i="17"/>
  <c r="E188" i="17"/>
  <c r="D188" i="17"/>
  <c r="C188" i="17"/>
  <c r="B188" i="17"/>
  <c r="A188" i="17"/>
  <c r="X187" i="17"/>
  <c r="K187" i="17"/>
  <c r="J187" i="17"/>
  <c r="I187" i="17"/>
  <c r="H187" i="17"/>
  <c r="G187" i="17"/>
  <c r="F21" i="6" s="1"/>
  <c r="F187" i="17"/>
  <c r="E187" i="17"/>
  <c r="D187" i="17"/>
  <c r="C187" i="17"/>
  <c r="B187" i="17"/>
  <c r="A187" i="17"/>
  <c r="M187" i="17" s="1"/>
  <c r="X186" i="17"/>
  <c r="K186" i="17"/>
  <c r="J186" i="17"/>
  <c r="I186" i="17"/>
  <c r="H186" i="17"/>
  <c r="G186" i="17"/>
  <c r="F20" i="6" s="1"/>
  <c r="F186" i="17"/>
  <c r="E186" i="17"/>
  <c r="D186" i="17"/>
  <c r="C186" i="17"/>
  <c r="B186" i="17"/>
  <c r="A186" i="17"/>
  <c r="M186" i="17" s="1"/>
  <c r="X185" i="17"/>
  <c r="K185" i="17"/>
  <c r="J185" i="17"/>
  <c r="I185" i="17"/>
  <c r="H185" i="17"/>
  <c r="G185" i="17"/>
  <c r="F19" i="6" s="1"/>
  <c r="F185" i="17"/>
  <c r="E185" i="17"/>
  <c r="D185" i="17"/>
  <c r="C185" i="17"/>
  <c r="B185" i="17"/>
  <c r="A185" i="17"/>
  <c r="M185" i="17" s="1"/>
  <c r="X184" i="17"/>
  <c r="R184" i="17"/>
  <c r="K184" i="17"/>
  <c r="J184" i="17"/>
  <c r="I184" i="17"/>
  <c r="H184" i="17"/>
  <c r="G184" i="17"/>
  <c r="F184" i="17"/>
  <c r="E184" i="17"/>
  <c r="D184" i="17"/>
  <c r="C184" i="17"/>
  <c r="B184" i="17"/>
  <c r="A184" i="17"/>
  <c r="M184" i="17" s="1"/>
  <c r="X183" i="17"/>
  <c r="K183" i="17"/>
  <c r="J183" i="17"/>
  <c r="I183" i="17"/>
  <c r="H183" i="17"/>
  <c r="G183" i="17"/>
  <c r="F183" i="17"/>
  <c r="E183" i="17"/>
  <c r="D183" i="17"/>
  <c r="C183" i="17"/>
  <c r="B183" i="17"/>
  <c r="A183" i="17"/>
  <c r="M183" i="17" s="1"/>
  <c r="X182" i="17"/>
  <c r="K182" i="17"/>
  <c r="J182" i="17"/>
  <c r="I182" i="17"/>
  <c r="H182" i="17"/>
  <c r="G182" i="17"/>
  <c r="F182" i="17"/>
  <c r="E182" i="17"/>
  <c r="D182" i="17"/>
  <c r="C182" i="17"/>
  <c r="B182" i="17"/>
  <c r="A182" i="17"/>
  <c r="V181" i="17"/>
  <c r="S181" i="17"/>
  <c r="R181" i="17"/>
  <c r="P181" i="17"/>
  <c r="K181" i="17"/>
  <c r="J181" i="17"/>
  <c r="I181" i="17"/>
  <c r="H181" i="17"/>
  <c r="G181" i="17"/>
  <c r="F181" i="17"/>
  <c r="E181" i="17"/>
  <c r="D181" i="17"/>
  <c r="C181" i="17"/>
  <c r="B181" i="17"/>
  <c r="A181" i="17"/>
  <c r="V180" i="17"/>
  <c r="R180" i="17"/>
  <c r="P180" i="17"/>
  <c r="K180" i="17"/>
  <c r="J180" i="17"/>
  <c r="I180" i="17"/>
  <c r="H180" i="17"/>
  <c r="G180" i="17"/>
  <c r="F180" i="17"/>
  <c r="E180" i="17"/>
  <c r="D180" i="17"/>
  <c r="C180" i="17"/>
  <c r="B180" i="17"/>
  <c r="A180" i="17"/>
  <c r="M180" i="17" s="1"/>
  <c r="V179" i="17"/>
  <c r="R179" i="17"/>
  <c r="P179" i="17"/>
  <c r="K179" i="17"/>
  <c r="J179" i="17"/>
  <c r="I179" i="17"/>
  <c r="H179" i="17"/>
  <c r="G179" i="17"/>
  <c r="F179" i="17"/>
  <c r="E179" i="17"/>
  <c r="D179" i="17"/>
  <c r="C179" i="17"/>
  <c r="B179" i="17"/>
  <c r="A179" i="17"/>
  <c r="M179" i="17" s="1"/>
  <c r="V178" i="17"/>
  <c r="R178" i="17"/>
  <c r="P178" i="17"/>
  <c r="K178" i="17"/>
  <c r="J178" i="17"/>
  <c r="I178" i="17"/>
  <c r="H178" i="17"/>
  <c r="G178" i="17"/>
  <c r="F21" i="5" s="1"/>
  <c r="F178" i="17"/>
  <c r="E178" i="17"/>
  <c r="D178" i="17"/>
  <c r="C178" i="17"/>
  <c r="B178" i="17"/>
  <c r="A178" i="17"/>
  <c r="V177" i="17"/>
  <c r="S177" i="17"/>
  <c r="R177" i="17"/>
  <c r="P177" i="17"/>
  <c r="K177" i="17"/>
  <c r="J177" i="17"/>
  <c r="I177" i="17"/>
  <c r="H177" i="17"/>
  <c r="G177" i="17"/>
  <c r="F20" i="5" s="1"/>
  <c r="F177" i="17"/>
  <c r="E177" i="17"/>
  <c r="D177" i="17"/>
  <c r="C177" i="17"/>
  <c r="B177" i="17"/>
  <c r="A177" i="17"/>
  <c r="V176" i="17"/>
  <c r="R176" i="17"/>
  <c r="P176" i="17"/>
  <c r="K176" i="17"/>
  <c r="J176" i="17"/>
  <c r="I176" i="17"/>
  <c r="H176" i="17"/>
  <c r="G176" i="17"/>
  <c r="F19" i="5" s="1"/>
  <c r="F176" i="17"/>
  <c r="E176" i="17"/>
  <c r="D176" i="17"/>
  <c r="C176" i="17"/>
  <c r="B176" i="17"/>
  <c r="A176" i="17"/>
  <c r="M176" i="17" s="1"/>
  <c r="X175" i="17"/>
  <c r="R175" i="17"/>
  <c r="P175" i="17"/>
  <c r="K175" i="17"/>
  <c r="J175" i="17"/>
  <c r="I175" i="17"/>
  <c r="H175" i="17"/>
  <c r="G175" i="17"/>
  <c r="F175" i="17"/>
  <c r="E175" i="17"/>
  <c r="D175" i="17"/>
  <c r="C175" i="17"/>
  <c r="B175" i="17"/>
  <c r="A175" i="17"/>
  <c r="M175" i="17" s="1"/>
  <c r="X174" i="17"/>
  <c r="R174" i="17"/>
  <c r="P174" i="17"/>
  <c r="K174" i="17"/>
  <c r="J174" i="17"/>
  <c r="I174" i="17"/>
  <c r="H174" i="17"/>
  <c r="G174" i="17"/>
  <c r="F174" i="17"/>
  <c r="E174" i="17"/>
  <c r="D174" i="17"/>
  <c r="C174" i="17"/>
  <c r="B174" i="17"/>
  <c r="A174" i="17"/>
  <c r="M174" i="17" s="1"/>
  <c r="X173" i="17"/>
  <c r="S173" i="17"/>
  <c r="R173" i="17"/>
  <c r="P173" i="17"/>
  <c r="K173" i="17"/>
  <c r="J173" i="17"/>
  <c r="I173" i="17"/>
  <c r="H173" i="17"/>
  <c r="G173" i="17"/>
  <c r="F173" i="17"/>
  <c r="E173" i="17"/>
  <c r="D173" i="17"/>
  <c r="C173" i="17"/>
  <c r="B173" i="17"/>
  <c r="A173" i="17"/>
  <c r="M173" i="17" s="1"/>
  <c r="V172" i="17"/>
  <c r="R172" i="17"/>
  <c r="P172" i="17"/>
  <c r="K172" i="17"/>
  <c r="J172" i="17"/>
  <c r="I172" i="17"/>
  <c r="H172" i="17"/>
  <c r="G172" i="17"/>
  <c r="F172" i="17"/>
  <c r="E172" i="17"/>
  <c r="D172" i="17"/>
  <c r="C172" i="17"/>
  <c r="B172" i="17"/>
  <c r="A172" i="17"/>
  <c r="M172" i="17" s="1"/>
  <c r="V171" i="17"/>
  <c r="R171" i="17"/>
  <c r="P171" i="17"/>
  <c r="K171" i="17"/>
  <c r="J171" i="17"/>
  <c r="I171" i="17"/>
  <c r="H171" i="17"/>
  <c r="G171" i="17"/>
  <c r="F171" i="17"/>
  <c r="E171" i="17"/>
  <c r="D171" i="17"/>
  <c r="C171" i="17"/>
  <c r="B171" i="17"/>
  <c r="A171" i="17"/>
  <c r="M171" i="17" s="1"/>
  <c r="V170" i="17"/>
  <c r="S170" i="17"/>
  <c r="R170" i="17"/>
  <c r="P170" i="17"/>
  <c r="K170" i="17"/>
  <c r="J170" i="17"/>
  <c r="I170" i="17"/>
  <c r="H170" i="17"/>
  <c r="G170" i="17"/>
  <c r="F170" i="17"/>
  <c r="E170" i="17"/>
  <c r="D170" i="17"/>
  <c r="C170" i="17"/>
  <c r="B170" i="17"/>
  <c r="A170" i="17"/>
  <c r="M170" i="17" s="1"/>
  <c r="V169" i="17"/>
  <c r="R169" i="17"/>
  <c r="P169" i="17"/>
  <c r="K169" i="17"/>
  <c r="J169" i="17"/>
  <c r="I169" i="17"/>
  <c r="H169" i="17"/>
  <c r="G169" i="17"/>
  <c r="F21" i="4" s="1"/>
  <c r="F169" i="17"/>
  <c r="E169" i="17"/>
  <c r="D169" i="17"/>
  <c r="C169" i="17"/>
  <c r="B169" i="17"/>
  <c r="A169" i="17"/>
  <c r="M169" i="17" s="1"/>
  <c r="V168" i="17"/>
  <c r="R168" i="17"/>
  <c r="P168" i="17"/>
  <c r="K168" i="17"/>
  <c r="J168" i="17"/>
  <c r="I168" i="17"/>
  <c r="H168" i="17"/>
  <c r="G168" i="17"/>
  <c r="F20" i="4" s="1"/>
  <c r="F168" i="17"/>
  <c r="E168" i="17"/>
  <c r="D168" i="17"/>
  <c r="C168" i="17"/>
  <c r="B168" i="17"/>
  <c r="A168" i="17"/>
  <c r="M168" i="17" s="1"/>
  <c r="V167" i="17"/>
  <c r="S167" i="17"/>
  <c r="R167" i="17"/>
  <c r="P167" i="17"/>
  <c r="K167" i="17"/>
  <c r="J167" i="17"/>
  <c r="I167" i="17"/>
  <c r="H167" i="17"/>
  <c r="G167" i="17"/>
  <c r="F19" i="4" s="1"/>
  <c r="F167" i="17"/>
  <c r="E167" i="17"/>
  <c r="D167" i="17"/>
  <c r="C167" i="17"/>
  <c r="B167" i="17"/>
  <c r="A167" i="17"/>
  <c r="M167" i="17" s="1"/>
  <c r="X166" i="17"/>
  <c r="R166" i="17"/>
  <c r="P166" i="17"/>
  <c r="K166" i="17"/>
  <c r="J166" i="17"/>
  <c r="I166" i="17"/>
  <c r="H166" i="17"/>
  <c r="G166" i="17"/>
  <c r="F166" i="17"/>
  <c r="E166" i="17"/>
  <c r="D166" i="17"/>
  <c r="C166" i="17"/>
  <c r="B166" i="17"/>
  <c r="A166" i="17"/>
  <c r="M166" i="17" s="1"/>
  <c r="X165" i="17"/>
  <c r="R165" i="17"/>
  <c r="P165" i="17"/>
  <c r="K165" i="17"/>
  <c r="J165" i="17"/>
  <c r="I165" i="17"/>
  <c r="H165" i="17"/>
  <c r="G165" i="17"/>
  <c r="F165" i="17"/>
  <c r="E165" i="17"/>
  <c r="D165" i="17"/>
  <c r="C165" i="17"/>
  <c r="B165" i="17"/>
  <c r="A165" i="17"/>
  <c r="M165" i="17" s="1"/>
  <c r="X164" i="17"/>
  <c r="R164" i="17"/>
  <c r="P164" i="17"/>
  <c r="K164" i="17"/>
  <c r="J164" i="17"/>
  <c r="I164" i="17"/>
  <c r="H164" i="17"/>
  <c r="G164" i="17"/>
  <c r="F164" i="17"/>
  <c r="E164" i="17"/>
  <c r="D164" i="17"/>
  <c r="C164" i="17"/>
  <c r="B164" i="17"/>
  <c r="A164" i="17"/>
  <c r="M164" i="17" s="1"/>
  <c r="X163" i="17"/>
  <c r="P163" i="17"/>
  <c r="K163" i="17"/>
  <c r="J163" i="17"/>
  <c r="I163" i="17"/>
  <c r="H163" i="17"/>
  <c r="G163" i="17"/>
  <c r="F163" i="17"/>
  <c r="E163" i="17"/>
  <c r="D163" i="17"/>
  <c r="C163" i="17"/>
  <c r="B163" i="17"/>
  <c r="A163" i="17"/>
  <c r="M163" i="17" s="1"/>
  <c r="X162" i="17"/>
  <c r="P162" i="17"/>
  <c r="K162" i="17"/>
  <c r="J162" i="17"/>
  <c r="I162" i="17"/>
  <c r="H162" i="17"/>
  <c r="G162" i="17"/>
  <c r="F162" i="17"/>
  <c r="E162" i="17"/>
  <c r="D162" i="17"/>
  <c r="C162" i="17"/>
  <c r="B162" i="17"/>
  <c r="A162" i="17"/>
  <c r="M162" i="17" s="1"/>
  <c r="X161" i="17"/>
  <c r="S161" i="17"/>
  <c r="K161" i="17"/>
  <c r="J161" i="17"/>
  <c r="I161" i="17"/>
  <c r="H161" i="17"/>
  <c r="G161" i="17"/>
  <c r="F161" i="17"/>
  <c r="E161" i="17"/>
  <c r="D161" i="17"/>
  <c r="C161" i="17"/>
  <c r="B161" i="17"/>
  <c r="A161" i="17"/>
  <c r="N161" i="17" s="1"/>
  <c r="X160" i="17"/>
  <c r="R160" i="17"/>
  <c r="K160" i="17"/>
  <c r="J160" i="17"/>
  <c r="I160" i="17"/>
  <c r="H160" i="17"/>
  <c r="G160" i="17"/>
  <c r="F160" i="17"/>
  <c r="E160" i="17"/>
  <c r="D160" i="17"/>
  <c r="C160" i="17"/>
  <c r="B160" i="17"/>
  <c r="A160" i="17"/>
  <c r="M160" i="17" s="1"/>
  <c r="X159" i="17"/>
  <c r="P159" i="17"/>
  <c r="K159" i="17"/>
  <c r="J159" i="17"/>
  <c r="I159" i="17"/>
  <c r="H159" i="17"/>
  <c r="G159" i="17"/>
  <c r="F159" i="17"/>
  <c r="E159" i="17"/>
  <c r="D159" i="17"/>
  <c r="C159" i="17"/>
  <c r="B159" i="17"/>
  <c r="A159" i="17"/>
  <c r="M159" i="17" s="1"/>
  <c r="X158" i="17"/>
  <c r="P158" i="17"/>
  <c r="K158" i="17"/>
  <c r="J158" i="17"/>
  <c r="I158" i="17"/>
  <c r="H158" i="17"/>
  <c r="G158" i="17"/>
  <c r="F19" i="3" s="1"/>
  <c r="F158" i="17"/>
  <c r="E158" i="17"/>
  <c r="D158" i="17"/>
  <c r="C158" i="17"/>
  <c r="B158" i="17"/>
  <c r="A158" i="17"/>
  <c r="M158" i="17" s="1"/>
  <c r="X157" i="17"/>
  <c r="K157" i="17"/>
  <c r="J157" i="17"/>
  <c r="I157" i="17"/>
  <c r="H157" i="17"/>
  <c r="G157" i="17"/>
  <c r="F157" i="17"/>
  <c r="E157" i="17"/>
  <c r="D157" i="17"/>
  <c r="C157" i="17"/>
  <c r="B157" i="17"/>
  <c r="A157" i="17"/>
  <c r="X156" i="17"/>
  <c r="K156" i="17"/>
  <c r="J156" i="17"/>
  <c r="I156" i="17"/>
  <c r="H156" i="17"/>
  <c r="G156" i="17"/>
  <c r="F156" i="17"/>
  <c r="E156" i="17"/>
  <c r="D156" i="17"/>
  <c r="C156" i="17"/>
  <c r="B156" i="17"/>
  <c r="A156" i="17"/>
  <c r="M156" i="17" s="1"/>
  <c r="X155" i="17"/>
  <c r="P155" i="17"/>
  <c r="K155" i="17"/>
  <c r="J155" i="17"/>
  <c r="I155" i="17"/>
  <c r="H155" i="17"/>
  <c r="G155" i="17"/>
  <c r="F155" i="17"/>
  <c r="E155" i="17"/>
  <c r="D155" i="17"/>
  <c r="C155" i="17"/>
  <c r="B155" i="17"/>
  <c r="A155" i="17"/>
  <c r="M155" i="17" s="1"/>
  <c r="X154" i="17"/>
  <c r="S154" i="17"/>
  <c r="P154" i="17"/>
  <c r="K154" i="17"/>
  <c r="J154" i="17"/>
  <c r="I154" i="17"/>
  <c r="H154" i="17"/>
  <c r="G154" i="17"/>
  <c r="F154" i="17"/>
  <c r="E154" i="17"/>
  <c r="D154" i="17"/>
  <c r="C154" i="17"/>
  <c r="B154" i="17"/>
  <c r="A154" i="17"/>
  <c r="X153" i="17"/>
  <c r="S153" i="17"/>
  <c r="P153" i="17"/>
  <c r="K153" i="17"/>
  <c r="J153" i="17"/>
  <c r="I153" i="17"/>
  <c r="H153" i="17"/>
  <c r="G153" i="17"/>
  <c r="F153" i="17"/>
  <c r="E153" i="17"/>
  <c r="D153" i="17"/>
  <c r="C153" i="17"/>
  <c r="B153" i="17"/>
  <c r="A153" i="17"/>
  <c r="M153" i="17" s="1"/>
  <c r="X152" i="17"/>
  <c r="S152" i="17"/>
  <c r="P152" i="17"/>
  <c r="K152" i="17"/>
  <c r="J152" i="17"/>
  <c r="I152" i="17"/>
  <c r="H152" i="17"/>
  <c r="G152" i="17"/>
  <c r="F152" i="17"/>
  <c r="E152" i="17"/>
  <c r="D152" i="17"/>
  <c r="C152" i="17"/>
  <c r="B152" i="17"/>
  <c r="A152" i="17"/>
  <c r="X151" i="17"/>
  <c r="S151" i="17"/>
  <c r="P151" i="17"/>
  <c r="K151" i="17"/>
  <c r="J151" i="17"/>
  <c r="I151" i="17"/>
  <c r="H151" i="17"/>
  <c r="G151" i="17"/>
  <c r="F21" i="1" s="1"/>
  <c r="F151" i="17"/>
  <c r="E151" i="17"/>
  <c r="D151" i="17"/>
  <c r="C151" i="17"/>
  <c r="B151" i="17"/>
  <c r="A151" i="17"/>
  <c r="M151" i="17" s="1"/>
  <c r="X150" i="17"/>
  <c r="S150" i="17"/>
  <c r="R150" i="17"/>
  <c r="P150" i="17"/>
  <c r="K150" i="17"/>
  <c r="J150" i="17"/>
  <c r="I150" i="17"/>
  <c r="H150" i="17"/>
  <c r="G150" i="17"/>
  <c r="F20" i="1" s="1"/>
  <c r="F150" i="17"/>
  <c r="E150" i="17"/>
  <c r="D150" i="17"/>
  <c r="C150" i="17"/>
  <c r="B150" i="17"/>
  <c r="A150" i="17"/>
  <c r="M150" i="17" s="1"/>
  <c r="X149" i="17"/>
  <c r="S149" i="17"/>
  <c r="R149" i="17"/>
  <c r="P149" i="17"/>
  <c r="K149" i="17"/>
  <c r="J149" i="17"/>
  <c r="I149" i="17"/>
  <c r="H149" i="17"/>
  <c r="G149" i="17"/>
  <c r="F19" i="1" s="1"/>
  <c r="F149" i="17"/>
  <c r="E149" i="17"/>
  <c r="D149" i="17"/>
  <c r="C149" i="17"/>
  <c r="B149" i="17"/>
  <c r="A149" i="17"/>
  <c r="M149" i="17" s="1"/>
  <c r="X148" i="17"/>
  <c r="S148" i="17"/>
  <c r="R148" i="17"/>
  <c r="P148" i="17"/>
  <c r="Q148" i="17" s="1"/>
  <c r="K148" i="17"/>
  <c r="J148" i="17"/>
  <c r="I148" i="17"/>
  <c r="H148" i="17"/>
  <c r="G148" i="17"/>
  <c r="F148" i="17"/>
  <c r="E148" i="17"/>
  <c r="D148" i="17"/>
  <c r="C148" i="17"/>
  <c r="B148" i="17"/>
  <c r="A148" i="17"/>
  <c r="M148" i="17" s="1"/>
  <c r="X147" i="17"/>
  <c r="R147" i="17"/>
  <c r="P147" i="17"/>
  <c r="K147" i="17"/>
  <c r="J147" i="17"/>
  <c r="I147" i="17"/>
  <c r="H147" i="17"/>
  <c r="G147" i="17"/>
  <c r="F147" i="17"/>
  <c r="E147" i="17"/>
  <c r="D147" i="17"/>
  <c r="C147" i="17"/>
  <c r="B147" i="17"/>
  <c r="A147" i="17"/>
  <c r="M147" i="17" s="1"/>
  <c r="X146" i="17"/>
  <c r="S146" i="17"/>
  <c r="R146" i="17"/>
  <c r="P146" i="17"/>
  <c r="K146" i="17"/>
  <c r="J146" i="17"/>
  <c r="I146" i="17"/>
  <c r="H146" i="17"/>
  <c r="G146" i="17"/>
  <c r="F146" i="17"/>
  <c r="E146" i="17"/>
  <c r="D146" i="17"/>
  <c r="C146" i="17"/>
  <c r="B146" i="17"/>
  <c r="A146" i="17"/>
  <c r="X145" i="17"/>
  <c r="S145" i="17"/>
  <c r="R145" i="17"/>
  <c r="K145" i="17"/>
  <c r="J145" i="17"/>
  <c r="I145" i="17"/>
  <c r="H145" i="17"/>
  <c r="G145" i="17"/>
  <c r="F145" i="17"/>
  <c r="E145" i="17"/>
  <c r="F29" i="2" s="1"/>
  <c r="F41" i="2" s="1"/>
  <c r="D145" i="17"/>
  <c r="C145" i="17"/>
  <c r="B145" i="17"/>
  <c r="A145" i="17"/>
  <c r="X144" i="17"/>
  <c r="S144" i="17"/>
  <c r="R144" i="17"/>
  <c r="K144" i="17"/>
  <c r="J144" i="17"/>
  <c r="I144" i="17"/>
  <c r="H144" i="17"/>
  <c r="G144" i="17"/>
  <c r="F144" i="17"/>
  <c r="E144" i="17"/>
  <c r="F28" i="2" s="1"/>
  <c r="F40" i="2" s="1"/>
  <c r="D144" i="17"/>
  <c r="C144" i="17"/>
  <c r="B144" i="17"/>
  <c r="A144" i="17"/>
  <c r="M144" i="17" s="1"/>
  <c r="X143" i="17"/>
  <c r="S143" i="17"/>
  <c r="R143" i="17"/>
  <c r="K143" i="17"/>
  <c r="J143" i="17"/>
  <c r="I143" i="17"/>
  <c r="H143" i="17"/>
  <c r="G143" i="17"/>
  <c r="F143" i="17"/>
  <c r="E143" i="17"/>
  <c r="F27" i="2" s="1"/>
  <c r="F39" i="2" s="1"/>
  <c r="D143" i="17"/>
  <c r="C143" i="17"/>
  <c r="B143" i="17"/>
  <c r="A143" i="17"/>
  <c r="M143" i="17" s="1"/>
  <c r="X142" i="17"/>
  <c r="S142" i="17"/>
  <c r="R142" i="17"/>
  <c r="K142" i="17"/>
  <c r="J142" i="17"/>
  <c r="I142" i="17"/>
  <c r="H142" i="17"/>
  <c r="G142" i="17"/>
  <c r="F21" i="2" s="1"/>
  <c r="F142" i="17"/>
  <c r="E142" i="17"/>
  <c r="F33" i="2" s="1"/>
  <c r="D142" i="17"/>
  <c r="C142" i="17"/>
  <c r="B142" i="17"/>
  <c r="A142" i="17"/>
  <c r="X141" i="17"/>
  <c r="S141" i="17"/>
  <c r="R141" i="17"/>
  <c r="K141" i="17"/>
  <c r="J141" i="17"/>
  <c r="I141" i="17"/>
  <c r="H141" i="17"/>
  <c r="G141" i="17"/>
  <c r="F20" i="2" s="1"/>
  <c r="F141" i="17"/>
  <c r="E141" i="17"/>
  <c r="F32" i="2" s="1"/>
  <c r="D141" i="17"/>
  <c r="C141" i="17"/>
  <c r="B141" i="17"/>
  <c r="A141" i="17"/>
  <c r="M141" i="17" s="1"/>
  <c r="X140" i="17"/>
  <c r="S140" i="17"/>
  <c r="R140" i="17"/>
  <c r="K140" i="17"/>
  <c r="J140" i="17"/>
  <c r="I140" i="17"/>
  <c r="H140" i="17"/>
  <c r="G140" i="17"/>
  <c r="F19" i="2" s="1"/>
  <c r="F140" i="17"/>
  <c r="E140" i="17"/>
  <c r="F31" i="2" s="1"/>
  <c r="D140" i="17"/>
  <c r="C140" i="17"/>
  <c r="B140" i="17"/>
  <c r="A140" i="17"/>
  <c r="M140" i="17" s="1"/>
  <c r="X139" i="17"/>
  <c r="S139" i="17"/>
  <c r="R139" i="17"/>
  <c r="K139" i="17"/>
  <c r="J139" i="17"/>
  <c r="I139" i="17"/>
  <c r="H139" i="17"/>
  <c r="G139" i="17"/>
  <c r="F139" i="17"/>
  <c r="E139" i="17"/>
  <c r="F25" i="2" s="1"/>
  <c r="D139" i="17"/>
  <c r="C139" i="17"/>
  <c r="B139" i="17"/>
  <c r="A139" i="17"/>
  <c r="M139" i="17" s="1"/>
  <c r="X138" i="17"/>
  <c r="S138" i="17"/>
  <c r="R138" i="17"/>
  <c r="K138" i="17"/>
  <c r="J138" i="17"/>
  <c r="I138" i="17"/>
  <c r="H138" i="17"/>
  <c r="G138" i="17"/>
  <c r="F138" i="17"/>
  <c r="E138" i="17"/>
  <c r="F24" i="2" s="1"/>
  <c r="F36" i="2" s="1"/>
  <c r="D138" i="17"/>
  <c r="C138" i="17"/>
  <c r="B138" i="17"/>
  <c r="A138" i="17"/>
  <c r="M138" i="17" s="1"/>
  <c r="X137" i="17"/>
  <c r="S137" i="17"/>
  <c r="R137" i="17"/>
  <c r="K137" i="17"/>
  <c r="J137" i="17"/>
  <c r="I137" i="17"/>
  <c r="H137" i="17"/>
  <c r="G137" i="17"/>
  <c r="F137" i="17"/>
  <c r="E137" i="17"/>
  <c r="F23" i="2" s="1"/>
  <c r="F35" i="2" s="1"/>
  <c r="D137" i="17"/>
  <c r="C137" i="17"/>
  <c r="B137" i="17"/>
  <c r="A137" i="17"/>
  <c r="M137" i="17" s="1"/>
  <c r="V136" i="17"/>
  <c r="P136" i="17"/>
  <c r="K136" i="17"/>
  <c r="J136" i="17"/>
  <c r="I136" i="17"/>
  <c r="H136" i="17"/>
  <c r="G136" i="17"/>
  <c r="F136" i="17"/>
  <c r="E136" i="17"/>
  <c r="D136" i="17"/>
  <c r="C136" i="17"/>
  <c r="B136" i="17"/>
  <c r="A136" i="17"/>
  <c r="V135" i="17"/>
  <c r="P135" i="17"/>
  <c r="K135" i="17"/>
  <c r="J135" i="17"/>
  <c r="I135" i="17"/>
  <c r="H135" i="17"/>
  <c r="G135" i="17"/>
  <c r="F135" i="17"/>
  <c r="E135" i="17"/>
  <c r="D135" i="17"/>
  <c r="C135" i="17"/>
  <c r="B135" i="17"/>
  <c r="A135" i="17"/>
  <c r="M135" i="17" s="1"/>
  <c r="V134" i="17"/>
  <c r="P134" i="17"/>
  <c r="K134" i="17"/>
  <c r="J134" i="17"/>
  <c r="I134" i="17"/>
  <c r="H134" i="17"/>
  <c r="G134" i="17"/>
  <c r="F134" i="17"/>
  <c r="E134" i="17"/>
  <c r="D134" i="17"/>
  <c r="C134" i="17"/>
  <c r="B134" i="17"/>
  <c r="A134" i="17"/>
  <c r="M134" i="17" s="1"/>
  <c r="V133" i="17"/>
  <c r="P133" i="17"/>
  <c r="K133" i="17"/>
  <c r="J133" i="17"/>
  <c r="I133" i="17"/>
  <c r="H133" i="17"/>
  <c r="G133" i="17"/>
  <c r="B21" i="15" s="1"/>
  <c r="F133" i="17"/>
  <c r="E133" i="17"/>
  <c r="D133" i="17"/>
  <c r="C133" i="17"/>
  <c r="B133" i="17"/>
  <c r="A133" i="17"/>
  <c r="V132" i="17"/>
  <c r="P132" i="17"/>
  <c r="K132" i="17"/>
  <c r="J132" i="17"/>
  <c r="I132" i="17"/>
  <c r="H132" i="17"/>
  <c r="G132" i="17"/>
  <c r="B20" i="15" s="1"/>
  <c r="F132" i="17"/>
  <c r="E132" i="17"/>
  <c r="D132" i="17"/>
  <c r="C132" i="17"/>
  <c r="B132" i="17"/>
  <c r="A132" i="17"/>
  <c r="M132" i="17" s="1"/>
  <c r="V131" i="17"/>
  <c r="P131" i="17"/>
  <c r="K131" i="17"/>
  <c r="J131" i="17"/>
  <c r="I131" i="17"/>
  <c r="H131" i="17"/>
  <c r="G131" i="17"/>
  <c r="B19" i="15" s="1"/>
  <c r="F131" i="17"/>
  <c r="E131" i="17"/>
  <c r="D131" i="17"/>
  <c r="C131" i="17"/>
  <c r="B131" i="17"/>
  <c r="A131" i="17"/>
  <c r="M131" i="17" s="1"/>
  <c r="X130" i="17"/>
  <c r="P130" i="17"/>
  <c r="K130" i="17"/>
  <c r="J130" i="17"/>
  <c r="I130" i="17"/>
  <c r="H130" i="17"/>
  <c r="G130" i="17"/>
  <c r="F130" i="17"/>
  <c r="E130" i="17"/>
  <c r="D130" i="17"/>
  <c r="C130" i="17"/>
  <c r="B130" i="17"/>
  <c r="A130" i="17"/>
  <c r="X129" i="17"/>
  <c r="P129" i="17"/>
  <c r="K129" i="17"/>
  <c r="J129" i="17"/>
  <c r="I129" i="17"/>
  <c r="H129" i="17"/>
  <c r="G129" i="17"/>
  <c r="F129" i="17"/>
  <c r="E129" i="17"/>
  <c r="D129" i="17"/>
  <c r="C129" i="17"/>
  <c r="B129" i="17"/>
  <c r="A129" i="17"/>
  <c r="M129" i="17" s="1"/>
  <c r="X128" i="17"/>
  <c r="P128" i="17"/>
  <c r="K128" i="17"/>
  <c r="J128" i="17"/>
  <c r="I128" i="17"/>
  <c r="H128" i="17"/>
  <c r="G128" i="17"/>
  <c r="F128" i="17"/>
  <c r="E128" i="17"/>
  <c r="D128" i="17"/>
  <c r="C128" i="17"/>
  <c r="B128" i="17"/>
  <c r="A128" i="17"/>
  <c r="M128" i="17" s="1"/>
  <c r="V127" i="17"/>
  <c r="P127" i="17"/>
  <c r="K127" i="17"/>
  <c r="J127" i="17"/>
  <c r="I127" i="17"/>
  <c r="H127" i="17"/>
  <c r="G127" i="17"/>
  <c r="F127" i="17"/>
  <c r="E127" i="17"/>
  <c r="D127" i="17"/>
  <c r="C127" i="17"/>
  <c r="B127" i="17"/>
  <c r="A127" i="17"/>
  <c r="V126" i="17"/>
  <c r="P126" i="17"/>
  <c r="K126" i="17"/>
  <c r="J126" i="17"/>
  <c r="I126" i="17"/>
  <c r="H126" i="17"/>
  <c r="G126" i="17"/>
  <c r="F126" i="17"/>
  <c r="E126" i="17"/>
  <c r="D126" i="17"/>
  <c r="C126" i="17"/>
  <c r="B126" i="17"/>
  <c r="A126" i="17"/>
  <c r="M126" i="17" s="1"/>
  <c r="V125" i="17"/>
  <c r="P125" i="17"/>
  <c r="K125" i="17"/>
  <c r="J125" i="17"/>
  <c r="I125" i="17"/>
  <c r="H125" i="17"/>
  <c r="G125" i="17"/>
  <c r="F125" i="17"/>
  <c r="E125" i="17"/>
  <c r="D125" i="17"/>
  <c r="C125" i="17"/>
  <c r="B125" i="17"/>
  <c r="A125" i="17"/>
  <c r="M125" i="17" s="1"/>
  <c r="V124" i="17"/>
  <c r="P124" i="17"/>
  <c r="K124" i="17"/>
  <c r="J124" i="17"/>
  <c r="I124" i="17"/>
  <c r="H124" i="17"/>
  <c r="G124" i="17"/>
  <c r="B21" i="14" s="1"/>
  <c r="F124" i="17"/>
  <c r="E124" i="17"/>
  <c r="D124" i="17"/>
  <c r="C124" i="17"/>
  <c r="B124" i="17"/>
  <c r="A124" i="17"/>
  <c r="M124" i="17" s="1"/>
  <c r="V123" i="17"/>
  <c r="P123" i="17"/>
  <c r="K123" i="17"/>
  <c r="J123" i="17"/>
  <c r="I123" i="17"/>
  <c r="H123" i="17"/>
  <c r="G123" i="17"/>
  <c r="B20" i="14" s="1"/>
  <c r="F123" i="17"/>
  <c r="E123" i="17"/>
  <c r="D123" i="17"/>
  <c r="C123" i="17"/>
  <c r="B123" i="17"/>
  <c r="A123" i="17"/>
  <c r="M123" i="17" s="1"/>
  <c r="V122" i="17"/>
  <c r="P122" i="17"/>
  <c r="K122" i="17"/>
  <c r="J122" i="17"/>
  <c r="I122" i="17"/>
  <c r="H122" i="17"/>
  <c r="G122" i="17"/>
  <c r="B19" i="14" s="1"/>
  <c r="F122" i="17"/>
  <c r="E122" i="17"/>
  <c r="D122" i="17"/>
  <c r="C122" i="17"/>
  <c r="B122" i="17"/>
  <c r="A122" i="17"/>
  <c r="M122" i="17" s="1"/>
  <c r="X121" i="17"/>
  <c r="P121" i="17"/>
  <c r="K121" i="17"/>
  <c r="J121" i="17"/>
  <c r="I121" i="17"/>
  <c r="H121" i="17"/>
  <c r="G121" i="17"/>
  <c r="F121" i="17"/>
  <c r="E121" i="17"/>
  <c r="D121" i="17"/>
  <c r="C121" i="17"/>
  <c r="B121" i="17"/>
  <c r="A121" i="17"/>
  <c r="X120" i="17"/>
  <c r="P120" i="17"/>
  <c r="K120" i="17"/>
  <c r="J120" i="17"/>
  <c r="I120" i="17"/>
  <c r="H120" i="17"/>
  <c r="G120" i="17"/>
  <c r="F120" i="17"/>
  <c r="E120" i="17"/>
  <c r="D120" i="17"/>
  <c r="C120" i="17"/>
  <c r="B120" i="17"/>
  <c r="A120" i="17"/>
  <c r="M120" i="17" s="1"/>
  <c r="X119" i="17"/>
  <c r="P119" i="17"/>
  <c r="K119" i="17"/>
  <c r="J119" i="17"/>
  <c r="I119" i="17"/>
  <c r="H119" i="17"/>
  <c r="G119" i="17"/>
  <c r="F119" i="17"/>
  <c r="E119" i="17"/>
  <c r="D119" i="17"/>
  <c r="C119" i="17"/>
  <c r="B119" i="17"/>
  <c r="A119" i="17"/>
  <c r="M119" i="17" s="1"/>
  <c r="X118" i="17"/>
  <c r="P118" i="17"/>
  <c r="K118" i="17"/>
  <c r="J118" i="17"/>
  <c r="I118" i="17"/>
  <c r="H118" i="17"/>
  <c r="G118" i="17"/>
  <c r="F118" i="17"/>
  <c r="E118" i="17"/>
  <c r="D118" i="17"/>
  <c r="C118" i="17"/>
  <c r="B118" i="17"/>
  <c r="A118" i="17"/>
  <c r="X117" i="17"/>
  <c r="S117" i="17"/>
  <c r="P117" i="17"/>
  <c r="K117" i="17"/>
  <c r="J117" i="17"/>
  <c r="I117" i="17"/>
  <c r="H117" i="17"/>
  <c r="G117" i="17"/>
  <c r="F117" i="17"/>
  <c r="E117" i="17"/>
  <c r="D117" i="17"/>
  <c r="C117" i="17"/>
  <c r="B117" i="17"/>
  <c r="A117" i="17"/>
  <c r="M117" i="17" s="1"/>
  <c r="X116" i="17"/>
  <c r="P116" i="17"/>
  <c r="K116" i="17"/>
  <c r="J116" i="17"/>
  <c r="I116" i="17"/>
  <c r="H116" i="17"/>
  <c r="G116" i="17"/>
  <c r="F116" i="17"/>
  <c r="E116" i="17"/>
  <c r="D116" i="17"/>
  <c r="C116" i="17"/>
  <c r="B116" i="17"/>
  <c r="A116" i="17"/>
  <c r="M116" i="17" s="1"/>
  <c r="X115" i="17"/>
  <c r="P115" i="17"/>
  <c r="K115" i="17"/>
  <c r="J115" i="17"/>
  <c r="I115" i="17"/>
  <c r="H115" i="17"/>
  <c r="G115" i="17"/>
  <c r="F115" i="17"/>
  <c r="E115" i="17"/>
  <c r="D115" i="17"/>
  <c r="C115" i="17"/>
  <c r="B115" i="17"/>
  <c r="A115" i="17"/>
  <c r="M115" i="17" s="1"/>
  <c r="X114" i="17"/>
  <c r="S114" i="17"/>
  <c r="P114" i="17"/>
  <c r="K114" i="17"/>
  <c r="J114" i="17"/>
  <c r="I114" i="17"/>
  <c r="H114" i="17"/>
  <c r="G114" i="17"/>
  <c r="F114" i="17"/>
  <c r="E114" i="17"/>
  <c r="D114" i="17"/>
  <c r="C114" i="17"/>
  <c r="B114" i="17"/>
  <c r="A114" i="17"/>
  <c r="X113" i="17"/>
  <c r="P113" i="17"/>
  <c r="K113" i="17"/>
  <c r="J113" i="17"/>
  <c r="I113" i="17"/>
  <c r="H113" i="17"/>
  <c r="G113" i="17"/>
  <c r="B19" i="13" s="1"/>
  <c r="F113" i="17"/>
  <c r="E113" i="17"/>
  <c r="D113" i="17"/>
  <c r="C113" i="17"/>
  <c r="B113" i="17"/>
  <c r="A113" i="17"/>
  <c r="M113" i="17" s="1"/>
  <c r="X112" i="17"/>
  <c r="P112" i="17"/>
  <c r="K112" i="17"/>
  <c r="J112" i="17"/>
  <c r="I112" i="17"/>
  <c r="H112" i="17"/>
  <c r="G112" i="17"/>
  <c r="F112" i="17"/>
  <c r="E112" i="17"/>
  <c r="D112" i="17"/>
  <c r="C112" i="17"/>
  <c r="B112" i="17"/>
  <c r="A112" i="17"/>
  <c r="M112" i="17" s="1"/>
  <c r="X111" i="17"/>
  <c r="P111" i="17"/>
  <c r="K111" i="17"/>
  <c r="J111" i="17"/>
  <c r="I111" i="17"/>
  <c r="H111" i="17"/>
  <c r="G111" i="17"/>
  <c r="F111" i="17"/>
  <c r="E111" i="17"/>
  <c r="D111" i="17"/>
  <c r="C111" i="17"/>
  <c r="B111" i="17"/>
  <c r="A111" i="17"/>
  <c r="M111" i="17" s="1"/>
  <c r="X110" i="17"/>
  <c r="P110" i="17"/>
  <c r="K110" i="17"/>
  <c r="J110" i="17"/>
  <c r="I110" i="17"/>
  <c r="H110" i="17"/>
  <c r="G110" i="17"/>
  <c r="F110" i="17"/>
  <c r="E110" i="17"/>
  <c r="D110" i="17"/>
  <c r="C110" i="17"/>
  <c r="B110" i="17"/>
  <c r="A110" i="17"/>
  <c r="X109" i="17"/>
  <c r="K109" i="17"/>
  <c r="J109" i="17"/>
  <c r="I109" i="17"/>
  <c r="H109" i="17"/>
  <c r="G109" i="17"/>
  <c r="F109" i="17"/>
  <c r="E109" i="17"/>
  <c r="D109" i="17"/>
  <c r="C109" i="17"/>
  <c r="B109" i="17"/>
  <c r="A109" i="17"/>
  <c r="M109" i="17" s="1"/>
  <c r="X108" i="17"/>
  <c r="K108" i="17"/>
  <c r="J108" i="17"/>
  <c r="I108" i="17"/>
  <c r="H108" i="17"/>
  <c r="G108" i="17"/>
  <c r="F108" i="17"/>
  <c r="E108" i="17"/>
  <c r="D108" i="17"/>
  <c r="C108" i="17"/>
  <c r="B108" i="17"/>
  <c r="A108" i="17"/>
  <c r="M108" i="17" s="1"/>
  <c r="X107" i="17"/>
  <c r="K107" i="17"/>
  <c r="J107" i="17"/>
  <c r="I107" i="17"/>
  <c r="H107" i="17"/>
  <c r="G107" i="17"/>
  <c r="F107" i="17"/>
  <c r="E107" i="17"/>
  <c r="D107" i="17"/>
  <c r="C107" i="17"/>
  <c r="B107" i="17"/>
  <c r="A107" i="17"/>
  <c r="M107" i="17" s="1"/>
  <c r="X106" i="17"/>
  <c r="K106" i="17"/>
  <c r="J106" i="17"/>
  <c r="I106" i="17"/>
  <c r="H106" i="17"/>
  <c r="G106" i="17"/>
  <c r="B21" i="12" s="1"/>
  <c r="F106" i="17"/>
  <c r="E106" i="17"/>
  <c r="D106" i="17"/>
  <c r="C106" i="17"/>
  <c r="B106" i="17"/>
  <c r="A106" i="17"/>
  <c r="X105" i="17"/>
  <c r="K105" i="17"/>
  <c r="J105" i="17"/>
  <c r="I105" i="17"/>
  <c r="H105" i="17"/>
  <c r="G105" i="17"/>
  <c r="B20" i="12" s="1"/>
  <c r="F105" i="17"/>
  <c r="E105" i="17"/>
  <c r="D105" i="17"/>
  <c r="C105" i="17"/>
  <c r="B105" i="17"/>
  <c r="A105" i="17"/>
  <c r="M105" i="17" s="1"/>
  <c r="X104" i="17"/>
  <c r="K104" i="17"/>
  <c r="J104" i="17"/>
  <c r="I104" i="17"/>
  <c r="H104" i="17"/>
  <c r="G104" i="17"/>
  <c r="B19" i="12" s="1"/>
  <c r="F104" i="17"/>
  <c r="E104" i="17"/>
  <c r="D104" i="17"/>
  <c r="C104" i="17"/>
  <c r="B104" i="17"/>
  <c r="A104" i="17"/>
  <c r="M104" i="17" s="1"/>
  <c r="X103" i="17"/>
  <c r="K103" i="17"/>
  <c r="J103" i="17"/>
  <c r="I103" i="17"/>
  <c r="H103" i="17"/>
  <c r="G103" i="17"/>
  <c r="F103" i="17"/>
  <c r="E103" i="17"/>
  <c r="D103" i="17"/>
  <c r="C103" i="17"/>
  <c r="B103" i="17"/>
  <c r="A103" i="17"/>
  <c r="X102" i="17"/>
  <c r="K102" i="17"/>
  <c r="J102" i="17"/>
  <c r="I102" i="17"/>
  <c r="H102" i="17"/>
  <c r="G102" i="17"/>
  <c r="F102" i="17"/>
  <c r="E102" i="17"/>
  <c r="D102" i="17"/>
  <c r="C102" i="17"/>
  <c r="B102" i="17"/>
  <c r="A102" i="17"/>
  <c r="M102" i="17" s="1"/>
  <c r="X101" i="17"/>
  <c r="K101" i="17"/>
  <c r="J101" i="17"/>
  <c r="I101" i="17"/>
  <c r="H101" i="17"/>
  <c r="G101" i="17"/>
  <c r="F101" i="17"/>
  <c r="E101" i="17"/>
  <c r="D101" i="17"/>
  <c r="C101" i="17"/>
  <c r="B101" i="17"/>
  <c r="A101" i="17"/>
  <c r="M101" i="17" s="1"/>
  <c r="X100" i="17"/>
  <c r="P100" i="17"/>
  <c r="K100" i="17"/>
  <c r="J100" i="17"/>
  <c r="I100" i="17"/>
  <c r="H100" i="17"/>
  <c r="G100" i="17"/>
  <c r="F100" i="17"/>
  <c r="E100" i="17"/>
  <c r="D100" i="17"/>
  <c r="C100" i="17"/>
  <c r="B100" i="17"/>
  <c r="A100" i="17"/>
  <c r="X99" i="17"/>
  <c r="U99" i="17"/>
  <c r="P99" i="17"/>
  <c r="K99" i="17"/>
  <c r="J99" i="17"/>
  <c r="I99" i="17"/>
  <c r="H99" i="17"/>
  <c r="G99" i="17"/>
  <c r="F99" i="17"/>
  <c r="E99" i="17"/>
  <c r="D99" i="17"/>
  <c r="C99" i="17"/>
  <c r="B99" i="17"/>
  <c r="A99" i="17"/>
  <c r="M99" i="17" s="1"/>
  <c r="X98" i="17"/>
  <c r="P98" i="17"/>
  <c r="K98" i="17"/>
  <c r="J98" i="17"/>
  <c r="I98" i="17"/>
  <c r="H98" i="17"/>
  <c r="G98" i="17"/>
  <c r="F98" i="17"/>
  <c r="E98" i="17"/>
  <c r="D98" i="17"/>
  <c r="C98" i="17"/>
  <c r="B98" i="17"/>
  <c r="A98" i="17"/>
  <c r="X97" i="17"/>
  <c r="P97" i="17"/>
  <c r="K97" i="17"/>
  <c r="J97" i="17"/>
  <c r="I97" i="17"/>
  <c r="H97" i="17"/>
  <c r="G97" i="17"/>
  <c r="B21" i="11" s="1"/>
  <c r="F97" i="17"/>
  <c r="E97" i="17"/>
  <c r="D97" i="17"/>
  <c r="C97" i="17"/>
  <c r="B97" i="17"/>
  <c r="A97" i="17"/>
  <c r="M97" i="17" s="1"/>
  <c r="X96" i="17"/>
  <c r="P96" i="17"/>
  <c r="K96" i="17"/>
  <c r="J96" i="17"/>
  <c r="I96" i="17"/>
  <c r="H96" i="17"/>
  <c r="G96" i="17"/>
  <c r="B20" i="11" s="1"/>
  <c r="F96" i="17"/>
  <c r="E96" i="17"/>
  <c r="D96" i="17"/>
  <c r="C96" i="17"/>
  <c r="B96" i="17"/>
  <c r="A96" i="17"/>
  <c r="X95" i="17"/>
  <c r="P95" i="17"/>
  <c r="K95" i="17"/>
  <c r="J95" i="17"/>
  <c r="I95" i="17"/>
  <c r="H95" i="17"/>
  <c r="G95" i="17"/>
  <c r="B19" i="11" s="1"/>
  <c r="F95" i="17"/>
  <c r="E95" i="17"/>
  <c r="D95" i="17"/>
  <c r="C95" i="17"/>
  <c r="B95" i="17"/>
  <c r="A95" i="17"/>
  <c r="M95" i="17" s="1"/>
  <c r="X94" i="17"/>
  <c r="P94" i="17"/>
  <c r="K94" i="17"/>
  <c r="J94" i="17"/>
  <c r="I94" i="17"/>
  <c r="H94" i="17"/>
  <c r="G94" i="17"/>
  <c r="F94" i="17"/>
  <c r="E94" i="17"/>
  <c r="D94" i="17"/>
  <c r="C94" i="17"/>
  <c r="B94" i="17"/>
  <c r="A94" i="17"/>
  <c r="M94" i="17" s="1"/>
  <c r="X93" i="17"/>
  <c r="P93" i="17"/>
  <c r="K93" i="17"/>
  <c r="J93" i="17"/>
  <c r="I93" i="17"/>
  <c r="H93" i="17"/>
  <c r="G93" i="17"/>
  <c r="F93" i="17"/>
  <c r="E93" i="17"/>
  <c r="D93" i="17"/>
  <c r="C93" i="17"/>
  <c r="B93" i="17"/>
  <c r="A93" i="17"/>
  <c r="M93" i="17" s="1"/>
  <c r="X92" i="17"/>
  <c r="P92" i="17"/>
  <c r="K92" i="17"/>
  <c r="J92" i="17"/>
  <c r="I92" i="17"/>
  <c r="H92" i="17"/>
  <c r="G92" i="17"/>
  <c r="F92" i="17"/>
  <c r="E92" i="17"/>
  <c r="D92" i="17"/>
  <c r="C92" i="17"/>
  <c r="B92" i="17"/>
  <c r="A92" i="17"/>
  <c r="V91" i="17"/>
  <c r="K91" i="17"/>
  <c r="J91" i="17"/>
  <c r="I91" i="17"/>
  <c r="H91" i="17"/>
  <c r="G91" i="17"/>
  <c r="F91" i="17"/>
  <c r="E91" i="17"/>
  <c r="D91" i="17"/>
  <c r="C91" i="17"/>
  <c r="B91" i="17"/>
  <c r="A91" i="17"/>
  <c r="M91" i="17" s="1"/>
  <c r="V90" i="17"/>
  <c r="R90" i="17"/>
  <c r="K90" i="17"/>
  <c r="J90" i="17"/>
  <c r="I90" i="17"/>
  <c r="H90" i="17"/>
  <c r="G90" i="17"/>
  <c r="F90" i="17"/>
  <c r="E90" i="17"/>
  <c r="D90" i="17"/>
  <c r="C90" i="17"/>
  <c r="B90" i="17"/>
  <c r="A90" i="17"/>
  <c r="M90" i="17" s="1"/>
  <c r="V89" i="17"/>
  <c r="R89" i="17"/>
  <c r="K89" i="17"/>
  <c r="J89" i="17"/>
  <c r="I89" i="17"/>
  <c r="H89" i="17"/>
  <c r="G89" i="17"/>
  <c r="F89" i="17"/>
  <c r="E89" i="17"/>
  <c r="D89" i="17"/>
  <c r="C89" i="17"/>
  <c r="B89" i="17"/>
  <c r="A89" i="17"/>
  <c r="V88" i="17"/>
  <c r="K88" i="17"/>
  <c r="J88" i="17"/>
  <c r="I88" i="17"/>
  <c r="H88" i="17"/>
  <c r="G88" i="17"/>
  <c r="B21" i="10" s="1"/>
  <c r="F88" i="17"/>
  <c r="E88" i="17"/>
  <c r="D88" i="17"/>
  <c r="C88" i="17"/>
  <c r="B88" i="17"/>
  <c r="A88" i="17"/>
  <c r="M88" i="17" s="1"/>
  <c r="V87" i="17"/>
  <c r="K87" i="17"/>
  <c r="J87" i="17"/>
  <c r="I87" i="17"/>
  <c r="H87" i="17"/>
  <c r="G87" i="17"/>
  <c r="B20" i="10" s="1"/>
  <c r="F87" i="17"/>
  <c r="E87" i="17"/>
  <c r="D87" i="17"/>
  <c r="C87" i="17"/>
  <c r="B87" i="17"/>
  <c r="A87" i="17"/>
  <c r="V86" i="17"/>
  <c r="R86" i="17"/>
  <c r="K86" i="17"/>
  <c r="J86" i="17"/>
  <c r="I86" i="17"/>
  <c r="H86" i="17"/>
  <c r="G86" i="17"/>
  <c r="B19" i="10" s="1"/>
  <c r="F86" i="17"/>
  <c r="E86" i="17"/>
  <c r="D86" i="17"/>
  <c r="C86" i="17"/>
  <c r="B86" i="17"/>
  <c r="A86" i="17"/>
  <c r="M86" i="17" s="1"/>
  <c r="X85" i="17"/>
  <c r="R85" i="17"/>
  <c r="K85" i="17"/>
  <c r="J85" i="17"/>
  <c r="I85" i="17"/>
  <c r="H85" i="17"/>
  <c r="G85" i="17"/>
  <c r="F85" i="17"/>
  <c r="E85" i="17"/>
  <c r="D85" i="17"/>
  <c r="C85" i="17"/>
  <c r="B85" i="17"/>
  <c r="A85" i="17"/>
  <c r="M85" i="17" s="1"/>
  <c r="X84" i="17"/>
  <c r="P84" i="17"/>
  <c r="K84" i="17"/>
  <c r="J84" i="17"/>
  <c r="I84" i="17"/>
  <c r="H84" i="17"/>
  <c r="G84" i="17"/>
  <c r="F84" i="17"/>
  <c r="E84" i="17"/>
  <c r="D84" i="17"/>
  <c r="C84" i="17"/>
  <c r="B84" i="17"/>
  <c r="A84" i="17"/>
  <c r="M84" i="17" s="1"/>
  <c r="X83" i="17"/>
  <c r="R83" i="17"/>
  <c r="K83" i="17"/>
  <c r="J83" i="17"/>
  <c r="I83" i="17"/>
  <c r="H83" i="17"/>
  <c r="G83" i="17"/>
  <c r="F83" i="17"/>
  <c r="E83" i="17"/>
  <c r="D83" i="17"/>
  <c r="C83" i="17"/>
  <c r="B83" i="17"/>
  <c r="A83" i="17"/>
  <c r="M83" i="17" s="1"/>
  <c r="V82" i="17"/>
  <c r="R82" i="17"/>
  <c r="P82" i="17"/>
  <c r="K82" i="17"/>
  <c r="J82" i="17"/>
  <c r="I82" i="17"/>
  <c r="H82" i="17"/>
  <c r="G82" i="17"/>
  <c r="F82" i="17"/>
  <c r="E82" i="17"/>
  <c r="D82" i="17"/>
  <c r="C82" i="17"/>
  <c r="B82" i="17"/>
  <c r="A82" i="17"/>
  <c r="V81" i="17"/>
  <c r="R81" i="17"/>
  <c r="P81" i="17"/>
  <c r="K81" i="17"/>
  <c r="J81" i="17"/>
  <c r="I81" i="17"/>
  <c r="H81" i="17"/>
  <c r="G81" i="17"/>
  <c r="F81" i="17"/>
  <c r="E81" i="17"/>
  <c r="D81" i="17"/>
  <c r="C81" i="17"/>
  <c r="B81" i="17"/>
  <c r="A81" i="17"/>
  <c r="M81" i="17" s="1"/>
  <c r="V80" i="17"/>
  <c r="R80" i="17"/>
  <c r="P80" i="17"/>
  <c r="K80" i="17"/>
  <c r="J80" i="17"/>
  <c r="I80" i="17"/>
  <c r="H80" i="17"/>
  <c r="G80" i="17"/>
  <c r="F80" i="17"/>
  <c r="E80" i="17"/>
  <c r="D80" i="17"/>
  <c r="C80" i="17"/>
  <c r="B80" i="17"/>
  <c r="A80" i="17"/>
  <c r="V79" i="17"/>
  <c r="R79" i="17"/>
  <c r="P79" i="17"/>
  <c r="K79" i="17"/>
  <c r="J79" i="17"/>
  <c r="I79" i="17"/>
  <c r="H79" i="17"/>
  <c r="G79" i="17"/>
  <c r="B21" i="9" s="1"/>
  <c r="F79" i="17"/>
  <c r="E79" i="17"/>
  <c r="D79" i="17"/>
  <c r="C79" i="17"/>
  <c r="B79" i="17"/>
  <c r="A79" i="17"/>
  <c r="M79" i="17" s="1"/>
  <c r="V78" i="17"/>
  <c r="S78" i="17"/>
  <c r="R78" i="17"/>
  <c r="P78" i="17"/>
  <c r="K78" i="17"/>
  <c r="J78" i="17"/>
  <c r="I78" i="17"/>
  <c r="H78" i="17"/>
  <c r="G78" i="17"/>
  <c r="B20" i="9" s="1"/>
  <c r="F78" i="17"/>
  <c r="E78" i="17"/>
  <c r="D78" i="17"/>
  <c r="C78" i="17"/>
  <c r="B78" i="17"/>
  <c r="A78" i="17"/>
  <c r="M78" i="17" s="1"/>
  <c r="V77" i="17"/>
  <c r="R77" i="17"/>
  <c r="P77" i="17"/>
  <c r="K77" i="17"/>
  <c r="J77" i="17"/>
  <c r="I77" i="17"/>
  <c r="H77" i="17"/>
  <c r="G77" i="17"/>
  <c r="B19" i="9" s="1"/>
  <c r="F77" i="17"/>
  <c r="E77" i="17"/>
  <c r="D77" i="17"/>
  <c r="C77" i="17"/>
  <c r="B77" i="17"/>
  <c r="A77" i="17"/>
  <c r="M77" i="17" s="1"/>
  <c r="X76" i="17"/>
  <c r="R76" i="17"/>
  <c r="P76" i="17"/>
  <c r="K76" i="17"/>
  <c r="J76" i="17"/>
  <c r="I76" i="17"/>
  <c r="H76" i="17"/>
  <c r="G76" i="17"/>
  <c r="F76" i="17"/>
  <c r="E76" i="17"/>
  <c r="D76" i="17"/>
  <c r="C76" i="17"/>
  <c r="B76" i="17"/>
  <c r="A76" i="17"/>
  <c r="X75" i="17"/>
  <c r="R75" i="17"/>
  <c r="P75" i="17"/>
  <c r="K75" i="17"/>
  <c r="J75" i="17"/>
  <c r="I75" i="17"/>
  <c r="H75" i="17"/>
  <c r="G75" i="17"/>
  <c r="F75" i="17"/>
  <c r="E75" i="17"/>
  <c r="D75" i="17"/>
  <c r="C75" i="17"/>
  <c r="B75" i="17"/>
  <c r="A75" i="17"/>
  <c r="M75" i="17" s="1"/>
  <c r="X74" i="17"/>
  <c r="R74" i="17"/>
  <c r="P74" i="17"/>
  <c r="K74" i="17"/>
  <c r="J74" i="17"/>
  <c r="I74" i="17"/>
  <c r="H74" i="17"/>
  <c r="G74" i="17"/>
  <c r="F74" i="17"/>
  <c r="E74" i="17"/>
  <c r="D74" i="17"/>
  <c r="C74" i="17"/>
  <c r="B74" i="17"/>
  <c r="A74" i="17"/>
  <c r="X73" i="17"/>
  <c r="K73" i="17"/>
  <c r="J73" i="17"/>
  <c r="I73" i="17"/>
  <c r="H73" i="17"/>
  <c r="G73" i="17"/>
  <c r="F73" i="17"/>
  <c r="E73" i="17"/>
  <c r="D73" i="17"/>
  <c r="C73" i="17"/>
  <c r="B73" i="17"/>
  <c r="A73" i="17"/>
  <c r="X72" i="17"/>
  <c r="K72" i="17"/>
  <c r="J72" i="17"/>
  <c r="I72" i="17"/>
  <c r="H72" i="17"/>
  <c r="G72" i="17"/>
  <c r="F72" i="17"/>
  <c r="E72" i="17"/>
  <c r="D72" i="17"/>
  <c r="C72" i="17"/>
  <c r="B72" i="17"/>
  <c r="A72" i="17"/>
  <c r="M72" i="17" s="1"/>
  <c r="X71" i="17"/>
  <c r="K71" i="17"/>
  <c r="J71" i="17"/>
  <c r="I71" i="17"/>
  <c r="H71" i="17"/>
  <c r="G71" i="17"/>
  <c r="F71" i="17"/>
  <c r="E71" i="17"/>
  <c r="D71" i="17"/>
  <c r="C71" i="17"/>
  <c r="B71" i="17"/>
  <c r="A71" i="17"/>
  <c r="X70" i="17"/>
  <c r="K70" i="17"/>
  <c r="J70" i="17"/>
  <c r="I70" i="17"/>
  <c r="H70" i="17"/>
  <c r="G70" i="17"/>
  <c r="B21" i="8" s="1"/>
  <c r="F70" i="17"/>
  <c r="E70" i="17"/>
  <c r="D70" i="17"/>
  <c r="C70" i="17"/>
  <c r="B70" i="17"/>
  <c r="A70" i="17"/>
  <c r="X69" i="17"/>
  <c r="K69" i="17"/>
  <c r="J69" i="17"/>
  <c r="I69" i="17"/>
  <c r="H69" i="17"/>
  <c r="G69" i="17"/>
  <c r="B20" i="8" s="1"/>
  <c r="F69" i="17"/>
  <c r="E69" i="17"/>
  <c r="D69" i="17"/>
  <c r="C69" i="17"/>
  <c r="B69" i="17"/>
  <c r="A69" i="17"/>
  <c r="M69" i="17" s="1"/>
  <c r="X68" i="17"/>
  <c r="K68" i="17"/>
  <c r="J68" i="17"/>
  <c r="I68" i="17"/>
  <c r="H68" i="17"/>
  <c r="G68" i="17"/>
  <c r="B19" i="8" s="1"/>
  <c r="F68" i="17"/>
  <c r="E68" i="17"/>
  <c r="D68" i="17"/>
  <c r="C68" i="17"/>
  <c r="B68" i="17"/>
  <c r="A68" i="17"/>
  <c r="M68" i="17" s="1"/>
  <c r="X67" i="17"/>
  <c r="K67" i="17"/>
  <c r="J67" i="17"/>
  <c r="I67" i="17"/>
  <c r="H67" i="17"/>
  <c r="G67" i="17"/>
  <c r="F67" i="17"/>
  <c r="E67" i="17"/>
  <c r="D67" i="17"/>
  <c r="C67" i="17"/>
  <c r="B67" i="17"/>
  <c r="A67" i="17"/>
  <c r="M67" i="17" s="1"/>
  <c r="X66" i="17"/>
  <c r="K66" i="17"/>
  <c r="J66" i="17"/>
  <c r="I66" i="17"/>
  <c r="H66" i="17"/>
  <c r="G66" i="17"/>
  <c r="F66" i="17"/>
  <c r="E66" i="17"/>
  <c r="D66" i="17"/>
  <c r="C66" i="17"/>
  <c r="B66" i="17"/>
  <c r="A66" i="17"/>
  <c r="M66" i="17" s="1"/>
  <c r="X65" i="17"/>
  <c r="K65" i="17"/>
  <c r="J65" i="17"/>
  <c r="I65" i="17"/>
  <c r="H65" i="17"/>
  <c r="G65" i="17"/>
  <c r="F65" i="17"/>
  <c r="E65" i="17"/>
  <c r="D65" i="17"/>
  <c r="C65" i="17"/>
  <c r="B65" i="17"/>
  <c r="A65" i="17"/>
  <c r="X64" i="17"/>
  <c r="K64" i="17"/>
  <c r="J64" i="17"/>
  <c r="I64" i="17"/>
  <c r="H64" i="17"/>
  <c r="G64" i="17"/>
  <c r="F64" i="17"/>
  <c r="E64" i="17"/>
  <c r="D64" i="17"/>
  <c r="C64" i="17"/>
  <c r="B64" i="17"/>
  <c r="A64" i="17"/>
  <c r="N64" i="17" s="1"/>
  <c r="X63" i="17"/>
  <c r="K63" i="17"/>
  <c r="J63" i="17"/>
  <c r="I63" i="17"/>
  <c r="H63" i="17"/>
  <c r="G63" i="17"/>
  <c r="F63" i="17"/>
  <c r="E63" i="17"/>
  <c r="D63" i="17"/>
  <c r="C63" i="17"/>
  <c r="B63" i="17"/>
  <c r="A63" i="17"/>
  <c r="N63" i="17" s="1"/>
  <c r="X62" i="17"/>
  <c r="K62" i="17"/>
  <c r="J62" i="17"/>
  <c r="I62" i="17"/>
  <c r="H62" i="17"/>
  <c r="G62" i="17"/>
  <c r="F62" i="17"/>
  <c r="E62" i="17"/>
  <c r="D62" i="17"/>
  <c r="C62" i="17"/>
  <c r="B62" i="17"/>
  <c r="A62" i="17"/>
  <c r="M62" i="17" s="1"/>
  <c r="X61" i="17"/>
  <c r="K61" i="17"/>
  <c r="J61" i="17"/>
  <c r="I61" i="17"/>
  <c r="H61" i="17"/>
  <c r="G61" i="17"/>
  <c r="B21" i="7" s="1"/>
  <c r="F61" i="17"/>
  <c r="E61" i="17"/>
  <c r="D61" i="17"/>
  <c r="C61" i="17"/>
  <c r="B61" i="17"/>
  <c r="A61" i="17"/>
  <c r="M61" i="17" s="1"/>
  <c r="X60" i="17"/>
  <c r="K60" i="17"/>
  <c r="J60" i="17"/>
  <c r="I60" i="17"/>
  <c r="H60" i="17"/>
  <c r="G60" i="17"/>
  <c r="B20" i="7" s="1"/>
  <c r="F60" i="17"/>
  <c r="E60" i="17"/>
  <c r="D60" i="17"/>
  <c r="C60" i="17"/>
  <c r="B60" i="17"/>
  <c r="A60" i="17"/>
  <c r="L60" i="17" s="1"/>
  <c r="X59" i="17"/>
  <c r="K59" i="17"/>
  <c r="J59" i="17"/>
  <c r="I59" i="17"/>
  <c r="H59" i="17"/>
  <c r="G59" i="17"/>
  <c r="B19" i="7" s="1"/>
  <c r="F59" i="17"/>
  <c r="E59" i="17"/>
  <c r="D59" i="17"/>
  <c r="C59" i="17"/>
  <c r="B59" i="17"/>
  <c r="A59" i="17"/>
  <c r="N59" i="17" s="1"/>
  <c r="X58" i="17"/>
  <c r="K58" i="17"/>
  <c r="J58" i="17"/>
  <c r="I58" i="17"/>
  <c r="H58" i="17"/>
  <c r="G58" i="17"/>
  <c r="F58" i="17"/>
  <c r="E58" i="17"/>
  <c r="D58" i="17"/>
  <c r="C58" i="17"/>
  <c r="B58" i="17"/>
  <c r="A58" i="17"/>
  <c r="X57" i="17"/>
  <c r="K57" i="17"/>
  <c r="J57" i="17"/>
  <c r="I57" i="17"/>
  <c r="H57" i="17"/>
  <c r="G57" i="17"/>
  <c r="F57" i="17"/>
  <c r="E57" i="17"/>
  <c r="D57" i="17"/>
  <c r="C57" i="17"/>
  <c r="B57" i="17"/>
  <c r="A57" i="17"/>
  <c r="N57" i="17" s="1"/>
  <c r="X56" i="17"/>
  <c r="S56" i="17"/>
  <c r="K56" i="17"/>
  <c r="J56" i="17"/>
  <c r="I56" i="17"/>
  <c r="H56" i="17"/>
  <c r="G56" i="17"/>
  <c r="F56" i="17"/>
  <c r="E56" i="17"/>
  <c r="D56" i="17"/>
  <c r="C56" i="17"/>
  <c r="B56" i="17"/>
  <c r="A56" i="17"/>
  <c r="X55" i="17"/>
  <c r="U55" i="17"/>
  <c r="P55" i="17"/>
  <c r="K55" i="17"/>
  <c r="J55" i="17"/>
  <c r="I55" i="17"/>
  <c r="H55" i="17"/>
  <c r="G55" i="17"/>
  <c r="F55" i="17"/>
  <c r="E55" i="17"/>
  <c r="D55" i="17"/>
  <c r="C55" i="17"/>
  <c r="B55" i="17"/>
  <c r="A55" i="17"/>
  <c r="L55" i="17" s="1"/>
  <c r="X54" i="17"/>
  <c r="U54" i="17"/>
  <c r="K54" i="17"/>
  <c r="J54" i="17"/>
  <c r="I54" i="17"/>
  <c r="H54" i="17"/>
  <c r="G54" i="17"/>
  <c r="F54" i="17"/>
  <c r="E54" i="17"/>
  <c r="D54" i="17"/>
  <c r="C54" i="17"/>
  <c r="B54" i="17"/>
  <c r="A54" i="17"/>
  <c r="X53" i="17"/>
  <c r="U53" i="17"/>
  <c r="K53" i="17"/>
  <c r="J53" i="17"/>
  <c r="I53" i="17"/>
  <c r="H53" i="17"/>
  <c r="G53" i="17"/>
  <c r="F53" i="17"/>
  <c r="E53" i="17"/>
  <c r="D53" i="17"/>
  <c r="C53" i="17"/>
  <c r="B53" i="17"/>
  <c r="A53" i="17"/>
  <c r="M53" i="17" s="1"/>
  <c r="X52" i="17"/>
  <c r="R52" i="17"/>
  <c r="K52" i="17"/>
  <c r="J52" i="17"/>
  <c r="I52" i="17"/>
  <c r="H52" i="17"/>
  <c r="G52" i="17"/>
  <c r="B21" i="6" s="1"/>
  <c r="F52" i="17"/>
  <c r="E52" i="17"/>
  <c r="D52" i="17"/>
  <c r="C52" i="17"/>
  <c r="B52" i="17"/>
  <c r="A52" i="17"/>
  <c r="M52" i="17" s="1"/>
  <c r="X51" i="17"/>
  <c r="K51" i="17"/>
  <c r="J51" i="17"/>
  <c r="I51" i="17"/>
  <c r="H51" i="17"/>
  <c r="G51" i="17"/>
  <c r="B20" i="6" s="1"/>
  <c r="F51" i="17"/>
  <c r="E51" i="17"/>
  <c r="D51" i="17"/>
  <c r="C51" i="17"/>
  <c r="B51" i="17"/>
  <c r="A51" i="17"/>
  <c r="X50" i="17"/>
  <c r="K50" i="17"/>
  <c r="J50" i="17"/>
  <c r="I50" i="17"/>
  <c r="H50" i="17"/>
  <c r="G50" i="17"/>
  <c r="B19" i="6" s="1"/>
  <c r="F50" i="17"/>
  <c r="E50" i="17"/>
  <c r="D50" i="17"/>
  <c r="C50" i="17"/>
  <c r="B50" i="17"/>
  <c r="A50" i="17"/>
  <c r="N50" i="17" s="1"/>
  <c r="X49" i="17"/>
  <c r="K49" i="17"/>
  <c r="J49" i="17"/>
  <c r="I49" i="17"/>
  <c r="H49" i="17"/>
  <c r="G49" i="17"/>
  <c r="F49" i="17"/>
  <c r="E49" i="17"/>
  <c r="D49" i="17"/>
  <c r="C49" i="17"/>
  <c r="B49" i="17"/>
  <c r="A49" i="17"/>
  <c r="M49" i="17" s="1"/>
  <c r="X48" i="17"/>
  <c r="K48" i="17"/>
  <c r="J48" i="17"/>
  <c r="I48" i="17"/>
  <c r="H48" i="17"/>
  <c r="G48" i="17"/>
  <c r="F48" i="17"/>
  <c r="E48" i="17"/>
  <c r="D48" i="17"/>
  <c r="C48" i="17"/>
  <c r="B48" i="17"/>
  <c r="A48" i="17"/>
  <c r="N48" i="17" s="1"/>
  <c r="X47" i="17"/>
  <c r="K47" i="17"/>
  <c r="J47" i="17"/>
  <c r="I47" i="17"/>
  <c r="H47" i="17"/>
  <c r="G47" i="17"/>
  <c r="F47" i="17"/>
  <c r="E47" i="17"/>
  <c r="D47" i="17"/>
  <c r="C47" i="17"/>
  <c r="B47" i="17"/>
  <c r="A47" i="17"/>
  <c r="L47" i="17" s="1"/>
  <c r="V46" i="17"/>
  <c r="R46" i="17"/>
  <c r="P46" i="17"/>
  <c r="K46" i="17"/>
  <c r="J46" i="17"/>
  <c r="I46" i="17"/>
  <c r="H46" i="17"/>
  <c r="G46" i="17"/>
  <c r="F46" i="17"/>
  <c r="E46" i="17"/>
  <c r="D46" i="17"/>
  <c r="C46" i="17"/>
  <c r="B46" i="17"/>
  <c r="A46" i="17"/>
  <c r="L46" i="17" s="1"/>
  <c r="V45" i="17"/>
  <c r="R45" i="17"/>
  <c r="P45" i="17"/>
  <c r="K45" i="17"/>
  <c r="J45" i="17"/>
  <c r="I45" i="17"/>
  <c r="H45" i="17"/>
  <c r="G45" i="17"/>
  <c r="F45" i="17"/>
  <c r="E45" i="17"/>
  <c r="D45" i="17"/>
  <c r="C45" i="17"/>
  <c r="B45" i="17"/>
  <c r="A45" i="17"/>
  <c r="V44" i="17"/>
  <c r="R44" i="17"/>
  <c r="P44" i="17"/>
  <c r="K44" i="17"/>
  <c r="J44" i="17"/>
  <c r="I44" i="17"/>
  <c r="H44" i="17"/>
  <c r="G44" i="17"/>
  <c r="F44" i="17"/>
  <c r="E44" i="17"/>
  <c r="D44" i="17"/>
  <c r="C44" i="17"/>
  <c r="B44" i="17"/>
  <c r="A44" i="17"/>
  <c r="L44" i="17" s="1"/>
  <c r="V43" i="17"/>
  <c r="R43" i="17"/>
  <c r="P43" i="17"/>
  <c r="K43" i="17"/>
  <c r="J43" i="17"/>
  <c r="I43" i="17"/>
  <c r="H43" i="17"/>
  <c r="G43" i="17"/>
  <c r="B21" i="5" s="1"/>
  <c r="F43" i="17"/>
  <c r="E43" i="17"/>
  <c r="D43" i="17"/>
  <c r="C43" i="17"/>
  <c r="B43" i="17"/>
  <c r="A43" i="17"/>
  <c r="L43" i="17" s="1"/>
  <c r="V42" i="17"/>
  <c r="R42" i="17"/>
  <c r="P42" i="17"/>
  <c r="K42" i="17"/>
  <c r="J42" i="17"/>
  <c r="I42" i="17"/>
  <c r="H42" i="17"/>
  <c r="G42" i="17"/>
  <c r="B20" i="5" s="1"/>
  <c r="F42" i="17"/>
  <c r="E42" i="17"/>
  <c r="D42" i="17"/>
  <c r="C42" i="17"/>
  <c r="B42" i="17"/>
  <c r="A42" i="17"/>
  <c r="L42" i="17" s="1"/>
  <c r="V41" i="17"/>
  <c r="R41" i="17"/>
  <c r="P41" i="17"/>
  <c r="K41" i="17"/>
  <c r="J41" i="17"/>
  <c r="I41" i="17"/>
  <c r="H41" i="17"/>
  <c r="G41" i="17"/>
  <c r="B19" i="5" s="1"/>
  <c r="F41" i="17"/>
  <c r="E41" i="17"/>
  <c r="D41" i="17"/>
  <c r="C41" i="17"/>
  <c r="B41" i="17"/>
  <c r="A41" i="17"/>
  <c r="L41" i="17" s="1"/>
  <c r="Y40" i="17"/>
  <c r="X40" i="17"/>
  <c r="R40" i="17"/>
  <c r="P40" i="17"/>
  <c r="K40" i="17"/>
  <c r="J40" i="17"/>
  <c r="I40" i="17"/>
  <c r="H40" i="17"/>
  <c r="G40" i="17"/>
  <c r="F40" i="17"/>
  <c r="E40" i="17"/>
  <c r="D40" i="17"/>
  <c r="C40" i="17"/>
  <c r="B40" i="17"/>
  <c r="A40" i="17"/>
  <c r="M40" i="17" s="1"/>
  <c r="Y39" i="17"/>
  <c r="X39" i="17"/>
  <c r="S39" i="17"/>
  <c r="R39" i="17"/>
  <c r="P39" i="17"/>
  <c r="K39" i="17"/>
  <c r="J39" i="17"/>
  <c r="I39" i="17"/>
  <c r="H39" i="17"/>
  <c r="G39" i="17"/>
  <c r="F39" i="17"/>
  <c r="E39" i="17"/>
  <c r="D39" i="17"/>
  <c r="C39" i="17"/>
  <c r="B39" i="17"/>
  <c r="A39" i="17"/>
  <c r="Y38" i="17"/>
  <c r="X38" i="17"/>
  <c r="R38" i="17"/>
  <c r="P38" i="17"/>
  <c r="Q38" i="17" s="1"/>
  <c r="K38" i="17"/>
  <c r="J38" i="17"/>
  <c r="I38" i="17"/>
  <c r="H38" i="17"/>
  <c r="G38" i="17"/>
  <c r="F38" i="17"/>
  <c r="E38" i="17"/>
  <c r="D38" i="17"/>
  <c r="C38" i="17"/>
  <c r="B38" i="17"/>
  <c r="A38" i="17"/>
  <c r="M38" i="17" s="1"/>
  <c r="V37" i="17"/>
  <c r="R37" i="17"/>
  <c r="P37" i="17"/>
  <c r="K37" i="17"/>
  <c r="J37" i="17"/>
  <c r="I37" i="17"/>
  <c r="H37" i="17"/>
  <c r="G37" i="17"/>
  <c r="F37" i="17"/>
  <c r="E37" i="17"/>
  <c r="D37" i="17"/>
  <c r="C37" i="17"/>
  <c r="B37" i="17"/>
  <c r="A37" i="17"/>
  <c r="M37" i="17" s="1"/>
  <c r="V36" i="17"/>
  <c r="R36" i="17"/>
  <c r="P36" i="17"/>
  <c r="K36" i="17"/>
  <c r="J36" i="17"/>
  <c r="I36" i="17"/>
  <c r="H36" i="17"/>
  <c r="G36" i="17"/>
  <c r="F36" i="17"/>
  <c r="E36" i="17"/>
  <c r="D36" i="17"/>
  <c r="C36" i="17"/>
  <c r="B36" i="17"/>
  <c r="A36" i="17"/>
  <c r="N36" i="17" s="1"/>
  <c r="V35" i="17"/>
  <c r="R35" i="17"/>
  <c r="P35" i="17"/>
  <c r="K35" i="17"/>
  <c r="J35" i="17"/>
  <c r="I35" i="17"/>
  <c r="H35" i="17"/>
  <c r="G35" i="17"/>
  <c r="F35" i="17"/>
  <c r="E35" i="17"/>
  <c r="D35" i="17"/>
  <c r="C35" i="17"/>
  <c r="B35" i="17"/>
  <c r="A35" i="17"/>
  <c r="M35" i="17" s="1"/>
  <c r="V34" i="17"/>
  <c r="S34" i="17"/>
  <c r="R34" i="17"/>
  <c r="P34" i="17"/>
  <c r="K34" i="17"/>
  <c r="J34" i="17"/>
  <c r="I34" i="17"/>
  <c r="H34" i="17"/>
  <c r="G34" i="17"/>
  <c r="B21" i="4" s="1"/>
  <c r="F34" i="17"/>
  <c r="E34" i="17"/>
  <c r="D34" i="17"/>
  <c r="C34" i="17"/>
  <c r="B34" i="17"/>
  <c r="A34" i="17"/>
  <c r="M34" i="17" s="1"/>
  <c r="V33" i="17"/>
  <c r="R33" i="17"/>
  <c r="P33" i="17"/>
  <c r="K33" i="17"/>
  <c r="J33" i="17"/>
  <c r="I33" i="17"/>
  <c r="H33" i="17"/>
  <c r="G33" i="17"/>
  <c r="B20" i="4" s="1"/>
  <c r="F33" i="17"/>
  <c r="E33" i="17"/>
  <c r="D33" i="17"/>
  <c r="C33" i="17"/>
  <c r="B33" i="17"/>
  <c r="A33" i="17"/>
  <c r="M33" i="17" s="1"/>
  <c r="V32" i="17"/>
  <c r="R32" i="17"/>
  <c r="P32" i="17"/>
  <c r="K32" i="17"/>
  <c r="J32" i="17"/>
  <c r="I32" i="17"/>
  <c r="H32" i="17"/>
  <c r="G32" i="17"/>
  <c r="B19" i="4" s="1"/>
  <c r="F32" i="17"/>
  <c r="E32" i="17"/>
  <c r="D32" i="17"/>
  <c r="C32" i="17"/>
  <c r="B32" i="17"/>
  <c r="A32" i="17"/>
  <c r="N32" i="17" s="1"/>
  <c r="Y31" i="17"/>
  <c r="X31" i="17"/>
  <c r="R31" i="17"/>
  <c r="P31" i="17"/>
  <c r="K31" i="17"/>
  <c r="J31" i="17"/>
  <c r="I31" i="17"/>
  <c r="H31" i="17"/>
  <c r="G31" i="17"/>
  <c r="F31" i="17"/>
  <c r="E31" i="17"/>
  <c r="D31" i="17"/>
  <c r="C31" i="17"/>
  <c r="B31" i="17"/>
  <c r="A31" i="17"/>
  <c r="L31" i="17" s="1"/>
  <c r="Y30" i="17"/>
  <c r="X30" i="17"/>
  <c r="R30" i="17"/>
  <c r="P30" i="17"/>
  <c r="K30" i="17"/>
  <c r="J30" i="17"/>
  <c r="I30" i="17"/>
  <c r="H30" i="17"/>
  <c r="G30" i="17"/>
  <c r="F30" i="17"/>
  <c r="E30" i="17"/>
  <c r="D30" i="17"/>
  <c r="C30" i="17"/>
  <c r="B30" i="17"/>
  <c r="A30" i="17"/>
  <c r="N30" i="17" s="1"/>
  <c r="Y29" i="17"/>
  <c r="X29" i="17"/>
  <c r="R29" i="17"/>
  <c r="P29" i="17"/>
  <c r="K29" i="17"/>
  <c r="J29" i="17"/>
  <c r="I29" i="17"/>
  <c r="H29" i="17"/>
  <c r="G29" i="17"/>
  <c r="F29" i="17"/>
  <c r="E29" i="17"/>
  <c r="D29" i="17"/>
  <c r="C29" i="17"/>
  <c r="B29" i="17"/>
  <c r="A29" i="17"/>
  <c r="X28" i="17"/>
  <c r="P28" i="17"/>
  <c r="K28" i="17"/>
  <c r="J28" i="17"/>
  <c r="I28" i="17"/>
  <c r="H28" i="17"/>
  <c r="G28" i="17"/>
  <c r="F28" i="17"/>
  <c r="E28" i="17"/>
  <c r="D28" i="17"/>
  <c r="C28" i="17"/>
  <c r="B28" i="17"/>
  <c r="A28" i="17"/>
  <c r="N28" i="17" s="1"/>
  <c r="X27" i="17"/>
  <c r="K27" i="17"/>
  <c r="J27" i="17"/>
  <c r="I27" i="17"/>
  <c r="H27" i="17"/>
  <c r="G27" i="17"/>
  <c r="F27" i="17"/>
  <c r="E27" i="17"/>
  <c r="D27" i="17"/>
  <c r="C27" i="17"/>
  <c r="B27" i="17"/>
  <c r="A27" i="17"/>
  <c r="N27" i="17" s="1"/>
  <c r="X26" i="17"/>
  <c r="R26" i="17"/>
  <c r="K26" i="17"/>
  <c r="J26" i="17"/>
  <c r="I26" i="17"/>
  <c r="H26" i="17"/>
  <c r="G26" i="17"/>
  <c r="F26" i="17"/>
  <c r="E26" i="17"/>
  <c r="D26" i="17"/>
  <c r="C26" i="17"/>
  <c r="B26" i="17"/>
  <c r="A26" i="17"/>
  <c r="X25" i="17"/>
  <c r="K25" i="17"/>
  <c r="J25" i="17"/>
  <c r="I25" i="17"/>
  <c r="H25" i="17"/>
  <c r="G25" i="17"/>
  <c r="B21" i="3" s="1"/>
  <c r="F25" i="17"/>
  <c r="E25" i="17"/>
  <c r="D25" i="17"/>
  <c r="C25" i="17"/>
  <c r="B25" i="17"/>
  <c r="A25" i="17"/>
  <c r="X24" i="17"/>
  <c r="S24" i="17"/>
  <c r="R24" i="17"/>
  <c r="K24" i="17"/>
  <c r="J24" i="17"/>
  <c r="I24" i="17"/>
  <c r="H24" i="17"/>
  <c r="G24" i="17"/>
  <c r="B20" i="3" s="1"/>
  <c r="F24" i="17"/>
  <c r="E24" i="17"/>
  <c r="D24" i="17"/>
  <c r="C24" i="17"/>
  <c r="B24" i="17"/>
  <c r="A24" i="17"/>
  <c r="L24" i="17" s="1"/>
  <c r="X23" i="17"/>
  <c r="K23" i="17"/>
  <c r="J23" i="17"/>
  <c r="I23" i="17"/>
  <c r="H23" i="17"/>
  <c r="G23" i="17"/>
  <c r="B19" i="3" s="1"/>
  <c r="F23" i="17"/>
  <c r="E23" i="17"/>
  <c r="D23" i="17"/>
  <c r="C23" i="17"/>
  <c r="B23" i="17"/>
  <c r="A23" i="17"/>
  <c r="L23" i="17" s="1"/>
  <c r="Y22" i="17"/>
  <c r="X22" i="17"/>
  <c r="S22" i="17"/>
  <c r="K22" i="17"/>
  <c r="J22" i="17"/>
  <c r="I22" i="17"/>
  <c r="H22" i="17"/>
  <c r="G22" i="17"/>
  <c r="F22" i="17"/>
  <c r="E22" i="17"/>
  <c r="D22" i="17"/>
  <c r="C22" i="17"/>
  <c r="B22" i="17"/>
  <c r="A22" i="17"/>
  <c r="M22" i="17" s="1"/>
  <c r="Y21" i="17"/>
  <c r="X21" i="17"/>
  <c r="R21" i="17"/>
  <c r="K21" i="17"/>
  <c r="J21" i="17"/>
  <c r="I21" i="17"/>
  <c r="H21" i="17"/>
  <c r="G21" i="17"/>
  <c r="F21" i="17"/>
  <c r="E21" i="17"/>
  <c r="D21" i="17"/>
  <c r="C21" i="17"/>
  <c r="B21" i="17"/>
  <c r="A21" i="17"/>
  <c r="N21" i="17" s="1"/>
  <c r="Y20" i="17"/>
  <c r="X20" i="17"/>
  <c r="S20" i="17"/>
  <c r="R20" i="17"/>
  <c r="K20" i="17"/>
  <c r="J20" i="17"/>
  <c r="I20" i="17"/>
  <c r="H20" i="17"/>
  <c r="G20" i="17"/>
  <c r="F20" i="17"/>
  <c r="E20" i="17"/>
  <c r="D20" i="17"/>
  <c r="C20" i="17"/>
  <c r="B20" i="17"/>
  <c r="A20" i="17"/>
  <c r="X19" i="17"/>
  <c r="S19" i="17"/>
  <c r="R19" i="17"/>
  <c r="Q19" i="17"/>
  <c r="P19" i="17"/>
  <c r="K19" i="17"/>
  <c r="J19" i="17"/>
  <c r="I19" i="17"/>
  <c r="H19" i="17"/>
  <c r="G19" i="17"/>
  <c r="F19" i="17"/>
  <c r="E19" i="17"/>
  <c r="D19" i="17"/>
  <c r="C19" i="17"/>
  <c r="B19" i="17"/>
  <c r="A19" i="17"/>
  <c r="X18" i="17"/>
  <c r="S18" i="17"/>
  <c r="R18" i="17"/>
  <c r="Q18" i="17"/>
  <c r="P18" i="17"/>
  <c r="K18" i="17"/>
  <c r="J18" i="17"/>
  <c r="I18" i="17"/>
  <c r="H18" i="17"/>
  <c r="G18" i="17"/>
  <c r="F18" i="17"/>
  <c r="E18" i="17"/>
  <c r="D18" i="17"/>
  <c r="C18" i="17"/>
  <c r="B18" i="17"/>
  <c r="A18" i="17"/>
  <c r="X17" i="17"/>
  <c r="S17" i="17"/>
  <c r="R17" i="17"/>
  <c r="Q17" i="17"/>
  <c r="P17" i="17"/>
  <c r="K17" i="17"/>
  <c r="J17" i="17"/>
  <c r="I17" i="17"/>
  <c r="H17" i="17"/>
  <c r="G17" i="17"/>
  <c r="F17" i="17"/>
  <c r="E17" i="17"/>
  <c r="D17" i="17"/>
  <c r="C17" i="17"/>
  <c r="B17" i="17"/>
  <c r="A17" i="17"/>
  <c r="X16" i="17"/>
  <c r="S16" i="17"/>
  <c r="R16" i="17"/>
  <c r="Q16" i="17"/>
  <c r="P16" i="17"/>
  <c r="K16" i="17"/>
  <c r="J16" i="17"/>
  <c r="I16" i="17"/>
  <c r="H16" i="17"/>
  <c r="G16" i="17"/>
  <c r="B21" i="1" s="1"/>
  <c r="F16" i="17"/>
  <c r="E16" i="17"/>
  <c r="D16" i="17"/>
  <c r="C16" i="17"/>
  <c r="B16" i="17"/>
  <c r="A16" i="17"/>
  <c r="X15" i="17"/>
  <c r="S15" i="17"/>
  <c r="R15" i="17"/>
  <c r="Q15" i="17"/>
  <c r="P15" i="17"/>
  <c r="K15" i="17"/>
  <c r="J15" i="17"/>
  <c r="I15" i="17"/>
  <c r="H15" i="17"/>
  <c r="G15" i="17"/>
  <c r="B20" i="1" s="1"/>
  <c r="F15" i="17"/>
  <c r="E15" i="17"/>
  <c r="D15" i="17"/>
  <c r="C15" i="17"/>
  <c r="B15" i="17"/>
  <c r="A15" i="17"/>
  <c r="X14" i="17"/>
  <c r="S14" i="17"/>
  <c r="R14" i="17"/>
  <c r="Q14" i="17"/>
  <c r="P14" i="17"/>
  <c r="K14" i="17"/>
  <c r="J14" i="17"/>
  <c r="I14" i="17"/>
  <c r="H14" i="17"/>
  <c r="G14" i="17"/>
  <c r="B19" i="1" s="1"/>
  <c r="F14" i="17"/>
  <c r="E14" i="17"/>
  <c r="D14" i="17"/>
  <c r="C14" i="17"/>
  <c r="B14" i="17"/>
  <c r="A14" i="17"/>
  <c r="M14" i="17" s="1"/>
  <c r="Y13" i="17"/>
  <c r="X13" i="17"/>
  <c r="S13" i="17"/>
  <c r="R13" i="17"/>
  <c r="P13" i="17"/>
  <c r="K13" i="17"/>
  <c r="J13" i="17"/>
  <c r="I13" i="17"/>
  <c r="H13" i="17"/>
  <c r="G13" i="17"/>
  <c r="F13" i="17"/>
  <c r="E13" i="17"/>
  <c r="D13" i="17"/>
  <c r="C13" i="17"/>
  <c r="B13" i="17"/>
  <c r="A13" i="17"/>
  <c r="M13" i="17" s="1"/>
  <c r="Y12" i="17"/>
  <c r="X12" i="17"/>
  <c r="S12" i="17"/>
  <c r="R12" i="17"/>
  <c r="P12" i="17"/>
  <c r="K12" i="17"/>
  <c r="J12" i="17"/>
  <c r="I12" i="17"/>
  <c r="H12" i="17"/>
  <c r="G12" i="17"/>
  <c r="F12" i="17"/>
  <c r="E12" i="17"/>
  <c r="D12" i="17"/>
  <c r="C12" i="17"/>
  <c r="B12" i="17"/>
  <c r="A12" i="17"/>
  <c r="M12" i="17" s="1"/>
  <c r="Y11" i="17"/>
  <c r="X11" i="17"/>
  <c r="S11" i="17"/>
  <c r="R11" i="17"/>
  <c r="P11" i="17"/>
  <c r="K11" i="17"/>
  <c r="J11" i="17"/>
  <c r="I11" i="17"/>
  <c r="H11" i="17"/>
  <c r="G11" i="17"/>
  <c r="F11" i="17"/>
  <c r="E11" i="17"/>
  <c r="D11" i="17"/>
  <c r="C11" i="17"/>
  <c r="B11" i="17"/>
  <c r="A11" i="17"/>
  <c r="N11" i="17" s="1"/>
  <c r="Y10" i="17"/>
  <c r="X10" i="17"/>
  <c r="U10" i="17"/>
  <c r="S10" i="17"/>
  <c r="R10" i="17"/>
  <c r="K10" i="17"/>
  <c r="J10" i="17"/>
  <c r="I10" i="17"/>
  <c r="H10" i="17"/>
  <c r="G10" i="17"/>
  <c r="F10" i="17"/>
  <c r="E10" i="17"/>
  <c r="B29" i="2" s="1"/>
  <c r="D10" i="17"/>
  <c r="C10" i="17"/>
  <c r="B10" i="17"/>
  <c r="A10" i="17"/>
  <c r="N10" i="17" s="1"/>
  <c r="Y9" i="17"/>
  <c r="X9" i="17"/>
  <c r="U9" i="17"/>
  <c r="S9" i="17"/>
  <c r="R9" i="17"/>
  <c r="K9" i="17"/>
  <c r="J9" i="17"/>
  <c r="I9" i="17"/>
  <c r="H9" i="17"/>
  <c r="G9" i="17"/>
  <c r="F9" i="17"/>
  <c r="E9" i="17"/>
  <c r="B28" i="2" s="1"/>
  <c r="D9" i="17"/>
  <c r="C9" i="17"/>
  <c r="B9" i="17"/>
  <c r="A9" i="17"/>
  <c r="N9" i="17" s="1"/>
  <c r="Y8" i="17"/>
  <c r="X8" i="17"/>
  <c r="U8" i="17"/>
  <c r="S8" i="17"/>
  <c r="R8" i="17"/>
  <c r="K8" i="17"/>
  <c r="J8" i="17"/>
  <c r="I8" i="17"/>
  <c r="H8" i="17"/>
  <c r="G8" i="17"/>
  <c r="F8" i="17"/>
  <c r="E8" i="17"/>
  <c r="B27" i="2" s="1"/>
  <c r="D8" i="17"/>
  <c r="C8" i="17"/>
  <c r="B8" i="17"/>
  <c r="A8" i="17"/>
  <c r="N8" i="17" s="1"/>
  <c r="X7" i="17"/>
  <c r="S7" i="17"/>
  <c r="R7" i="17"/>
  <c r="K7" i="17"/>
  <c r="J7" i="17"/>
  <c r="I7" i="17"/>
  <c r="H7" i="17"/>
  <c r="G7" i="17"/>
  <c r="B21" i="2" s="1"/>
  <c r="F7" i="17"/>
  <c r="E7" i="17"/>
  <c r="B33" i="2" s="1"/>
  <c r="B60" i="2" s="1"/>
  <c r="D7" i="17"/>
  <c r="C7" i="17"/>
  <c r="B7" i="17"/>
  <c r="A7" i="17"/>
  <c r="N7" i="17" s="1"/>
  <c r="X6" i="17"/>
  <c r="S6" i="17"/>
  <c r="R6" i="17"/>
  <c r="K6" i="17"/>
  <c r="J6" i="17"/>
  <c r="I6" i="17"/>
  <c r="H6" i="17"/>
  <c r="G6" i="17"/>
  <c r="B20" i="2" s="1"/>
  <c r="F6" i="17"/>
  <c r="E6" i="17"/>
  <c r="B32" i="2" s="1"/>
  <c r="D6" i="17"/>
  <c r="C6" i="17"/>
  <c r="B6" i="17"/>
  <c r="A6" i="17"/>
  <c r="N6" i="17" s="1"/>
  <c r="X5" i="17"/>
  <c r="S5" i="17"/>
  <c r="R5" i="17"/>
  <c r="K5" i="17"/>
  <c r="J5" i="17"/>
  <c r="I5" i="17"/>
  <c r="H5" i="17"/>
  <c r="G5" i="17"/>
  <c r="B19" i="2" s="1"/>
  <c r="F5" i="17"/>
  <c r="E5" i="17"/>
  <c r="B31" i="2" s="1"/>
  <c r="D5" i="17"/>
  <c r="C5" i="17"/>
  <c r="B5" i="17"/>
  <c r="A5" i="17"/>
  <c r="N5" i="17" s="1"/>
  <c r="Y4" i="17"/>
  <c r="X4" i="17"/>
  <c r="S4" i="17"/>
  <c r="R4" i="17"/>
  <c r="K4" i="17"/>
  <c r="J4" i="17"/>
  <c r="I4" i="17"/>
  <c r="H4" i="17"/>
  <c r="G4" i="17"/>
  <c r="F4" i="17"/>
  <c r="E4" i="17"/>
  <c r="B25" i="2" s="1"/>
  <c r="D4" i="17"/>
  <c r="C4" i="17"/>
  <c r="B4" i="17"/>
  <c r="A4" i="17"/>
  <c r="M4" i="17" s="1"/>
  <c r="Y3" i="17"/>
  <c r="X3" i="17"/>
  <c r="S3" i="17"/>
  <c r="R3" i="17"/>
  <c r="K3" i="17"/>
  <c r="J3" i="17"/>
  <c r="I3" i="17"/>
  <c r="H3" i="17"/>
  <c r="G3" i="17"/>
  <c r="F3" i="17"/>
  <c r="E3" i="17"/>
  <c r="B24" i="2" s="1"/>
  <c r="D3" i="17"/>
  <c r="C3" i="17"/>
  <c r="B3" i="17"/>
  <c r="A3" i="17"/>
  <c r="L3" i="17" s="1"/>
  <c r="Y2" i="17"/>
  <c r="X2" i="17"/>
  <c r="S2" i="17"/>
  <c r="R2" i="17"/>
  <c r="K2" i="17"/>
  <c r="J2" i="17"/>
  <c r="I2" i="17"/>
  <c r="H2" i="17"/>
  <c r="G2" i="17"/>
  <c r="F2" i="17"/>
  <c r="E2" i="17"/>
  <c r="B23" i="2" s="1"/>
  <c r="D2" i="17"/>
  <c r="C2" i="17"/>
  <c r="B2" i="17"/>
  <c r="A2" i="17"/>
  <c r="M2" i="17" s="1"/>
  <c r="L1" i="17"/>
  <c r="K1" i="17"/>
  <c r="J1" i="17"/>
  <c r="I1" i="17"/>
  <c r="H1" i="17"/>
  <c r="G1" i="17"/>
  <c r="F1" i="17"/>
  <c r="E1" i="17"/>
  <c r="D1" i="17"/>
  <c r="C1" i="17"/>
  <c r="B1" i="17"/>
  <c r="A1" i="17"/>
  <c r="F45" i="2" l="1"/>
  <c r="F60" i="2"/>
  <c r="S110" i="17"/>
  <c r="S190" i="17"/>
  <c r="S100" i="17"/>
  <c r="S105" i="17"/>
  <c r="S253" i="17"/>
  <c r="S258" i="17"/>
  <c r="S131" i="17"/>
  <c r="S244" i="17"/>
  <c r="S270" i="17"/>
  <c r="S112" i="17"/>
  <c r="C19" i="2"/>
  <c r="D19" i="2" s="1"/>
  <c r="E19" i="2" s="1"/>
  <c r="C21" i="2"/>
  <c r="D21" i="2" s="1"/>
  <c r="E21" i="2" s="1"/>
  <c r="C24" i="2"/>
  <c r="B36" i="2"/>
  <c r="C27" i="2"/>
  <c r="B39" i="2"/>
  <c r="C29" i="2"/>
  <c r="B41" i="2"/>
  <c r="C23" i="2"/>
  <c r="B35" i="2"/>
  <c r="C20" i="2"/>
  <c r="D20" i="2" s="1"/>
  <c r="E20" i="2" s="1"/>
  <c r="C33" i="2"/>
  <c r="C60" i="2" s="1"/>
  <c r="B62" i="2"/>
  <c r="B45" i="2"/>
  <c r="F37" i="2"/>
  <c r="F44" i="2"/>
  <c r="F54" i="2"/>
  <c r="C32" i="2"/>
  <c r="B54" i="2"/>
  <c r="B58" i="2"/>
  <c r="B56" i="2"/>
  <c r="B57" i="2"/>
  <c r="B44" i="2"/>
  <c r="B55" i="2"/>
  <c r="C28" i="2"/>
  <c r="B40" i="2"/>
  <c r="F50" i="2"/>
  <c r="F43" i="2"/>
  <c r="F48" i="2"/>
  <c r="B50" i="2"/>
  <c r="C31" i="2"/>
  <c r="B43" i="2"/>
  <c r="C25" i="2"/>
  <c r="B37" i="2"/>
  <c r="S26" i="17"/>
  <c r="S156" i="17"/>
  <c r="S159" i="17"/>
  <c r="S166" i="17"/>
  <c r="Q166" i="17" s="1"/>
  <c r="S27" i="17"/>
  <c r="S35" i="17"/>
  <c r="S157" i="17"/>
  <c r="S163" i="17"/>
  <c r="S171" i="17"/>
  <c r="K9" i="5"/>
  <c r="C68" i="10"/>
  <c r="C68" i="15" s="1"/>
  <c r="Q165" i="17"/>
  <c r="D67" i="11"/>
  <c r="D68" i="6"/>
  <c r="Q36" i="17"/>
  <c r="E67" i="11"/>
  <c r="E68" i="6"/>
  <c r="H67" i="11"/>
  <c r="H68" i="6"/>
  <c r="Q147" i="17"/>
  <c r="L9" i="1"/>
  <c r="S25" i="17"/>
  <c r="S29" i="17"/>
  <c r="Q29" i="17" s="1"/>
  <c r="S30" i="17"/>
  <c r="Q30" i="17" s="1"/>
  <c r="S33" i="17"/>
  <c r="Q33" i="17" s="1"/>
  <c r="Q35" i="17"/>
  <c r="S37" i="17"/>
  <c r="Q37" i="17" s="1"/>
  <c r="Q39" i="17"/>
  <c r="Q146" i="17"/>
  <c r="Q150" i="17"/>
  <c r="S155" i="17"/>
  <c r="S162" i="17"/>
  <c r="S165" i="17"/>
  <c r="Q167" i="17"/>
  <c r="S169" i="17"/>
  <c r="Q169" i="17" s="1"/>
  <c r="Q171" i="17"/>
  <c r="H8" i="1"/>
  <c r="B68" i="6"/>
  <c r="G68" i="6"/>
  <c r="F67" i="11"/>
  <c r="F68" i="6"/>
  <c r="C68" i="7"/>
  <c r="Q168" i="17"/>
  <c r="Q11" i="17"/>
  <c r="Q12" i="17"/>
  <c r="Q13" i="17"/>
  <c r="S21" i="17"/>
  <c r="S23" i="17"/>
  <c r="S31" i="17"/>
  <c r="Q31" i="17" s="1"/>
  <c r="S32" i="17"/>
  <c r="Q32" i="17" s="1"/>
  <c r="Q34" i="17"/>
  <c r="Q149" i="17"/>
  <c r="R156" i="17"/>
  <c r="S158" i="17"/>
  <c r="S164" i="17"/>
  <c r="Q164" i="17" s="1"/>
  <c r="S168" i="17"/>
  <c r="Q170" i="17"/>
  <c r="Q21" i="17"/>
  <c r="Q160" i="17"/>
  <c r="H9" i="5"/>
  <c r="B67" i="11"/>
  <c r="F70" i="8"/>
  <c r="R28" i="17"/>
  <c r="Q28" i="17" s="1"/>
  <c r="R155" i="17"/>
  <c r="Q155" i="17" s="1"/>
  <c r="R159" i="17"/>
  <c r="Q159" i="17" s="1"/>
  <c r="R163" i="17"/>
  <c r="H9" i="3"/>
  <c r="R23" i="17"/>
  <c r="R25" i="17"/>
  <c r="R27" i="17"/>
  <c r="P157" i="17"/>
  <c r="R158" i="17"/>
  <c r="Q158" i="17" s="1"/>
  <c r="P161" i="17"/>
  <c r="Q161" i="17" s="1"/>
  <c r="R162" i="17"/>
  <c r="D8" i="3"/>
  <c r="L9" i="3"/>
  <c r="P156" i="17"/>
  <c r="Q156" i="17" s="1"/>
  <c r="R157" i="17"/>
  <c r="C15" i="8"/>
  <c r="D70" i="8"/>
  <c r="S248" i="17"/>
  <c r="S250" i="17"/>
  <c r="S252" i="17"/>
  <c r="S247" i="17"/>
  <c r="S129" i="17"/>
  <c r="S135" i="17"/>
  <c r="S264" i="17"/>
  <c r="S269" i="17"/>
  <c r="S116" i="17"/>
  <c r="S133" i="17"/>
  <c r="S246" i="17"/>
  <c r="S251" i="17"/>
  <c r="S265" i="17"/>
  <c r="S271" i="17"/>
  <c r="E15" i="7"/>
  <c r="E15" i="12"/>
  <c r="P26" i="17"/>
  <c r="Q26" i="17" s="1"/>
  <c r="I4" i="4"/>
  <c r="K4" i="4" s="1"/>
  <c r="L7" i="4" s="1"/>
  <c r="C4" i="9"/>
  <c r="C70" i="11"/>
  <c r="S176" i="17"/>
  <c r="Q176" i="17" s="1"/>
  <c r="Q178" i="17"/>
  <c r="S180" i="17"/>
  <c r="Q180" i="17" s="1"/>
  <c r="F10" i="4"/>
  <c r="F11" i="4" s="1"/>
  <c r="F10" i="1"/>
  <c r="F11" i="1" s="1"/>
  <c r="F10" i="5"/>
  <c r="F11" i="5" s="1"/>
  <c r="F10" i="3"/>
  <c r="F11" i="3" s="1"/>
  <c r="K10" i="4"/>
  <c r="L11" i="4" s="1"/>
  <c r="K10" i="1"/>
  <c r="K10" i="5"/>
  <c r="K10" i="3"/>
  <c r="L11" i="3" s="1"/>
  <c r="E16" i="6"/>
  <c r="B5" i="8"/>
  <c r="F5" i="3"/>
  <c r="B4" i="3"/>
  <c r="D4" i="4"/>
  <c r="L9" i="4"/>
  <c r="K9" i="4"/>
  <c r="D11" i="6"/>
  <c r="D16" i="7"/>
  <c r="F5" i="15"/>
  <c r="C5" i="10"/>
  <c r="D68" i="14"/>
  <c r="D68" i="13"/>
  <c r="D68" i="12"/>
  <c r="D70" i="11"/>
  <c r="B69" i="14"/>
  <c r="D16" i="13"/>
  <c r="E16" i="3"/>
  <c r="C11" i="4"/>
  <c r="D8" i="4"/>
  <c r="H9" i="9"/>
  <c r="S40" i="17"/>
  <c r="Q40" i="17" s="1"/>
  <c r="P23" i="17"/>
  <c r="P24" i="17"/>
  <c r="Q24" i="17" s="1"/>
  <c r="P27" i="17"/>
  <c r="Q27" i="17" s="1"/>
  <c r="S41" i="17"/>
  <c r="Q41" i="17" s="1"/>
  <c r="S42" i="17"/>
  <c r="Q42" i="17" s="1"/>
  <c r="S43" i="17"/>
  <c r="Q43" i="17" s="1"/>
  <c r="S44" i="17"/>
  <c r="Q44" i="17" s="1"/>
  <c r="S45" i="17"/>
  <c r="Q45" i="17" s="1"/>
  <c r="S46" i="17"/>
  <c r="Q46" i="17" s="1"/>
  <c r="Q173" i="17"/>
  <c r="S175" i="17"/>
  <c r="Q175" i="17" s="1"/>
  <c r="Q177" i="17"/>
  <c r="S179" i="17"/>
  <c r="Q179" i="17" s="1"/>
  <c r="Q181" i="17"/>
  <c r="G10" i="4"/>
  <c r="H11" i="4" s="1"/>
  <c r="G10" i="1"/>
  <c r="H11" i="1" s="1"/>
  <c r="G10" i="5"/>
  <c r="G10" i="3"/>
  <c r="H11" i="3" s="1"/>
  <c r="C8" i="1"/>
  <c r="L11" i="1"/>
  <c r="C70" i="7"/>
  <c r="C70" i="12"/>
  <c r="E15" i="3"/>
  <c r="D15" i="13"/>
  <c r="D15" i="8"/>
  <c r="E70" i="13"/>
  <c r="E70" i="8"/>
  <c r="J4" i="4"/>
  <c r="L4" i="4" s="1"/>
  <c r="D6" i="4"/>
  <c r="E6" i="4" s="1"/>
  <c r="H9" i="4"/>
  <c r="F69" i="4"/>
  <c r="E70" i="9"/>
  <c r="E69" i="4"/>
  <c r="J7" i="5"/>
  <c r="I7" i="5"/>
  <c r="D7" i="15"/>
  <c r="D7" i="10"/>
  <c r="E7" i="5"/>
  <c r="C6" i="12"/>
  <c r="B4" i="12"/>
  <c r="C11" i="7"/>
  <c r="H9" i="7"/>
  <c r="G9" i="7"/>
  <c r="J73" i="9"/>
  <c r="E14" i="9"/>
  <c r="I73" i="9"/>
  <c r="B70" i="9"/>
  <c r="E68" i="11"/>
  <c r="C7" i="14"/>
  <c r="D7" i="4"/>
  <c r="I5" i="5"/>
  <c r="K5" i="5" s="1"/>
  <c r="D5" i="5"/>
  <c r="E5" i="5" s="1"/>
  <c r="E8" i="6"/>
  <c r="E11" i="6" s="1"/>
  <c r="J9" i="6"/>
  <c r="G9" i="9"/>
  <c r="D8" i="9"/>
  <c r="P22" i="17"/>
  <c r="Q22" i="17" s="1"/>
  <c r="P25" i="17"/>
  <c r="P20" i="17"/>
  <c r="Q20" i="17" s="1"/>
  <c r="Q172" i="17"/>
  <c r="S174" i="17"/>
  <c r="Q174" i="17" s="1"/>
  <c r="G8" i="1"/>
  <c r="G11" i="1" s="1"/>
  <c r="D70" i="12"/>
  <c r="D70" i="7"/>
  <c r="R154" i="17"/>
  <c r="Q154" i="17" s="1"/>
  <c r="R153" i="17"/>
  <c r="Q153" i="17" s="1"/>
  <c r="R152" i="17"/>
  <c r="Q152" i="17" s="1"/>
  <c r="R151" i="17"/>
  <c r="Q151" i="17" s="1"/>
  <c r="C16" i="8"/>
  <c r="C16" i="13"/>
  <c r="H70" i="3"/>
  <c r="G70" i="3"/>
  <c r="C11" i="6"/>
  <c r="H9" i="6"/>
  <c r="G9" i="6"/>
  <c r="I9" i="7"/>
  <c r="J9" i="7"/>
  <c r="D11" i="7"/>
  <c r="E8" i="7"/>
  <c r="E11" i="7" s="1"/>
  <c r="B70" i="13"/>
  <c r="E70" i="14"/>
  <c r="D10" i="5"/>
  <c r="D11" i="5" s="1"/>
  <c r="D10" i="3"/>
  <c r="D11" i="3" s="1"/>
  <c r="D10" i="4"/>
  <c r="D10" i="1"/>
  <c r="H10" i="5"/>
  <c r="H10" i="3"/>
  <c r="G11" i="3" s="1"/>
  <c r="H10" i="4"/>
  <c r="H10" i="1"/>
  <c r="E70" i="11"/>
  <c r="E70" i="6"/>
  <c r="B5" i="1"/>
  <c r="G9" i="1"/>
  <c r="J9" i="3"/>
  <c r="I9" i="4"/>
  <c r="C11" i="8"/>
  <c r="D11" i="10"/>
  <c r="J9" i="10"/>
  <c r="C6" i="13"/>
  <c r="D6" i="13" s="1"/>
  <c r="C70" i="13"/>
  <c r="E10" i="4"/>
  <c r="E10" i="1"/>
  <c r="E10" i="5"/>
  <c r="E11" i="5" s="1"/>
  <c r="E10" i="3"/>
  <c r="I10" i="5"/>
  <c r="I10" i="3"/>
  <c r="I10" i="4"/>
  <c r="I10" i="1"/>
  <c r="G11" i="4"/>
  <c r="E9" i="4"/>
  <c r="D8" i="8"/>
  <c r="G9" i="8"/>
  <c r="E8" i="10"/>
  <c r="E11" i="10" s="1"/>
  <c r="C73" i="12"/>
  <c r="D73" i="12" s="1"/>
  <c r="E73" i="12" s="1"/>
  <c r="B68" i="12"/>
  <c r="F68" i="12"/>
  <c r="F5" i="6"/>
  <c r="B4" i="7"/>
  <c r="B7" i="7" s="1"/>
  <c r="E9" i="5"/>
  <c r="J9" i="1"/>
  <c r="E9" i="3"/>
  <c r="I9" i="5"/>
  <c r="B71" i="12"/>
  <c r="H73" i="6"/>
  <c r="D14" i="6"/>
  <c r="E14" i="6" s="1"/>
  <c r="S127" i="17"/>
  <c r="S245" i="17"/>
  <c r="S249" i="17"/>
  <c r="S266" i="17"/>
  <c r="C72" i="15"/>
  <c r="D72" i="15" s="1"/>
  <c r="E72" i="15" s="1"/>
  <c r="E14" i="8"/>
  <c r="R87" i="17"/>
  <c r="R91" i="17"/>
  <c r="R84" i="17"/>
  <c r="R47" i="17"/>
  <c r="R186" i="17"/>
  <c r="R48" i="17"/>
  <c r="R54" i="17"/>
  <c r="R188" i="17"/>
  <c r="R51" i="17"/>
  <c r="R182" i="17"/>
  <c r="R190" i="17"/>
  <c r="P90" i="17"/>
  <c r="P88" i="17"/>
  <c r="P86" i="17"/>
  <c r="P83" i="17"/>
  <c r="P85" i="17"/>
  <c r="P87" i="17"/>
  <c r="P89" i="17"/>
  <c r="Q78" i="17"/>
  <c r="Q81" i="17"/>
  <c r="Q88" i="17"/>
  <c r="B7" i="11"/>
  <c r="U98" i="17"/>
  <c r="W98" i="17" s="1"/>
  <c r="S185" i="17"/>
  <c r="S189" i="17"/>
  <c r="S183" i="17"/>
  <c r="S187" i="17"/>
  <c r="W8" i="17"/>
  <c r="W10" i="17"/>
  <c r="W9" i="17"/>
  <c r="W55" i="17"/>
  <c r="W100" i="17"/>
  <c r="C5" i="12"/>
  <c r="D5" i="12" s="1"/>
  <c r="E5" i="12" s="1"/>
  <c r="C65" i="14"/>
  <c r="D65" i="14" s="1"/>
  <c r="E65" i="14" s="1"/>
  <c r="W53" i="17"/>
  <c r="W54" i="17"/>
  <c r="W99" i="17"/>
  <c r="S94" i="17"/>
  <c r="R49" i="17"/>
  <c r="R53" i="17"/>
  <c r="S92" i="17"/>
  <c r="S182" i="17"/>
  <c r="S184" i="17"/>
  <c r="S186" i="17"/>
  <c r="S188" i="17"/>
  <c r="S99" i="17"/>
  <c r="R50" i="17"/>
  <c r="R183" i="17"/>
  <c r="R185" i="17"/>
  <c r="R187" i="17"/>
  <c r="C19" i="5"/>
  <c r="D19" i="5" s="1"/>
  <c r="E19" i="5" s="1"/>
  <c r="N137" i="17"/>
  <c r="D8" i="11"/>
  <c r="E8" i="11" s="1"/>
  <c r="C9" i="11"/>
  <c r="D9" i="11" s="1"/>
  <c r="E9" i="11" s="1"/>
  <c r="C9" i="13"/>
  <c r="D9" i="13" s="1"/>
  <c r="E9" i="13" s="1"/>
  <c r="C72" i="13"/>
  <c r="D72" i="13" s="1"/>
  <c r="E72" i="13" s="1"/>
  <c r="S59" i="17"/>
  <c r="C20" i="7"/>
  <c r="D20" i="7" s="1"/>
  <c r="E20" i="7" s="1"/>
  <c r="C21" i="7"/>
  <c r="D21" i="7" s="1"/>
  <c r="E21" i="7" s="1"/>
  <c r="C20" i="9"/>
  <c r="D20" i="9" s="1"/>
  <c r="E20" i="9" s="1"/>
  <c r="S96" i="17"/>
  <c r="S98" i="17"/>
  <c r="C20" i="15"/>
  <c r="D20" i="15" s="1"/>
  <c r="E20" i="15" s="1"/>
  <c r="C19" i="6"/>
  <c r="D19" i="6" s="1"/>
  <c r="E19" i="6" s="1"/>
  <c r="S61" i="17"/>
  <c r="C20" i="8"/>
  <c r="D20" i="8" s="1"/>
  <c r="E20" i="8" s="1"/>
  <c r="C21" i="8"/>
  <c r="D21" i="8" s="1"/>
  <c r="E21" i="8" s="1"/>
  <c r="S93" i="17"/>
  <c r="S95" i="17"/>
  <c r="C19" i="4"/>
  <c r="D19" i="4" s="1"/>
  <c r="E19" i="4" s="1"/>
  <c r="S97" i="17"/>
  <c r="C19" i="12"/>
  <c r="D19" i="12" s="1"/>
  <c r="E19" i="12" s="1"/>
  <c r="S111" i="17"/>
  <c r="S113" i="17"/>
  <c r="S115" i="17"/>
  <c r="S118" i="17"/>
  <c r="S128" i="17"/>
  <c r="S130" i="17"/>
  <c r="S132" i="17"/>
  <c r="C21" i="15"/>
  <c r="D21" i="15" s="1"/>
  <c r="E21" i="15" s="1"/>
  <c r="S134" i="17"/>
  <c r="S136" i="17"/>
  <c r="S240" i="17"/>
  <c r="C9" i="6"/>
  <c r="D9" i="6" s="1"/>
  <c r="E9" i="6" s="1"/>
  <c r="P139" i="17"/>
  <c r="Q139" i="17" s="1"/>
  <c r="P52" i="17"/>
  <c r="C5" i="11"/>
  <c r="D5" i="11" s="1"/>
  <c r="E5" i="11" s="1"/>
  <c r="N186" i="17"/>
  <c r="U6" i="17"/>
  <c r="F4" i="12"/>
  <c r="C5" i="14"/>
  <c r="D5" i="14" s="1"/>
  <c r="E5" i="14" s="1"/>
  <c r="U52" i="17"/>
  <c r="F4" i="7"/>
  <c r="C19" i="11"/>
  <c r="D19" i="11" s="1"/>
  <c r="E19" i="11" s="1"/>
  <c r="C21" i="10"/>
  <c r="D21" i="10" s="1"/>
  <c r="E21" i="10" s="1"/>
  <c r="S243" i="17"/>
  <c r="U5" i="17"/>
  <c r="S74" i="17"/>
  <c r="Q74" i="17" s="1"/>
  <c r="S89" i="17"/>
  <c r="S72" i="17"/>
  <c r="S65" i="17"/>
  <c r="C19" i="13"/>
  <c r="D19" i="13" s="1"/>
  <c r="E19" i="13" s="1"/>
  <c r="S236" i="17"/>
  <c r="S69" i="17"/>
  <c r="C20" i="11"/>
  <c r="D20" i="11" s="1"/>
  <c r="E20" i="11" s="1"/>
  <c r="S239" i="17"/>
  <c r="N255" i="17"/>
  <c r="M217" i="17"/>
  <c r="N217" i="17"/>
  <c r="P53" i="17"/>
  <c r="P51" i="17"/>
  <c r="P48" i="17"/>
  <c r="P49" i="17"/>
  <c r="C72" i="12"/>
  <c r="D72" i="12" s="1"/>
  <c r="E72" i="12" s="1"/>
  <c r="S109" i="17"/>
  <c r="S108" i="17"/>
  <c r="S107" i="17"/>
  <c r="S103" i="17"/>
  <c r="S104" i="17"/>
  <c r="N25" i="17"/>
  <c r="L25" i="17"/>
  <c r="S198" i="17"/>
  <c r="S195" i="17"/>
  <c r="S191" i="17"/>
  <c r="S193" i="17"/>
  <c r="S194" i="17"/>
  <c r="S199" i="17"/>
  <c r="S197" i="17"/>
  <c r="S232" i="17"/>
  <c r="S235" i="17"/>
  <c r="P50" i="17"/>
  <c r="P54" i="17"/>
  <c r="N54" i="17"/>
  <c r="L54" i="17"/>
  <c r="S67" i="17"/>
  <c r="P138" i="17"/>
  <c r="Q138" i="17" s="1"/>
  <c r="S73" i="17"/>
  <c r="S70" i="17"/>
  <c r="S68" i="17"/>
  <c r="S66" i="17"/>
  <c r="S102" i="17"/>
  <c r="S233" i="17"/>
  <c r="P47" i="17"/>
  <c r="S101" i="17"/>
  <c r="S106" i="17"/>
  <c r="S192" i="17"/>
  <c r="O227" i="17"/>
  <c r="C19" i="1"/>
  <c r="D19" i="1" s="1"/>
  <c r="E19" i="1" s="1"/>
  <c r="C20" i="1"/>
  <c r="D20" i="1" s="1"/>
  <c r="E20" i="1" s="1"/>
  <c r="C21" i="12"/>
  <c r="D21" i="12" s="1"/>
  <c r="E21" i="12" s="1"/>
  <c r="C19" i="15"/>
  <c r="D19" i="15" s="1"/>
  <c r="E19" i="15" s="1"/>
  <c r="O148" i="17"/>
  <c r="S237" i="17"/>
  <c r="S241" i="17"/>
  <c r="C21" i="5"/>
  <c r="D21" i="5" s="1"/>
  <c r="E21" i="5" s="1"/>
  <c r="C19" i="7"/>
  <c r="D19" i="7" s="1"/>
  <c r="E19" i="7" s="1"/>
  <c r="C19" i="9"/>
  <c r="D19" i="9" s="1"/>
  <c r="E19" i="9" s="1"/>
  <c r="S85" i="17"/>
  <c r="Q85" i="17" s="1"/>
  <c r="C20" i="10"/>
  <c r="D20" i="10" s="1"/>
  <c r="E20" i="10" s="1"/>
  <c r="C20" i="14"/>
  <c r="D20" i="14" s="1"/>
  <c r="E20" i="14" s="1"/>
  <c r="S205" i="17"/>
  <c r="S238" i="17"/>
  <c r="S242" i="17"/>
  <c r="L62" i="17"/>
  <c r="C65" i="7"/>
  <c r="D65" i="7" s="1"/>
  <c r="E65" i="7" s="1"/>
  <c r="D8" i="13"/>
  <c r="D10" i="13" s="1"/>
  <c r="N150" i="17"/>
  <c r="N173" i="17"/>
  <c r="C65" i="10"/>
  <c r="D65" i="10" s="1"/>
  <c r="E65" i="10" s="1"/>
  <c r="N49" i="17"/>
  <c r="L241" i="17"/>
  <c r="C72" i="6"/>
  <c r="F29" i="15"/>
  <c r="F41" i="15" s="1"/>
  <c r="F28" i="15"/>
  <c r="F40" i="15" s="1"/>
  <c r="F27" i="15"/>
  <c r="F39" i="15" s="1"/>
  <c r="F33" i="15"/>
  <c r="F45" i="15" s="1"/>
  <c r="F32" i="15"/>
  <c r="F44" i="15" s="1"/>
  <c r="F31" i="15"/>
  <c r="F43" i="15" s="1"/>
  <c r="F25" i="15"/>
  <c r="F37" i="15" s="1"/>
  <c r="F24" i="15"/>
  <c r="F36" i="15" s="1"/>
  <c r="F23" i="15"/>
  <c r="F35" i="15" s="1"/>
  <c r="F29" i="14"/>
  <c r="F41" i="14" s="1"/>
  <c r="F28" i="14"/>
  <c r="F40" i="14" s="1"/>
  <c r="F27" i="14"/>
  <c r="F39" i="14" s="1"/>
  <c r="F33" i="14"/>
  <c r="F45" i="14" s="1"/>
  <c r="F32" i="14"/>
  <c r="F44" i="14" s="1"/>
  <c r="F31" i="14"/>
  <c r="F43" i="14" s="1"/>
  <c r="F25" i="14"/>
  <c r="F37" i="14" s="1"/>
  <c r="F24" i="14"/>
  <c r="F36" i="14" s="1"/>
  <c r="F23" i="14"/>
  <c r="F35" i="14" s="1"/>
  <c r="F29" i="13"/>
  <c r="F41" i="13" s="1"/>
  <c r="F28" i="13"/>
  <c r="F40" i="13" s="1"/>
  <c r="F27" i="13"/>
  <c r="F39" i="13" s="1"/>
  <c r="F33" i="13"/>
  <c r="F45" i="13" s="1"/>
  <c r="F32" i="13"/>
  <c r="F44" i="13" s="1"/>
  <c r="F31" i="13"/>
  <c r="F43" i="13" s="1"/>
  <c r="F25" i="13"/>
  <c r="F37" i="13" s="1"/>
  <c r="F24" i="13"/>
  <c r="F36" i="13" s="1"/>
  <c r="F23" i="13"/>
  <c r="F35" i="13" s="1"/>
  <c r="F29" i="12"/>
  <c r="F41" i="12" s="1"/>
  <c r="F27" i="12"/>
  <c r="F39" i="12" s="1"/>
  <c r="F33" i="12"/>
  <c r="F45" i="12" s="1"/>
  <c r="F32" i="12"/>
  <c r="F44" i="12" s="1"/>
  <c r="F31" i="12"/>
  <c r="F43" i="12" s="1"/>
  <c r="F25" i="12"/>
  <c r="F37" i="12" s="1"/>
  <c r="F24" i="12"/>
  <c r="F36" i="12" s="1"/>
  <c r="F23" i="12"/>
  <c r="F35" i="12" s="1"/>
  <c r="F29" i="11"/>
  <c r="F41" i="11" s="1"/>
  <c r="F28" i="11"/>
  <c r="F40" i="11" s="1"/>
  <c r="F27" i="11"/>
  <c r="F39" i="11" s="1"/>
  <c r="F33" i="11"/>
  <c r="F45" i="11" s="1"/>
  <c r="F32" i="11"/>
  <c r="F44" i="11" s="1"/>
  <c r="F31" i="11"/>
  <c r="F43" i="11" s="1"/>
  <c r="F25" i="11"/>
  <c r="F37" i="11" s="1"/>
  <c r="F24" i="11"/>
  <c r="F36" i="11" s="1"/>
  <c r="F23" i="11"/>
  <c r="F35" i="11" s="1"/>
  <c r="F29" i="10"/>
  <c r="F41" i="10" s="1"/>
  <c r="F28" i="10"/>
  <c r="F40" i="10" s="1"/>
  <c r="F27" i="10"/>
  <c r="F39" i="10" s="1"/>
  <c r="F33" i="10"/>
  <c r="F45" i="10" s="1"/>
  <c r="F32" i="10"/>
  <c r="F44" i="10" s="1"/>
  <c r="F31" i="10"/>
  <c r="F43" i="10" s="1"/>
  <c r="F25" i="10"/>
  <c r="F37" i="10" s="1"/>
  <c r="F24" i="10"/>
  <c r="F36" i="10" s="1"/>
  <c r="F23" i="10"/>
  <c r="F35" i="10" s="1"/>
  <c r="F29" i="9"/>
  <c r="F41" i="9" s="1"/>
  <c r="F28" i="9"/>
  <c r="F40" i="9" s="1"/>
  <c r="F27" i="9"/>
  <c r="F39" i="9" s="1"/>
  <c r="F33" i="9"/>
  <c r="F45" i="9" s="1"/>
  <c r="F32" i="9"/>
  <c r="F44" i="9" s="1"/>
  <c r="F31" i="9"/>
  <c r="F43" i="9" s="1"/>
  <c r="F25" i="9"/>
  <c r="F37" i="9" s="1"/>
  <c r="F24" i="9"/>
  <c r="F36" i="9" s="1"/>
  <c r="F23" i="9"/>
  <c r="F35" i="9" s="1"/>
  <c r="F29" i="8"/>
  <c r="F41" i="8" s="1"/>
  <c r="F28" i="8"/>
  <c r="F40" i="8" s="1"/>
  <c r="F27" i="8"/>
  <c r="F39" i="8" s="1"/>
  <c r="F33" i="8"/>
  <c r="F45" i="8" s="1"/>
  <c r="F32" i="8"/>
  <c r="F44" i="8" s="1"/>
  <c r="F31" i="8"/>
  <c r="F43" i="8" s="1"/>
  <c r="F25" i="8"/>
  <c r="F37" i="8" s="1"/>
  <c r="F24" i="8"/>
  <c r="F36" i="8" s="1"/>
  <c r="F23" i="8"/>
  <c r="F35" i="8" s="1"/>
  <c r="F29" i="7"/>
  <c r="F41" i="7" s="1"/>
  <c r="F28" i="7"/>
  <c r="F40" i="7" s="1"/>
  <c r="F27" i="7"/>
  <c r="F39" i="7" s="1"/>
  <c r="F33" i="7"/>
  <c r="F45" i="7" s="1"/>
  <c r="F32" i="7"/>
  <c r="F44" i="7" s="1"/>
  <c r="F31" i="7"/>
  <c r="F43" i="7" s="1"/>
  <c r="F25" i="7"/>
  <c r="F37" i="7" s="1"/>
  <c r="F24" i="7"/>
  <c r="F36" i="7" s="1"/>
  <c r="F23" i="7"/>
  <c r="F35" i="7" s="1"/>
  <c r="F29" i="6"/>
  <c r="F41" i="6" s="1"/>
  <c r="F28" i="6"/>
  <c r="F40" i="6" s="1"/>
  <c r="F27" i="6"/>
  <c r="F39" i="6" s="1"/>
  <c r="F33" i="6"/>
  <c r="F45" i="6" s="1"/>
  <c r="F32" i="6"/>
  <c r="F44" i="6" s="1"/>
  <c r="F31" i="6"/>
  <c r="F43" i="6" s="1"/>
  <c r="F25" i="6"/>
  <c r="F37" i="6" s="1"/>
  <c r="F24" i="6"/>
  <c r="F36" i="6" s="1"/>
  <c r="F23" i="6"/>
  <c r="F35" i="6" s="1"/>
  <c r="F29" i="5"/>
  <c r="F41" i="5" s="1"/>
  <c r="F28" i="5"/>
  <c r="F40" i="5" s="1"/>
  <c r="F27" i="5"/>
  <c r="F39" i="5" s="1"/>
  <c r="F33" i="5"/>
  <c r="F32" i="5"/>
  <c r="F44" i="5" s="1"/>
  <c r="F31" i="5"/>
  <c r="F43" i="5" s="1"/>
  <c r="F29" i="4"/>
  <c r="F41" i="4" s="1"/>
  <c r="F28" i="4"/>
  <c r="F40" i="4" s="1"/>
  <c r="F27" i="4"/>
  <c r="F39" i="4" s="1"/>
  <c r="F33" i="4"/>
  <c r="F32" i="4"/>
  <c r="F31" i="4"/>
  <c r="F48" i="4" s="1"/>
  <c r="F33" i="3"/>
  <c r="F32" i="3"/>
  <c r="F54" i="3" s="1"/>
  <c r="F31" i="3"/>
  <c r="F43" i="3" s="1"/>
  <c r="F25" i="3"/>
  <c r="F37" i="3" s="1"/>
  <c r="F24" i="3"/>
  <c r="F36" i="3" s="1"/>
  <c r="F23" i="3"/>
  <c r="F35" i="3" s="1"/>
  <c r="F25" i="1"/>
  <c r="F37" i="1" s="1"/>
  <c r="F24" i="1"/>
  <c r="F36" i="1" s="1"/>
  <c r="F23" i="1"/>
  <c r="F35" i="1" s="1"/>
  <c r="X136" i="17"/>
  <c r="X135" i="17"/>
  <c r="X134" i="17"/>
  <c r="X133" i="17"/>
  <c r="X132" i="17"/>
  <c r="X131" i="17"/>
  <c r="B25" i="15"/>
  <c r="B37" i="15" s="1"/>
  <c r="B24" i="15"/>
  <c r="B36" i="15" s="1"/>
  <c r="B23" i="15"/>
  <c r="B35" i="15" s="1"/>
  <c r="B29" i="14"/>
  <c r="B41" i="14" s="1"/>
  <c r="B28" i="14"/>
  <c r="B40" i="14" s="1"/>
  <c r="B27" i="14"/>
  <c r="B39" i="14" s="1"/>
  <c r="B33" i="14"/>
  <c r="B32" i="14"/>
  <c r="B44" i="14" s="1"/>
  <c r="B31" i="14"/>
  <c r="B43" i="14" s="1"/>
  <c r="B25" i="14"/>
  <c r="B37" i="14" s="1"/>
  <c r="B24" i="14"/>
  <c r="B36" i="14" s="1"/>
  <c r="B23" i="14"/>
  <c r="B35" i="14" s="1"/>
  <c r="B29" i="13"/>
  <c r="B41" i="13" s="1"/>
  <c r="B28" i="13"/>
  <c r="B40" i="13" s="1"/>
  <c r="B27" i="13"/>
  <c r="B39" i="13" s="1"/>
  <c r="B25" i="13"/>
  <c r="B37" i="13" s="1"/>
  <c r="B24" i="13"/>
  <c r="B36" i="13" s="1"/>
  <c r="B23" i="13"/>
  <c r="B29" i="12"/>
  <c r="B41" i="12" s="1"/>
  <c r="B28" i="12"/>
  <c r="B40" i="12" s="1"/>
  <c r="B27" i="12"/>
  <c r="B39" i="12" s="1"/>
  <c r="B33" i="12"/>
  <c r="B45" i="12" s="1"/>
  <c r="B32" i="12"/>
  <c r="B44" i="12" s="1"/>
  <c r="B31" i="12"/>
  <c r="B43" i="12" s="1"/>
  <c r="B25" i="12"/>
  <c r="C25" i="12" s="1"/>
  <c r="D25" i="12" s="1"/>
  <c r="E25" i="12" s="1"/>
  <c r="B24" i="12"/>
  <c r="C24" i="12" s="1"/>
  <c r="B23" i="12"/>
  <c r="B35" i="12" s="1"/>
  <c r="B29" i="11"/>
  <c r="B41" i="11" s="1"/>
  <c r="B28" i="11"/>
  <c r="B40" i="11" s="1"/>
  <c r="B27" i="11"/>
  <c r="B39" i="11" s="1"/>
  <c r="B33" i="11"/>
  <c r="B45" i="11" s="1"/>
  <c r="B32" i="11"/>
  <c r="B44" i="11" s="1"/>
  <c r="B31" i="11"/>
  <c r="B43" i="11" s="1"/>
  <c r="B25" i="11"/>
  <c r="B37" i="11" s="1"/>
  <c r="B24" i="11"/>
  <c r="B36" i="11" s="1"/>
  <c r="B23" i="11"/>
  <c r="B35" i="11" s="1"/>
  <c r="B29" i="10"/>
  <c r="B41" i="10" s="1"/>
  <c r="B28" i="10"/>
  <c r="B40" i="10" s="1"/>
  <c r="B32" i="10"/>
  <c r="B44" i="10" s="1"/>
  <c r="B31" i="10"/>
  <c r="B43" i="10" s="1"/>
  <c r="B25" i="10"/>
  <c r="B37" i="10" s="1"/>
  <c r="B24" i="10"/>
  <c r="B36" i="10" s="1"/>
  <c r="B23" i="10"/>
  <c r="B35" i="10" s="1"/>
  <c r="B29" i="9"/>
  <c r="B41" i="9" s="1"/>
  <c r="B28" i="9"/>
  <c r="B40" i="9" s="1"/>
  <c r="B32" i="9"/>
  <c r="B44" i="9" s="1"/>
  <c r="B31" i="9"/>
  <c r="B43" i="9" s="1"/>
  <c r="B25" i="9"/>
  <c r="C25" i="9" s="1"/>
  <c r="B24" i="9"/>
  <c r="B36" i="9" s="1"/>
  <c r="B23" i="9"/>
  <c r="B35" i="9" s="1"/>
  <c r="B27" i="8"/>
  <c r="B39" i="8" s="1"/>
  <c r="B33" i="8"/>
  <c r="B45" i="8" s="1"/>
  <c r="B32" i="8"/>
  <c r="B44" i="8" s="1"/>
  <c r="B31" i="8"/>
  <c r="B43" i="8" s="1"/>
  <c r="B25" i="8"/>
  <c r="B37" i="8" s="1"/>
  <c r="B24" i="8"/>
  <c r="B36" i="8" s="1"/>
  <c r="B23" i="8"/>
  <c r="B35" i="8" s="1"/>
  <c r="B29" i="7"/>
  <c r="B27" i="7"/>
  <c r="B39" i="7" s="1"/>
  <c r="B33" i="7"/>
  <c r="B45" i="7" s="1"/>
  <c r="B32" i="7"/>
  <c r="B44" i="7" s="1"/>
  <c r="B31" i="7"/>
  <c r="B43" i="7" s="1"/>
  <c r="B25" i="7"/>
  <c r="B24" i="7"/>
  <c r="B36" i="7" s="1"/>
  <c r="B23" i="7"/>
  <c r="B35" i="7" s="1"/>
  <c r="B29" i="6"/>
  <c r="B41" i="6" s="1"/>
  <c r="B27" i="6"/>
  <c r="C27" i="6" s="1"/>
  <c r="B33" i="6"/>
  <c r="B45" i="6" s="1"/>
  <c r="B32" i="6"/>
  <c r="B44" i="6" s="1"/>
  <c r="B31" i="6"/>
  <c r="B43" i="6" s="1"/>
  <c r="B25" i="6"/>
  <c r="B37" i="6" s="1"/>
  <c r="B24" i="6"/>
  <c r="C24" i="6" s="1"/>
  <c r="B23" i="6"/>
  <c r="C23" i="6" s="1"/>
  <c r="B29" i="5"/>
  <c r="B41" i="5" s="1"/>
  <c r="B28" i="5"/>
  <c r="B40" i="5" s="1"/>
  <c r="B27" i="5"/>
  <c r="B39" i="5" s="1"/>
  <c r="B33" i="5"/>
  <c r="B32" i="5"/>
  <c r="B55" i="5" s="1"/>
  <c r="B31" i="5"/>
  <c r="B48" i="5" s="1"/>
  <c r="B25" i="5"/>
  <c r="B24" i="5"/>
  <c r="B36" i="5" s="1"/>
  <c r="B23" i="5"/>
  <c r="B35" i="5" s="1"/>
  <c r="B29" i="4"/>
  <c r="B41" i="4" s="1"/>
  <c r="B27" i="4"/>
  <c r="B33" i="4"/>
  <c r="B32" i="4"/>
  <c r="B58" i="4" s="1"/>
  <c r="B25" i="4"/>
  <c r="B37" i="4" s="1"/>
  <c r="B24" i="4"/>
  <c r="B36" i="4" s="1"/>
  <c r="B23" i="4"/>
  <c r="B35" i="4" s="1"/>
  <c r="B33" i="3"/>
  <c r="B32" i="3"/>
  <c r="B44" i="3" s="1"/>
  <c r="B31" i="3"/>
  <c r="B48" i="3" s="1"/>
  <c r="B25" i="3"/>
  <c r="C25" i="3" s="1"/>
  <c r="B24" i="3"/>
  <c r="B23" i="3"/>
  <c r="B35" i="3" s="1"/>
  <c r="B29" i="1"/>
  <c r="B41" i="1" s="1"/>
  <c r="B28" i="1"/>
  <c r="B40" i="1" s="1"/>
  <c r="B27" i="1"/>
  <c r="B39" i="1" s="1"/>
  <c r="B33" i="1"/>
  <c r="B32" i="1"/>
  <c r="B57" i="1" s="1"/>
  <c r="B31" i="1"/>
  <c r="B43" i="1" s="1"/>
  <c r="B25" i="1"/>
  <c r="B37" i="1" s="1"/>
  <c r="B24" i="1"/>
  <c r="B23" i="1"/>
  <c r="B35" i="1" s="1"/>
  <c r="C19" i="3"/>
  <c r="D19" i="3" s="1"/>
  <c r="E19" i="3" s="1"/>
  <c r="M43" i="17"/>
  <c r="C21" i="6"/>
  <c r="D21" i="6" s="1"/>
  <c r="E21" i="6" s="1"/>
  <c r="S49" i="17"/>
  <c r="S54" i="17"/>
  <c r="L63" i="17"/>
  <c r="S75" i="17"/>
  <c r="Q75" i="17" s="1"/>
  <c r="S79" i="17"/>
  <c r="Q79" i="17" s="1"/>
  <c r="S82" i="17"/>
  <c r="Q82" i="17" s="1"/>
  <c r="S86" i="17"/>
  <c r="S90" i="17"/>
  <c r="Q90" i="17" s="1"/>
  <c r="L107" i="17"/>
  <c r="O119" i="17"/>
  <c r="S119" i="17"/>
  <c r="S120" i="17"/>
  <c r="S121" i="17"/>
  <c r="S122" i="17"/>
  <c r="S123" i="17"/>
  <c r="S124" i="17"/>
  <c r="S125" i="17"/>
  <c r="S126" i="17"/>
  <c r="N160" i="17"/>
  <c r="N166" i="17"/>
  <c r="O193" i="17"/>
  <c r="S201" i="17"/>
  <c r="S203" i="17"/>
  <c r="S206" i="17"/>
  <c r="S208" i="17"/>
  <c r="O218" i="17"/>
  <c r="O222" i="17"/>
  <c r="S228" i="17"/>
  <c r="S230" i="17"/>
  <c r="N254" i="17"/>
  <c r="S76" i="17"/>
  <c r="Q76" i="17" s="1"/>
  <c r="S80" i="17"/>
  <c r="Q80" i="17" s="1"/>
  <c r="S83" i="17"/>
  <c r="S87" i="17"/>
  <c r="S91" i="17"/>
  <c r="Q91" i="17" s="1"/>
  <c r="C20" i="12"/>
  <c r="D20" i="12" s="1"/>
  <c r="E20" i="12" s="1"/>
  <c r="S204" i="17"/>
  <c r="S231" i="17"/>
  <c r="S234" i="17"/>
  <c r="N267" i="17"/>
  <c r="N268" i="17"/>
  <c r="P10" i="17"/>
  <c r="Q10" i="17" s="1"/>
  <c r="P145" i="17"/>
  <c r="Q145" i="17" s="1"/>
  <c r="F4" i="11"/>
  <c r="D8" i="12"/>
  <c r="D10" i="12" s="1"/>
  <c r="C19" i="8"/>
  <c r="D19" i="8" s="1"/>
  <c r="E19" i="8" s="1"/>
  <c r="O42" i="17"/>
  <c r="S77" i="17"/>
  <c r="Q77" i="17" s="1"/>
  <c r="S84" i="17"/>
  <c r="L116" i="17"/>
  <c r="S200" i="17"/>
  <c r="S202" i="17"/>
  <c r="N205" i="17"/>
  <c r="N213" i="17"/>
  <c r="O220" i="17"/>
  <c r="S227" i="17"/>
  <c r="S229" i="17"/>
  <c r="U7" i="17"/>
  <c r="C9" i="9"/>
  <c r="D9" i="9" s="1"/>
  <c r="E9" i="9" s="1"/>
  <c r="C9" i="10"/>
  <c r="D9" i="10" s="1"/>
  <c r="E9" i="10" s="1"/>
  <c r="C72" i="11"/>
  <c r="D72" i="11" s="1"/>
  <c r="E72" i="11" s="1"/>
  <c r="P3" i="17"/>
  <c r="Q3" i="17" s="1"/>
  <c r="P5" i="17"/>
  <c r="Q5" i="17" s="1"/>
  <c r="O41" i="17"/>
  <c r="O46" i="17"/>
  <c r="S50" i="17"/>
  <c r="S51" i="17"/>
  <c r="S55" i="17"/>
  <c r="Q55" i="17" s="1"/>
  <c r="O97" i="17"/>
  <c r="P2" i="17"/>
  <c r="Q2" i="17" s="1"/>
  <c r="P6" i="17"/>
  <c r="Q6" i="17" s="1"/>
  <c r="P7" i="17"/>
  <c r="Q7" i="17" s="1"/>
  <c r="C21" i="4"/>
  <c r="D21" i="4" s="1"/>
  <c r="E21" i="4" s="1"/>
  <c r="C20" i="5"/>
  <c r="D20" i="5" s="1"/>
  <c r="E20" i="5" s="1"/>
  <c r="O45" i="17"/>
  <c r="S48" i="17"/>
  <c r="U50" i="17"/>
  <c r="U51" i="17"/>
  <c r="S52" i="17"/>
  <c r="S53" i="17"/>
  <c r="S58" i="17"/>
  <c r="S60" i="17"/>
  <c r="S64" i="17"/>
  <c r="O74" i="17"/>
  <c r="O83" i="17"/>
  <c r="C21" i="14"/>
  <c r="D21" i="14" s="1"/>
  <c r="E21" i="14" s="1"/>
  <c r="N141" i="17"/>
  <c r="O146" i="17"/>
  <c r="N168" i="17"/>
  <c r="L179" i="17"/>
  <c r="S213" i="17"/>
  <c r="O214" i="17"/>
  <c r="S214" i="17"/>
  <c r="S215" i="17"/>
  <c r="S216" i="17"/>
  <c r="O231" i="17"/>
  <c r="M243" i="17"/>
  <c r="L244" i="17"/>
  <c r="N261" i="17"/>
  <c r="P9" i="17"/>
  <c r="Q9" i="17" s="1"/>
  <c r="S47" i="17"/>
  <c r="O56" i="17"/>
  <c r="O178" i="17"/>
  <c r="S209" i="17"/>
  <c r="S210" i="17"/>
  <c r="S211" i="17"/>
  <c r="S212" i="17"/>
  <c r="P4" i="17"/>
  <c r="Q4" i="17" s="1"/>
  <c r="P8" i="17"/>
  <c r="Q8" i="17" s="1"/>
  <c r="C21" i="1"/>
  <c r="D21" i="1" s="1"/>
  <c r="E21" i="1" s="1"/>
  <c r="N22" i="17"/>
  <c r="C20" i="4"/>
  <c r="D20" i="4" s="1"/>
  <c r="E20" i="4" s="1"/>
  <c r="C20" i="6"/>
  <c r="D20" i="6" s="1"/>
  <c r="E20" i="6" s="1"/>
  <c r="N52" i="17"/>
  <c r="S57" i="17"/>
  <c r="N61" i="17"/>
  <c r="S62" i="17"/>
  <c r="C21" i="9"/>
  <c r="D21" i="9" s="1"/>
  <c r="E21" i="9" s="1"/>
  <c r="C19" i="10"/>
  <c r="D19" i="10" s="1"/>
  <c r="E19" i="10" s="1"/>
  <c r="O92" i="17"/>
  <c r="C21" i="11"/>
  <c r="D21" i="11" s="1"/>
  <c r="E21" i="11" s="1"/>
  <c r="L134" i="17"/>
  <c r="N159" i="17"/>
  <c r="N163" i="17"/>
  <c r="N184" i="17"/>
  <c r="N202" i="17"/>
  <c r="S218" i="17"/>
  <c r="S219" i="17"/>
  <c r="S220" i="17"/>
  <c r="S221" i="17"/>
  <c r="S222" i="17"/>
  <c r="S223" i="17"/>
  <c r="S224" i="17"/>
  <c r="S225" i="17"/>
  <c r="C5" i="7"/>
  <c r="D5" i="7" s="1"/>
  <c r="E5" i="7" s="1"/>
  <c r="C65" i="8"/>
  <c r="D65" i="8" s="1"/>
  <c r="E65" i="8" s="1"/>
  <c r="O268" i="17"/>
  <c r="O262" i="17"/>
  <c r="O163" i="17"/>
  <c r="O267" i="17"/>
  <c r="O166" i="17"/>
  <c r="O134" i="17"/>
  <c r="O54" i="17"/>
  <c r="O43" i="17"/>
  <c r="O11" i="17"/>
  <c r="O271" i="17"/>
  <c r="O270" i="17"/>
  <c r="O261" i="17"/>
  <c r="O258" i="17"/>
  <c r="C19" i="14"/>
  <c r="D19" i="14" s="1"/>
  <c r="E19" i="14" s="1"/>
  <c r="O255" i="17"/>
  <c r="O254" i="17"/>
  <c r="O251" i="17"/>
  <c r="O244" i="17"/>
  <c r="O243" i="17"/>
  <c r="O242" i="17"/>
  <c r="O241" i="17"/>
  <c r="O235" i="17"/>
  <c r="O230" i="17"/>
  <c r="X223" i="17"/>
  <c r="O217" i="17"/>
  <c r="O216" i="17"/>
  <c r="X215" i="17"/>
  <c r="O213" i="17"/>
  <c r="O212" i="17"/>
  <c r="O205" i="17"/>
  <c r="O202" i="17"/>
  <c r="O186" i="17"/>
  <c r="O185" i="17"/>
  <c r="O184" i="17"/>
  <c r="O183" i="17"/>
  <c r="O179" i="17"/>
  <c r="O176" i="17"/>
  <c r="O174" i="17"/>
  <c r="O173" i="17"/>
  <c r="O168" i="17"/>
  <c r="O160" i="17"/>
  <c r="O159" i="17"/>
  <c r="O150" i="17"/>
  <c r="O141" i="17"/>
  <c r="O140" i="17"/>
  <c r="O137" i="17"/>
  <c r="O128" i="17"/>
  <c r="O121" i="17"/>
  <c r="O116" i="17"/>
  <c r="O110" i="17"/>
  <c r="O107" i="17"/>
  <c r="O103" i="17"/>
  <c r="O65" i="17"/>
  <c r="O64" i="17"/>
  <c r="O63" i="17"/>
  <c r="O62" i="17"/>
  <c r="O61" i="17"/>
  <c r="O58" i="17"/>
  <c r="O52" i="17"/>
  <c r="O49" i="17"/>
  <c r="O39" i="17"/>
  <c r="O25" i="17"/>
  <c r="O23" i="17"/>
  <c r="O22" i="17"/>
  <c r="O9" i="17"/>
  <c r="O26" i="17"/>
  <c r="M80" i="17"/>
  <c r="L80" i="17"/>
  <c r="B27" i="9"/>
  <c r="B39" i="9" s="1"/>
  <c r="X80" i="17"/>
  <c r="M89" i="17"/>
  <c r="L89" i="17"/>
  <c r="B27" i="10"/>
  <c r="B39" i="10" s="1"/>
  <c r="X89" i="17"/>
  <c r="M98" i="17"/>
  <c r="L98" i="17"/>
  <c r="M130" i="17"/>
  <c r="N130" i="17"/>
  <c r="O12" i="17"/>
  <c r="O2" i="17"/>
  <c r="N2" i="17"/>
  <c r="O3" i="17"/>
  <c r="N3" i="17"/>
  <c r="O31" i="17"/>
  <c r="M31" i="17"/>
  <c r="O32" i="17"/>
  <c r="O33" i="17"/>
  <c r="L33" i="17"/>
  <c r="O34" i="17"/>
  <c r="L34" i="17"/>
  <c r="O35" i="17"/>
  <c r="L35" i="17"/>
  <c r="X35" i="17"/>
  <c r="O47" i="17"/>
  <c r="M47" i="17"/>
  <c r="M71" i="17"/>
  <c r="L71" i="17"/>
  <c r="M76" i="17"/>
  <c r="N76" i="17"/>
  <c r="O79" i="17"/>
  <c r="N79" i="17"/>
  <c r="O85" i="17"/>
  <c r="N85" i="17"/>
  <c r="O88" i="17"/>
  <c r="N88" i="17"/>
  <c r="O91" i="17"/>
  <c r="N91" i="17"/>
  <c r="M142" i="17"/>
  <c r="N142" i="17"/>
  <c r="M182" i="17"/>
  <c r="N182" i="17"/>
  <c r="O13" i="17"/>
  <c r="O24" i="17"/>
  <c r="O27" i="17"/>
  <c r="L27" i="17"/>
  <c r="O28" i="17"/>
  <c r="L28" i="17"/>
  <c r="O36" i="17"/>
  <c r="O37" i="17"/>
  <c r="L37" i="17"/>
  <c r="O38" i="17"/>
  <c r="L38" i="17"/>
  <c r="O40" i="17"/>
  <c r="L40" i="17"/>
  <c r="O53" i="17"/>
  <c r="L53" i="17"/>
  <c r="O55" i="17"/>
  <c r="M55" i="17"/>
  <c r="M70" i="17"/>
  <c r="N70" i="17"/>
  <c r="O75" i="17"/>
  <c r="B33" i="9"/>
  <c r="B45" i="9" s="1"/>
  <c r="X79" i="17"/>
  <c r="M82" i="17"/>
  <c r="N82" i="17"/>
  <c r="B33" i="10"/>
  <c r="B45" i="10" s="1"/>
  <c r="X88" i="17"/>
  <c r="O139" i="17"/>
  <c r="N139" i="17"/>
  <c r="O151" i="17"/>
  <c r="N151" i="17"/>
  <c r="M177" i="17"/>
  <c r="N177" i="17"/>
  <c r="M196" i="17"/>
  <c r="N196" i="17"/>
  <c r="O59" i="17"/>
  <c r="L59" i="17"/>
  <c r="O66" i="17"/>
  <c r="O67" i="17"/>
  <c r="N67" i="17"/>
  <c r="M73" i="17"/>
  <c r="N73" i="17"/>
  <c r="B29" i="8"/>
  <c r="O131" i="17"/>
  <c r="O132" i="17"/>
  <c r="N132" i="17"/>
  <c r="O164" i="17"/>
  <c r="N164" i="17"/>
  <c r="O167" i="17"/>
  <c r="N197" i="17"/>
  <c r="L197" i="17"/>
  <c r="O177" i="17"/>
  <c r="O182" i="17"/>
  <c r="O192" i="17"/>
  <c r="O196" i="17"/>
  <c r="O197" i="17"/>
  <c r="O198" i="17"/>
  <c r="O206" i="17"/>
  <c r="L206" i="17"/>
  <c r="O210" i="17"/>
  <c r="O211" i="17"/>
  <c r="N211" i="17"/>
  <c r="O224" i="17"/>
  <c r="L224" i="17"/>
  <c r="O236" i="17"/>
  <c r="N236" i="17"/>
  <c r="O237" i="17"/>
  <c r="L237" i="17"/>
  <c r="O238" i="17"/>
  <c r="L238" i="17"/>
  <c r="O246" i="17"/>
  <c r="L246" i="17"/>
  <c r="O247" i="17"/>
  <c r="L247" i="17"/>
  <c r="O252" i="17"/>
  <c r="L252" i="17"/>
  <c r="O256" i="17"/>
  <c r="N256" i="17"/>
  <c r="L270" i="17"/>
  <c r="D6" i="3"/>
  <c r="D6" i="8" s="1"/>
  <c r="C9" i="7"/>
  <c r="D9" i="7" s="1"/>
  <c r="E9" i="7" s="1"/>
  <c r="O70" i="17"/>
  <c r="O71" i="17"/>
  <c r="O72" i="17"/>
  <c r="O73" i="17"/>
  <c r="O76" i="17"/>
  <c r="O81" i="17"/>
  <c r="O90" i="17"/>
  <c r="O101" i="17"/>
  <c r="O112" i="17"/>
  <c r="O115" i="17"/>
  <c r="O124" i="17"/>
  <c r="X125" i="17"/>
  <c r="O126" i="17"/>
  <c r="N128" i="17"/>
  <c r="O133" i="17"/>
  <c r="O155" i="17"/>
  <c r="O157" i="17"/>
  <c r="O169" i="17"/>
  <c r="O191" i="17"/>
  <c r="O194" i="17"/>
  <c r="O200" i="17"/>
  <c r="N200" i="17"/>
  <c r="O223" i="17"/>
  <c r="L223" i="17"/>
  <c r="X224" i="17"/>
  <c r="O225" i="17"/>
  <c r="N226" i="17"/>
  <c r="F4" i="2"/>
  <c r="O80" i="17"/>
  <c r="O82" i="17"/>
  <c r="O84" i="17"/>
  <c r="O89" i="17"/>
  <c r="O94" i="17"/>
  <c r="O98" i="17"/>
  <c r="O106" i="17"/>
  <c r="O129" i="17"/>
  <c r="O130" i="17"/>
  <c r="O138" i="17"/>
  <c r="O142" i="17"/>
  <c r="O153" i="17"/>
  <c r="O165" i="17"/>
  <c r="O170" i="17"/>
  <c r="L170" i="17"/>
  <c r="O175" i="17"/>
  <c r="N175" i="17"/>
  <c r="O187" i="17"/>
  <c r="N187" i="17"/>
  <c r="O204" i="17"/>
  <c r="O209" i="17"/>
  <c r="N209" i="17"/>
  <c r="X214" i="17"/>
  <c r="O215" i="17"/>
  <c r="L215" i="17"/>
  <c r="O228" i="17"/>
  <c r="O229" i="17"/>
  <c r="O233" i="17"/>
  <c r="L233" i="17"/>
  <c r="O234" i="17"/>
  <c r="O249" i="17"/>
  <c r="O253" i="17"/>
  <c r="N253" i="17"/>
  <c r="O257" i="17"/>
  <c r="N257" i="17"/>
  <c r="O260" i="17"/>
  <c r="N260" i="17"/>
  <c r="O263" i="17"/>
  <c r="L263" i="17"/>
  <c r="O264" i="17"/>
  <c r="L264" i="17"/>
  <c r="O265" i="17"/>
  <c r="C65" i="9"/>
  <c r="D65" i="9" s="1"/>
  <c r="E65" i="9" s="1"/>
  <c r="E71" i="9"/>
  <c r="F71" i="9" s="1"/>
  <c r="C65" i="11"/>
  <c r="D65" i="11" s="1"/>
  <c r="E65" i="11" s="1"/>
  <c r="N13" i="17"/>
  <c r="M17" i="17"/>
  <c r="L17" i="17"/>
  <c r="M56" i="17"/>
  <c r="N56" i="17"/>
  <c r="M106" i="17"/>
  <c r="N106" i="17"/>
  <c r="M114" i="17"/>
  <c r="N114" i="17"/>
  <c r="M118" i="17"/>
  <c r="N118" i="17"/>
  <c r="M146" i="17"/>
  <c r="N146" i="17"/>
  <c r="O4" i="17"/>
  <c r="L4" i="17"/>
  <c r="O5" i="17"/>
  <c r="O7" i="17"/>
  <c r="O10" i="17"/>
  <c r="O14" i="17"/>
  <c r="L14" i="17"/>
  <c r="O15" i="17"/>
  <c r="M20" i="17"/>
  <c r="L20" i="17"/>
  <c r="M30" i="17"/>
  <c r="L30" i="17"/>
  <c r="M32" i="17"/>
  <c r="L32" i="17"/>
  <c r="B31" i="4"/>
  <c r="B48" i="4" s="1"/>
  <c r="X32" i="17"/>
  <c r="M121" i="17"/>
  <c r="N121" i="17"/>
  <c r="M248" i="17"/>
  <c r="L248" i="17"/>
  <c r="N248" i="17"/>
  <c r="L45" i="17"/>
  <c r="M45" i="17"/>
  <c r="N4" i="17"/>
  <c r="M19" i="17"/>
  <c r="L19" i="17"/>
  <c r="L51" i="17"/>
  <c r="M51" i="17"/>
  <c r="M74" i="17"/>
  <c r="N74" i="17"/>
  <c r="M92" i="17"/>
  <c r="N92" i="17"/>
  <c r="M100" i="17"/>
  <c r="N100" i="17"/>
  <c r="M133" i="17"/>
  <c r="N133" i="17"/>
  <c r="M157" i="17"/>
  <c r="N157" i="17"/>
  <c r="M191" i="17"/>
  <c r="N191" i="17"/>
  <c r="M245" i="17"/>
  <c r="L245" i="17"/>
  <c r="N245" i="17"/>
  <c r="M15" i="17"/>
  <c r="L15" i="17"/>
  <c r="N26" i="17"/>
  <c r="L26" i="17"/>
  <c r="N29" i="17"/>
  <c r="L29" i="17"/>
  <c r="O6" i="17"/>
  <c r="O8" i="17"/>
  <c r="N12" i="17"/>
  <c r="L13" i="17"/>
  <c r="M16" i="17"/>
  <c r="L16" i="17"/>
  <c r="M18" i="17"/>
  <c r="L18" i="17"/>
  <c r="M36" i="17"/>
  <c r="L36" i="17"/>
  <c r="B28" i="4"/>
  <c r="X36" i="17"/>
  <c r="N39" i="17"/>
  <c r="L39" i="17"/>
  <c r="X45" i="17"/>
  <c r="M58" i="17"/>
  <c r="N58" i="17"/>
  <c r="M65" i="17"/>
  <c r="N65" i="17"/>
  <c r="M87" i="17"/>
  <c r="N87" i="17"/>
  <c r="M96" i="17"/>
  <c r="N96" i="17"/>
  <c r="M103" i="17"/>
  <c r="N103" i="17"/>
  <c r="M110" i="17"/>
  <c r="N110" i="17"/>
  <c r="M152" i="17"/>
  <c r="L152" i="17"/>
  <c r="N152" i="17"/>
  <c r="M181" i="17"/>
  <c r="N181" i="17"/>
  <c r="M222" i="17"/>
  <c r="N222" i="17"/>
  <c r="M229" i="17"/>
  <c r="L229" i="17"/>
  <c r="N229" i="17"/>
  <c r="O16" i="17"/>
  <c r="O17" i="17"/>
  <c r="O18" i="17"/>
  <c r="O19" i="17"/>
  <c r="O20" i="17"/>
  <c r="O21" i="17"/>
  <c r="O29" i="17"/>
  <c r="O30" i="17"/>
  <c r="N34" i="17"/>
  <c r="X34" i="17"/>
  <c r="N37" i="17"/>
  <c r="X37" i="17"/>
  <c r="N40" i="17"/>
  <c r="M41" i="17"/>
  <c r="O44" i="17"/>
  <c r="O50" i="17"/>
  <c r="L50" i="17"/>
  <c r="O68" i="17"/>
  <c r="O69" i="17"/>
  <c r="N69" i="17"/>
  <c r="N71" i="17"/>
  <c r="O78" i="17"/>
  <c r="N78" i="17"/>
  <c r="N80" i="17"/>
  <c r="N83" i="17"/>
  <c r="O86" i="17"/>
  <c r="O93" i="17"/>
  <c r="N94" i="17"/>
  <c r="N97" i="17"/>
  <c r="N98" i="17"/>
  <c r="N101" i="17"/>
  <c r="O104" i="17"/>
  <c r="O105" i="17"/>
  <c r="N105" i="17"/>
  <c r="O108" i="17"/>
  <c r="O109" i="17"/>
  <c r="N109" i="17"/>
  <c r="O111" i="17"/>
  <c r="N112" i="17"/>
  <c r="N115" i="17"/>
  <c r="N116" i="17"/>
  <c r="N119" i="17"/>
  <c r="O122" i="17"/>
  <c r="O123" i="17"/>
  <c r="N123" i="17"/>
  <c r="X124" i="17"/>
  <c r="O125" i="17"/>
  <c r="L125" i="17"/>
  <c r="M127" i="17"/>
  <c r="N127" i="17"/>
  <c r="M227" i="17"/>
  <c r="L227" i="17"/>
  <c r="M234" i="17"/>
  <c r="L234" i="17"/>
  <c r="M266" i="17"/>
  <c r="L266" i="17"/>
  <c r="S261" i="17"/>
  <c r="S260" i="17"/>
  <c r="S262" i="17"/>
  <c r="S259" i="17"/>
  <c r="S257" i="17"/>
  <c r="S256" i="17"/>
  <c r="S255" i="17"/>
  <c r="S254" i="17"/>
  <c r="X41" i="17"/>
  <c r="N124" i="17"/>
  <c r="N125" i="17"/>
  <c r="X178" i="17"/>
  <c r="M195" i="17"/>
  <c r="N195" i="17"/>
  <c r="M231" i="17"/>
  <c r="N231" i="17"/>
  <c r="M250" i="17"/>
  <c r="N250" i="17"/>
  <c r="P143" i="17"/>
  <c r="Q143" i="17" s="1"/>
  <c r="P142" i="17"/>
  <c r="Q142" i="17" s="1"/>
  <c r="P140" i="17"/>
  <c r="Q140" i="17" s="1"/>
  <c r="P137" i="17"/>
  <c r="Q137" i="17" s="1"/>
  <c r="P144" i="17"/>
  <c r="Q144" i="17" s="1"/>
  <c r="P141" i="17"/>
  <c r="Q141" i="17" s="1"/>
  <c r="N33" i="17"/>
  <c r="X33" i="17"/>
  <c r="N35" i="17"/>
  <c r="N38" i="17"/>
  <c r="X43" i="17"/>
  <c r="O51" i="17"/>
  <c r="N53" i="17"/>
  <c r="N62" i="17"/>
  <c r="O77" i="17"/>
  <c r="O87" i="17"/>
  <c r="N89" i="17"/>
  <c r="O95" i="17"/>
  <c r="O96" i="17"/>
  <c r="O99" i="17"/>
  <c r="O100" i="17"/>
  <c r="O102" i="17"/>
  <c r="N107" i="17"/>
  <c r="O113" i="17"/>
  <c r="O114" i="17"/>
  <c r="O117" i="17"/>
  <c r="O118" i="17"/>
  <c r="O120" i="17"/>
  <c r="M136" i="17"/>
  <c r="N136" i="17"/>
  <c r="M145" i="17"/>
  <c r="N145" i="17"/>
  <c r="M154" i="17"/>
  <c r="N154" i="17"/>
  <c r="M178" i="17"/>
  <c r="N178" i="17"/>
  <c r="N188" i="17"/>
  <c r="L188" i="17"/>
  <c r="M193" i="17"/>
  <c r="N193" i="17"/>
  <c r="M218" i="17"/>
  <c r="N218" i="17"/>
  <c r="M249" i="17"/>
  <c r="N249" i="17"/>
  <c r="M259" i="17"/>
  <c r="L259" i="17"/>
  <c r="N134" i="17"/>
  <c r="O143" i="17"/>
  <c r="L143" i="17"/>
  <c r="O144" i="17"/>
  <c r="N148" i="17"/>
  <c r="O149" i="17"/>
  <c r="N155" i="17"/>
  <c r="O156" i="17"/>
  <c r="O161" i="17"/>
  <c r="L161" i="17"/>
  <c r="N169" i="17"/>
  <c r="O172" i="17"/>
  <c r="N172" i="17"/>
  <c r="N179" i="17"/>
  <c r="X179" i="17"/>
  <c r="O180" i="17"/>
  <c r="O189" i="17"/>
  <c r="O190" i="17"/>
  <c r="N190" i="17"/>
  <c r="O199" i="17"/>
  <c r="N199" i="17"/>
  <c r="N204" i="17"/>
  <c r="O208" i="17"/>
  <c r="N208" i="17"/>
  <c r="N214" i="17"/>
  <c r="O219" i="17"/>
  <c r="N220" i="17"/>
  <c r="N223" i="17"/>
  <c r="L228" i="17"/>
  <c r="L230" i="17"/>
  <c r="N235" i="17"/>
  <c r="N241" i="17"/>
  <c r="N246" i="17"/>
  <c r="N252" i="17"/>
  <c r="N263" i="17"/>
  <c r="N143" i="17"/>
  <c r="X169" i="17"/>
  <c r="N228" i="17"/>
  <c r="N230" i="17"/>
  <c r="O240" i="17"/>
  <c r="N264" i="17"/>
  <c r="L265" i="17"/>
  <c r="C4" i="2"/>
  <c r="C7" i="2" s="1"/>
  <c r="O127" i="17"/>
  <c r="O135" i="17"/>
  <c r="O136" i="17"/>
  <c r="O145" i="17"/>
  <c r="O147" i="17"/>
  <c r="O152" i="17"/>
  <c r="O154" i="17"/>
  <c r="O158" i="17"/>
  <c r="O162" i="17"/>
  <c r="N170" i="17"/>
  <c r="X170" i="17"/>
  <c r="O171" i="17"/>
  <c r="O181" i="17"/>
  <c r="O188" i="17"/>
  <c r="O195" i="17"/>
  <c r="O201" i="17"/>
  <c r="O203" i="17"/>
  <c r="O207" i="17"/>
  <c r="O221" i="17"/>
  <c r="O226" i="17"/>
  <c r="O232" i="17"/>
  <c r="O245" i="17"/>
  <c r="N247" i="17"/>
  <c r="O248" i="17"/>
  <c r="O250" i="17"/>
  <c r="O259" i="17"/>
  <c r="N265" i="17"/>
  <c r="O266" i="17"/>
  <c r="C65" i="6"/>
  <c r="D65" i="6" s="1"/>
  <c r="E65" i="6" s="1"/>
  <c r="D75" i="11"/>
  <c r="C9" i="8"/>
  <c r="D9" i="8" s="1"/>
  <c r="E9" i="8" s="1"/>
  <c r="C9" i="12"/>
  <c r="D9" i="12" s="1"/>
  <c r="E9" i="12" s="1"/>
  <c r="C65" i="12"/>
  <c r="D65" i="12" s="1"/>
  <c r="E65" i="12" s="1"/>
  <c r="C72" i="14"/>
  <c r="D72" i="14" s="1"/>
  <c r="E72" i="14" s="1"/>
  <c r="D5" i="4"/>
  <c r="E5" i="4" s="1"/>
  <c r="M6" i="17"/>
  <c r="M7" i="17"/>
  <c r="M9" i="17"/>
  <c r="M10" i="17"/>
  <c r="L2" i="17"/>
  <c r="M3" i="17"/>
  <c r="L12" i="17"/>
  <c r="N14" i="17"/>
  <c r="N15" i="17"/>
  <c r="N16" i="17"/>
  <c r="N17" i="17"/>
  <c r="N18" i="17"/>
  <c r="N19" i="17"/>
  <c r="N20" i="17"/>
  <c r="L22" i="17"/>
  <c r="M23" i="17"/>
  <c r="M24" i="17"/>
  <c r="N42" i="17"/>
  <c r="N46" i="17"/>
  <c r="M48" i="17"/>
  <c r="M57" i="17"/>
  <c r="N60" i="17"/>
  <c r="L5" i="17"/>
  <c r="L6" i="17"/>
  <c r="L7" i="17"/>
  <c r="L8" i="17"/>
  <c r="L9" i="17"/>
  <c r="L10" i="17"/>
  <c r="L11" i="17"/>
  <c r="L21" i="17"/>
  <c r="N23" i="17"/>
  <c r="N24" i="17"/>
  <c r="B27" i="3"/>
  <c r="M26" i="17"/>
  <c r="B29" i="3"/>
  <c r="M28" i="17"/>
  <c r="M39" i="17"/>
  <c r="N41" i="17"/>
  <c r="X42" i="17"/>
  <c r="M44" i="17"/>
  <c r="N45" i="17"/>
  <c r="X46" i="17"/>
  <c r="B28" i="6"/>
  <c r="M54" i="17"/>
  <c r="N55" i="17"/>
  <c r="M59" i="17"/>
  <c r="L66" i="17"/>
  <c r="N66" i="17"/>
  <c r="M21" i="17"/>
  <c r="N44" i="17"/>
  <c r="M64" i="17"/>
  <c r="L64" i="17"/>
  <c r="M5" i="17"/>
  <c r="M8" i="17"/>
  <c r="M11" i="17"/>
  <c r="M25" i="17"/>
  <c r="B28" i="3"/>
  <c r="M27" i="17"/>
  <c r="M29" i="17"/>
  <c r="N31" i="17"/>
  <c r="M42" i="17"/>
  <c r="N43" i="17"/>
  <c r="X44" i="17"/>
  <c r="M46" i="17"/>
  <c r="N47" i="17"/>
  <c r="O48" i="17"/>
  <c r="L48" i="17"/>
  <c r="M50" i="17"/>
  <c r="N51" i="17"/>
  <c r="O57" i="17"/>
  <c r="L57" i="17"/>
  <c r="O60" i="17"/>
  <c r="M60" i="17"/>
  <c r="B28" i="7"/>
  <c r="M63" i="17"/>
  <c r="L68" i="17"/>
  <c r="N68" i="17"/>
  <c r="L72" i="17"/>
  <c r="N72" i="17"/>
  <c r="B28" i="8"/>
  <c r="L49" i="17"/>
  <c r="L52" i="17"/>
  <c r="L56" i="17"/>
  <c r="L58" i="17"/>
  <c r="L61" i="17"/>
  <c r="L65" i="17"/>
  <c r="L67" i="17"/>
  <c r="L70" i="17"/>
  <c r="L74" i="17"/>
  <c r="N75" i="17"/>
  <c r="L76" i="17"/>
  <c r="N77" i="17"/>
  <c r="X78" i="17"/>
  <c r="L79" i="17"/>
  <c r="N81" i="17"/>
  <c r="X82" i="17"/>
  <c r="L83" i="17"/>
  <c r="N84" i="17"/>
  <c r="L85" i="17"/>
  <c r="N86" i="17"/>
  <c r="X87" i="17"/>
  <c r="L88" i="17"/>
  <c r="N90" i="17"/>
  <c r="X91" i="17"/>
  <c r="L92" i="17"/>
  <c r="N93" i="17"/>
  <c r="L94" i="17"/>
  <c r="N95" i="17"/>
  <c r="L97" i="17"/>
  <c r="N99" i="17"/>
  <c r="L101" i="17"/>
  <c r="N102" i="17"/>
  <c r="L103" i="17"/>
  <c r="N104" i="17"/>
  <c r="L106" i="17"/>
  <c r="N108" i="17"/>
  <c r="L110" i="17"/>
  <c r="N111" i="17"/>
  <c r="L112" i="17"/>
  <c r="N113" i="17"/>
  <c r="B20" i="13"/>
  <c r="C20" i="13" s="1"/>
  <c r="D20" i="13" s="1"/>
  <c r="E20" i="13" s="1"/>
  <c r="F20" i="3"/>
  <c r="C20" i="3" s="1"/>
  <c r="D20" i="3" s="1"/>
  <c r="E20" i="3" s="1"/>
  <c r="L115" i="17"/>
  <c r="N117" i="17"/>
  <c r="L119" i="17"/>
  <c r="N120" i="17"/>
  <c r="L121" i="17"/>
  <c r="N122" i="17"/>
  <c r="X123" i="17"/>
  <c r="L124" i="17"/>
  <c r="N126" i="17"/>
  <c r="X127" i="17"/>
  <c r="L128" i="17"/>
  <c r="N129" i="17"/>
  <c r="L130" i="17"/>
  <c r="N131" i="17"/>
  <c r="L133" i="17"/>
  <c r="N135" i="17"/>
  <c r="L137" i="17"/>
  <c r="N138" i="17"/>
  <c r="L139" i="17"/>
  <c r="N140" i="17"/>
  <c r="L142" i="17"/>
  <c r="N144" i="17"/>
  <c r="L146" i="17"/>
  <c r="N147" i="17"/>
  <c r="L148" i="17"/>
  <c r="N149" i="17"/>
  <c r="L151" i="17"/>
  <c r="N153" i="17"/>
  <c r="L155" i="17"/>
  <c r="N156" i="17"/>
  <c r="L157" i="17"/>
  <c r="N158" i="17"/>
  <c r="L160" i="17"/>
  <c r="M161" i="17"/>
  <c r="N162" i="17"/>
  <c r="L164" i="17"/>
  <c r="N165" i="17"/>
  <c r="L166" i="17"/>
  <c r="N167" i="17"/>
  <c r="X168" i="17"/>
  <c r="L169" i="17"/>
  <c r="N171" i="17"/>
  <c r="X172" i="17"/>
  <c r="L173" i="17"/>
  <c r="N174" i="17"/>
  <c r="L175" i="17"/>
  <c r="N176" i="17"/>
  <c r="X177" i="17"/>
  <c r="L178" i="17"/>
  <c r="N180" i="17"/>
  <c r="X181" i="17"/>
  <c r="L182" i="17"/>
  <c r="N183" i="17"/>
  <c r="L184" i="17"/>
  <c r="N185" i="17"/>
  <c r="L187" i="17"/>
  <c r="M188" i="17"/>
  <c r="N189" i="17"/>
  <c r="L191" i="17"/>
  <c r="N192" i="17"/>
  <c r="L193" i="17"/>
  <c r="N194" i="17"/>
  <c r="L196" i="17"/>
  <c r="M197" i="17"/>
  <c r="N198" i="17"/>
  <c r="L200" i="17"/>
  <c r="N201" i="17"/>
  <c r="L202" i="17"/>
  <c r="N203" i="17"/>
  <c r="L205" i="17"/>
  <c r="M206" i="17"/>
  <c r="N207" i="17"/>
  <c r="L209" i="17"/>
  <c r="N210" i="17"/>
  <c r="L211" i="17"/>
  <c r="N212" i="17"/>
  <c r="X213" i="17"/>
  <c r="L214" i="17"/>
  <c r="M215" i="17"/>
  <c r="N216" i="17"/>
  <c r="X217" i="17"/>
  <c r="L218" i="17"/>
  <c r="N219" i="17"/>
  <c r="L220" i="17"/>
  <c r="N221" i="17"/>
  <c r="X222" i="17"/>
  <c r="M224" i="17"/>
  <c r="N225" i="17"/>
  <c r="X226" i="17"/>
  <c r="N232" i="17"/>
  <c r="M233" i="17"/>
  <c r="M238" i="17"/>
  <c r="N239" i="17"/>
  <c r="F28" i="12"/>
  <c r="F40" i="12" s="1"/>
  <c r="N243" i="17"/>
  <c r="L258" i="17"/>
  <c r="N258" i="17"/>
  <c r="X258" i="17"/>
  <c r="L262" i="17"/>
  <c r="N262" i="17"/>
  <c r="X262" i="17"/>
  <c r="L69" i="17"/>
  <c r="L73" i="17"/>
  <c r="X77" i="17"/>
  <c r="L78" i="17"/>
  <c r="X81" i="17"/>
  <c r="L82" i="17"/>
  <c r="X86" i="17"/>
  <c r="L87" i="17"/>
  <c r="X90" i="17"/>
  <c r="L91" i="17"/>
  <c r="L96" i="17"/>
  <c r="L100" i="17"/>
  <c r="L105" i="17"/>
  <c r="L109" i="17"/>
  <c r="B35" i="13"/>
  <c r="L114" i="17"/>
  <c r="B33" i="13"/>
  <c r="F29" i="3"/>
  <c r="F41" i="3" s="1"/>
  <c r="L118" i="17"/>
  <c r="X122" i="17"/>
  <c r="L123" i="17"/>
  <c r="X126" i="17"/>
  <c r="L127" i="17"/>
  <c r="L132" i="17"/>
  <c r="B29" i="15"/>
  <c r="B33" i="15"/>
  <c r="L136" i="17"/>
  <c r="L141" i="17"/>
  <c r="L145" i="17"/>
  <c r="L150" i="17"/>
  <c r="F33" i="1"/>
  <c r="F29" i="1"/>
  <c r="F41" i="1" s="1"/>
  <c r="L154" i="17"/>
  <c r="L159" i="17"/>
  <c r="L163" i="17"/>
  <c r="X167" i="17"/>
  <c r="L168" i="17"/>
  <c r="X171" i="17"/>
  <c r="L172" i="17"/>
  <c r="F23" i="5"/>
  <c r="F35" i="5" s="1"/>
  <c r="F23" i="4"/>
  <c r="F35" i="4" s="1"/>
  <c r="F25" i="5"/>
  <c r="F25" i="4"/>
  <c r="X176" i="17"/>
  <c r="L177" i="17"/>
  <c r="X180" i="17"/>
  <c r="L181" i="17"/>
  <c r="L186" i="17"/>
  <c r="L190" i="17"/>
  <c r="L195" i="17"/>
  <c r="L199" i="17"/>
  <c r="L204" i="17"/>
  <c r="L208" i="17"/>
  <c r="X212" i="17"/>
  <c r="L213" i="17"/>
  <c r="X216" i="17"/>
  <c r="L217" i="17"/>
  <c r="X221" i="17"/>
  <c r="L222" i="17"/>
  <c r="X225" i="17"/>
  <c r="L226" i="17"/>
  <c r="L231" i="17"/>
  <c r="L235" i="17"/>
  <c r="L236" i="17"/>
  <c r="M237" i="17"/>
  <c r="M244" i="17"/>
  <c r="O269" i="17"/>
  <c r="L75" i="17"/>
  <c r="L77" i="17"/>
  <c r="L81" i="17"/>
  <c r="L84" i="17"/>
  <c r="L86" i="17"/>
  <c r="L90" i="17"/>
  <c r="L93" i="17"/>
  <c r="L95" i="17"/>
  <c r="L99" i="17"/>
  <c r="L102" i="17"/>
  <c r="L104" i="17"/>
  <c r="L108" i="17"/>
  <c r="L111" i="17"/>
  <c r="L113" i="17"/>
  <c r="B32" i="13"/>
  <c r="F28" i="3"/>
  <c r="F40" i="3" s="1"/>
  <c r="L117" i="17"/>
  <c r="L120" i="17"/>
  <c r="L122" i="17"/>
  <c r="L126" i="17"/>
  <c r="L129" i="17"/>
  <c r="L131" i="17"/>
  <c r="B28" i="15"/>
  <c r="B32" i="15"/>
  <c r="L135" i="17"/>
  <c r="L138" i="17"/>
  <c r="L140" i="17"/>
  <c r="L144" i="17"/>
  <c r="L147" i="17"/>
  <c r="L149" i="17"/>
  <c r="F32" i="1"/>
  <c r="F28" i="1"/>
  <c r="F40" i="1" s="1"/>
  <c r="L153" i="17"/>
  <c r="L156" i="17"/>
  <c r="L158" i="17"/>
  <c r="L162" i="17"/>
  <c r="L165" i="17"/>
  <c r="L167" i="17"/>
  <c r="L171" i="17"/>
  <c r="L174" i="17"/>
  <c r="L176" i="17"/>
  <c r="L180" i="17"/>
  <c r="L183" i="17"/>
  <c r="L185" i="17"/>
  <c r="L189" i="17"/>
  <c r="L192" i="17"/>
  <c r="L194" i="17"/>
  <c r="L198" i="17"/>
  <c r="L201" i="17"/>
  <c r="L203" i="17"/>
  <c r="L207" i="17"/>
  <c r="L210" i="17"/>
  <c r="L212" i="17"/>
  <c r="L216" i="17"/>
  <c r="L219" i="17"/>
  <c r="L221" i="17"/>
  <c r="L225" i="17"/>
  <c r="L232" i="17"/>
  <c r="O239" i="17"/>
  <c r="L239" i="17"/>
  <c r="L240" i="17"/>
  <c r="L251" i="17"/>
  <c r="N251" i="17"/>
  <c r="L269" i="17"/>
  <c r="N269" i="17"/>
  <c r="X269" i="17"/>
  <c r="B31" i="13"/>
  <c r="F27" i="3"/>
  <c r="F39" i="3" s="1"/>
  <c r="B21" i="13"/>
  <c r="C21" i="13" s="1"/>
  <c r="D21" i="13" s="1"/>
  <c r="E21" i="13" s="1"/>
  <c r="F21" i="3"/>
  <c r="C21" i="3" s="1"/>
  <c r="D21" i="3" s="1"/>
  <c r="E21" i="3" s="1"/>
  <c r="B27" i="15"/>
  <c r="B31" i="15"/>
  <c r="F27" i="1"/>
  <c r="F39" i="1" s="1"/>
  <c r="F31" i="1"/>
  <c r="F24" i="4"/>
  <c r="F36" i="4" s="1"/>
  <c r="F24" i="5"/>
  <c r="F36" i="5" s="1"/>
  <c r="M240" i="17"/>
  <c r="M242" i="17"/>
  <c r="L242" i="17"/>
  <c r="M258" i="17"/>
  <c r="M262" i="17"/>
  <c r="F75" i="15"/>
  <c r="B75" i="15"/>
  <c r="L249" i="17"/>
  <c r="L253" i="17"/>
  <c r="X259" i="17"/>
  <c r="L260" i="17"/>
  <c r="X266" i="17"/>
  <c r="L267" i="17"/>
  <c r="M270" i="17"/>
  <c r="X270" i="17"/>
  <c r="L271" i="17"/>
  <c r="D6" i="6"/>
  <c r="C75" i="15"/>
  <c r="D6" i="1"/>
  <c r="D74" i="12"/>
  <c r="D75" i="12"/>
  <c r="L250" i="17"/>
  <c r="L254" i="17"/>
  <c r="L255" i="17"/>
  <c r="L256" i="17"/>
  <c r="L257" i="17"/>
  <c r="X260" i="17"/>
  <c r="L261" i="17"/>
  <c r="X267" i="17"/>
  <c r="L268" i="17"/>
  <c r="M271" i="17"/>
  <c r="X271" i="17"/>
  <c r="D75" i="15"/>
  <c r="B71" i="7"/>
  <c r="X257" i="17"/>
  <c r="X261" i="17"/>
  <c r="X268" i="17"/>
  <c r="E75" i="15"/>
  <c r="E74" i="11"/>
  <c r="E74" i="10"/>
  <c r="E74" i="15" s="1"/>
  <c r="E74" i="9"/>
  <c r="E74" i="7"/>
  <c r="E74" i="8"/>
  <c r="E75" i="11"/>
  <c r="C74" i="11"/>
  <c r="C74" i="10"/>
  <c r="C74" i="15" s="1"/>
  <c r="C74" i="8"/>
  <c r="C74" i="9"/>
  <c r="C74" i="7"/>
  <c r="C75" i="11"/>
  <c r="D74" i="11"/>
  <c r="D74" i="9"/>
  <c r="D74" i="10"/>
  <c r="D74" i="15" s="1"/>
  <c r="D74" i="8"/>
  <c r="B74" i="11"/>
  <c r="B74" i="10"/>
  <c r="B74" i="15" s="1"/>
  <c r="B74" i="8"/>
  <c r="B74" i="9"/>
  <c r="B74" i="7"/>
  <c r="F74" i="11"/>
  <c r="F74" i="10"/>
  <c r="F74" i="15" s="1"/>
  <c r="F74" i="8"/>
  <c r="F74" i="9"/>
  <c r="F74" i="7"/>
  <c r="E6" i="11"/>
  <c r="E8" i="12"/>
  <c r="E6" i="13"/>
  <c r="D6" i="12"/>
  <c r="C65" i="13"/>
  <c r="D65" i="13" s="1"/>
  <c r="E65" i="13" s="1"/>
  <c r="C65" i="15"/>
  <c r="D65" i="15" s="1"/>
  <c r="E65" i="15" s="1"/>
  <c r="C9" i="14"/>
  <c r="D8" i="14"/>
  <c r="C10" i="14"/>
  <c r="C33" i="5" l="1"/>
  <c r="C60" i="5" s="1"/>
  <c r="B60" i="5"/>
  <c r="B45" i="1"/>
  <c r="B60" i="1"/>
  <c r="F45" i="4"/>
  <c r="F60" i="4"/>
  <c r="B45" i="4"/>
  <c r="B60" i="4"/>
  <c r="F45" i="5"/>
  <c r="F60" i="5"/>
  <c r="F45" i="1"/>
  <c r="F60" i="1"/>
  <c r="C33" i="3"/>
  <c r="C60" i="3" s="1"/>
  <c r="B60" i="3"/>
  <c r="F45" i="3"/>
  <c r="F60" i="3"/>
  <c r="C71" i="11"/>
  <c r="D71" i="11" s="1"/>
  <c r="E71" i="11" s="1"/>
  <c r="F71" i="11" s="1"/>
  <c r="C5" i="6"/>
  <c r="D5" i="6" s="1"/>
  <c r="E5" i="6" s="1"/>
  <c r="F4" i="3"/>
  <c r="U163" i="17" s="1"/>
  <c r="U199" i="17"/>
  <c r="W199" i="17" s="1"/>
  <c r="U234" i="17"/>
  <c r="W234" i="17" s="1"/>
  <c r="F71" i="14"/>
  <c r="F7" i="2"/>
  <c r="U242" i="17"/>
  <c r="W242" i="17" s="1"/>
  <c r="U96" i="17"/>
  <c r="W96" i="17" s="1"/>
  <c r="C50" i="2"/>
  <c r="D50" i="2" s="1"/>
  <c r="E50" i="2" s="1"/>
  <c r="F51" i="2"/>
  <c r="C51" i="2" s="1"/>
  <c r="D51" i="2" s="1"/>
  <c r="E51" i="2" s="1"/>
  <c r="F52" i="2"/>
  <c r="C52" i="2" s="1"/>
  <c r="D52" i="2" s="1"/>
  <c r="E52" i="2" s="1"/>
  <c r="D28" i="2"/>
  <c r="C40" i="2"/>
  <c r="F56" i="2"/>
  <c r="C56" i="2" s="1"/>
  <c r="D56" i="2" s="1"/>
  <c r="E56" i="2" s="1"/>
  <c r="F55" i="2"/>
  <c r="C55" i="2" s="1"/>
  <c r="D55" i="2" s="1"/>
  <c r="E55" i="2" s="1"/>
  <c r="F58" i="2"/>
  <c r="C58" i="2" s="1"/>
  <c r="D58" i="2" s="1"/>
  <c r="E58" i="2" s="1"/>
  <c r="D23" i="2"/>
  <c r="C35" i="2"/>
  <c r="D27" i="2"/>
  <c r="C39" i="2"/>
  <c r="D25" i="2"/>
  <c r="C37" i="2"/>
  <c r="D31" i="2"/>
  <c r="C48" i="2"/>
  <c r="C43" i="2"/>
  <c r="D33" i="2"/>
  <c r="D60" i="2" s="1"/>
  <c r="C45" i="2"/>
  <c r="F57" i="2"/>
  <c r="C57" i="2" s="1"/>
  <c r="D57" i="2" s="1"/>
  <c r="E57" i="2" s="1"/>
  <c r="C44" i="2"/>
  <c r="C54" i="2"/>
  <c r="D32" i="2"/>
  <c r="F61" i="2"/>
  <c r="C61" i="2" s="1"/>
  <c r="D61" i="2" s="1"/>
  <c r="E61" i="2" s="1"/>
  <c r="C41" i="2"/>
  <c r="D29" i="2"/>
  <c r="C36" i="2"/>
  <c r="D24" i="2"/>
  <c r="Q23" i="17"/>
  <c r="Q157" i="17"/>
  <c r="Q162" i="17"/>
  <c r="Q163" i="17"/>
  <c r="B68" i="10"/>
  <c r="B68" i="15" s="1"/>
  <c r="B68" i="9"/>
  <c r="B68" i="7"/>
  <c r="B68" i="8"/>
  <c r="H68" i="9"/>
  <c r="H68" i="7"/>
  <c r="H68" i="10"/>
  <c r="H68" i="15" s="1"/>
  <c r="H68" i="8"/>
  <c r="Q25" i="17"/>
  <c r="F68" i="9"/>
  <c r="F68" i="7"/>
  <c r="F68" i="10"/>
  <c r="F68" i="15" s="1"/>
  <c r="F68" i="8"/>
  <c r="D68" i="9"/>
  <c r="D68" i="7"/>
  <c r="D68" i="10"/>
  <c r="D68" i="15" s="1"/>
  <c r="D68" i="8"/>
  <c r="G68" i="10"/>
  <c r="G68" i="15" s="1"/>
  <c r="G68" i="8"/>
  <c r="G68" i="9"/>
  <c r="G68" i="7"/>
  <c r="U97" i="17"/>
  <c r="W97" i="17" s="1"/>
  <c r="E68" i="10"/>
  <c r="E68" i="15" s="1"/>
  <c r="E68" i="8"/>
  <c r="E68" i="9"/>
  <c r="E68" i="7"/>
  <c r="I8" i="3"/>
  <c r="I11" i="3" s="1"/>
  <c r="E8" i="3"/>
  <c r="E11" i="3" s="1"/>
  <c r="J8" i="3"/>
  <c r="J11" i="3" s="1"/>
  <c r="F4" i="6"/>
  <c r="C5" i="3"/>
  <c r="C4" i="3" s="1"/>
  <c r="F5" i="8"/>
  <c r="H70" i="13"/>
  <c r="H70" i="8"/>
  <c r="E68" i="13"/>
  <c r="E68" i="12"/>
  <c r="E68" i="14"/>
  <c r="B7" i="12"/>
  <c r="U108" i="17"/>
  <c r="W108" i="17" s="1"/>
  <c r="U107" i="17"/>
  <c r="W107" i="17" s="1"/>
  <c r="U109" i="17"/>
  <c r="W109" i="17" s="1"/>
  <c r="J8" i="4"/>
  <c r="J11" i="4" s="1"/>
  <c r="E8" i="4"/>
  <c r="I8" i="4"/>
  <c r="I11" i="4" s="1"/>
  <c r="J6" i="4"/>
  <c r="B4" i="8"/>
  <c r="B5" i="13"/>
  <c r="U95" i="17"/>
  <c r="W95" i="17" s="1"/>
  <c r="I9" i="8"/>
  <c r="D11" i="8"/>
  <c r="J9" i="8"/>
  <c r="E8" i="8"/>
  <c r="D7" i="9"/>
  <c r="J7" i="4"/>
  <c r="E7" i="4"/>
  <c r="I7" i="4"/>
  <c r="D7" i="14"/>
  <c r="F69" i="9"/>
  <c r="F69" i="14"/>
  <c r="K7" i="4"/>
  <c r="D4" i="9"/>
  <c r="E4" i="4"/>
  <c r="E4" i="9" s="1"/>
  <c r="E11" i="4"/>
  <c r="F5" i="1"/>
  <c r="B4" i="1"/>
  <c r="E7" i="15"/>
  <c r="E7" i="10"/>
  <c r="E15" i="8"/>
  <c r="E15" i="13"/>
  <c r="C11" i="1"/>
  <c r="D8" i="1"/>
  <c r="E16" i="13"/>
  <c r="E16" i="8"/>
  <c r="D5" i="10"/>
  <c r="C5" i="15"/>
  <c r="B7" i="3"/>
  <c r="U27" i="17"/>
  <c r="U26" i="17"/>
  <c r="U28" i="17"/>
  <c r="J5" i="5"/>
  <c r="L5" i="5" s="1"/>
  <c r="D11" i="4"/>
  <c r="G70" i="8"/>
  <c r="G70" i="13"/>
  <c r="J9" i="9"/>
  <c r="D11" i="9"/>
  <c r="I9" i="9"/>
  <c r="E8" i="9"/>
  <c r="E11" i="9" s="1"/>
  <c r="E69" i="14"/>
  <c r="E69" i="9"/>
  <c r="U64" i="17"/>
  <c r="W64" i="17" s="1"/>
  <c r="U63" i="17"/>
  <c r="W63" i="17" s="1"/>
  <c r="U62" i="17"/>
  <c r="W62" i="17" s="1"/>
  <c r="U59" i="17"/>
  <c r="W59" i="17" s="1"/>
  <c r="U60" i="17"/>
  <c r="W60" i="17" s="1"/>
  <c r="U61" i="17"/>
  <c r="W61" i="17" s="1"/>
  <c r="E4" i="11"/>
  <c r="E7" i="11" s="1"/>
  <c r="C23" i="3"/>
  <c r="D23" i="3" s="1"/>
  <c r="C4" i="12"/>
  <c r="C7" i="12" s="1"/>
  <c r="P108" i="17"/>
  <c r="P105" i="17"/>
  <c r="P101" i="17"/>
  <c r="P104" i="17"/>
  <c r="P109" i="17"/>
  <c r="P107" i="17"/>
  <c r="P103" i="17"/>
  <c r="P106" i="17"/>
  <c r="P102" i="17"/>
  <c r="Q87" i="17"/>
  <c r="D72" i="6"/>
  <c r="Q86" i="17"/>
  <c r="Q84" i="17"/>
  <c r="Q83" i="17"/>
  <c r="Q89" i="17"/>
  <c r="B57" i="4"/>
  <c r="F7" i="12"/>
  <c r="C24" i="3"/>
  <c r="C36" i="3" s="1"/>
  <c r="U243" i="17"/>
  <c r="W243" i="17" s="1"/>
  <c r="U244" i="17"/>
  <c r="W244" i="17" s="1"/>
  <c r="Y5" i="17"/>
  <c r="F48" i="3"/>
  <c r="B43" i="3"/>
  <c r="C32" i="1"/>
  <c r="C54" i="1" s="1"/>
  <c r="Y6" i="17"/>
  <c r="Q52" i="17"/>
  <c r="C25" i="6"/>
  <c r="C37" i="6" s="1"/>
  <c r="B55" i="3"/>
  <c r="C32" i="12"/>
  <c r="D32" i="12" s="1"/>
  <c r="E32" i="12" s="1"/>
  <c r="E44" i="12" s="1"/>
  <c r="C29" i="8"/>
  <c r="C41" i="8" s="1"/>
  <c r="B39" i="6"/>
  <c r="B62" i="1"/>
  <c r="C28" i="5"/>
  <c r="C40" i="5" s="1"/>
  <c r="B50" i="5"/>
  <c r="B58" i="3"/>
  <c r="C29" i="10"/>
  <c r="C41" i="10" s="1"/>
  <c r="B37" i="12"/>
  <c r="W51" i="17"/>
  <c r="W6" i="17"/>
  <c r="W50" i="17"/>
  <c r="W7" i="17"/>
  <c r="W5" i="17"/>
  <c r="W52" i="17"/>
  <c r="B36" i="3"/>
  <c r="U233" i="17"/>
  <c r="E8" i="13"/>
  <c r="E10" i="13" s="1"/>
  <c r="B36" i="12"/>
  <c r="C27" i="11"/>
  <c r="D27" i="11" s="1"/>
  <c r="E27" i="11" s="1"/>
  <c r="E39" i="11" s="1"/>
  <c r="C25" i="7"/>
  <c r="D25" i="7" s="1"/>
  <c r="C27" i="7"/>
  <c r="D27" i="7" s="1"/>
  <c r="C31" i="4"/>
  <c r="C43" i="4" s="1"/>
  <c r="B50" i="1"/>
  <c r="C32" i="7"/>
  <c r="C44" i="7" s="1"/>
  <c r="C28" i="4"/>
  <c r="D28" i="4" s="1"/>
  <c r="U198" i="17"/>
  <c r="Q50" i="17"/>
  <c r="C31" i="11"/>
  <c r="D31" i="11" s="1"/>
  <c r="E31" i="11" s="1"/>
  <c r="E43" i="11" s="1"/>
  <c r="D10" i="11"/>
  <c r="F43" i="4"/>
  <c r="C24" i="9"/>
  <c r="C36" i="9" s="1"/>
  <c r="B35" i="6"/>
  <c r="B45" i="5"/>
  <c r="U197" i="17"/>
  <c r="B62" i="4"/>
  <c r="F7" i="7"/>
  <c r="C25" i="8"/>
  <c r="D25" i="8" s="1"/>
  <c r="C32" i="6"/>
  <c r="D32" i="6" s="1"/>
  <c r="B48" i="1"/>
  <c r="C31" i="1"/>
  <c r="D31" i="1" s="1"/>
  <c r="C24" i="13"/>
  <c r="D24" i="13" s="1"/>
  <c r="E24" i="13" s="1"/>
  <c r="C28" i="11"/>
  <c r="C40" i="11" s="1"/>
  <c r="C28" i="9"/>
  <c r="C40" i="9" s="1"/>
  <c r="B37" i="9"/>
  <c r="C27" i="12"/>
  <c r="D27" i="12" s="1"/>
  <c r="E27" i="12" s="1"/>
  <c r="E39" i="12" s="1"/>
  <c r="B62" i="5"/>
  <c r="B56" i="1"/>
  <c r="B37" i="3"/>
  <c r="C4" i="11"/>
  <c r="C7" i="11" s="1"/>
  <c r="C24" i="1"/>
  <c r="D24" i="1" s="1"/>
  <c r="C24" i="14"/>
  <c r="C36" i="14" s="1"/>
  <c r="C33" i="14"/>
  <c r="D33" i="14" s="1"/>
  <c r="E33" i="14" s="1"/>
  <c r="C23" i="10"/>
  <c r="C35" i="10" s="1"/>
  <c r="Q54" i="17"/>
  <c r="D4" i="11"/>
  <c r="D7" i="11" s="1"/>
  <c r="C23" i="11"/>
  <c r="C35" i="11" s="1"/>
  <c r="B40" i="4"/>
  <c r="B50" i="4"/>
  <c r="B54" i="1"/>
  <c r="C27" i="5"/>
  <c r="D27" i="5" s="1"/>
  <c r="Q48" i="17"/>
  <c r="C29" i="7"/>
  <c r="D29" i="7" s="1"/>
  <c r="Q49" i="17"/>
  <c r="C24" i="11"/>
  <c r="D24" i="11" s="1"/>
  <c r="E24" i="11" s="1"/>
  <c r="E36" i="11" s="1"/>
  <c r="C25" i="4"/>
  <c r="D25" i="4" s="1"/>
  <c r="C23" i="15"/>
  <c r="D23" i="15" s="1"/>
  <c r="C33" i="11"/>
  <c r="D33" i="11" s="1"/>
  <c r="C25" i="10"/>
  <c r="D25" i="10" s="1"/>
  <c r="B54" i="3"/>
  <c r="C4" i="6"/>
  <c r="C7" i="6" s="1"/>
  <c r="Q53" i="17"/>
  <c r="F48" i="5"/>
  <c r="F49" i="5" s="1"/>
  <c r="C49" i="5" s="1"/>
  <c r="D49" i="5" s="1"/>
  <c r="E49" i="5" s="1"/>
  <c r="C31" i="14"/>
  <c r="D31" i="14" s="1"/>
  <c r="E31" i="14" s="1"/>
  <c r="C31" i="9"/>
  <c r="C43" i="9" s="1"/>
  <c r="F44" i="3"/>
  <c r="C29" i="13"/>
  <c r="D29" i="13" s="1"/>
  <c r="E29" i="13" s="1"/>
  <c r="C29" i="12"/>
  <c r="D29" i="12" s="1"/>
  <c r="E29" i="12" s="1"/>
  <c r="E41" i="12" s="1"/>
  <c r="C32" i="10"/>
  <c r="D32" i="10" s="1"/>
  <c r="C29" i="9"/>
  <c r="C41" i="9" s="1"/>
  <c r="B41" i="8"/>
  <c r="B45" i="14"/>
  <c r="C23" i="12"/>
  <c r="D23" i="12" s="1"/>
  <c r="C23" i="8"/>
  <c r="D23" i="8" s="1"/>
  <c r="B37" i="7"/>
  <c r="C27" i="13"/>
  <c r="D27" i="13" s="1"/>
  <c r="E27" i="13" s="1"/>
  <c r="C27" i="8"/>
  <c r="D27" i="8" s="1"/>
  <c r="B56" i="4"/>
  <c r="B43" i="4"/>
  <c r="B43" i="5"/>
  <c r="B36" i="1"/>
  <c r="B57" i="5"/>
  <c r="C32" i="3"/>
  <c r="D32" i="3" s="1"/>
  <c r="B57" i="3"/>
  <c r="C31" i="5"/>
  <c r="C43" i="5" s="1"/>
  <c r="B56" i="3"/>
  <c r="C23" i="13"/>
  <c r="D23" i="13" s="1"/>
  <c r="E23" i="13" s="1"/>
  <c r="C28" i="14"/>
  <c r="D28" i="14" s="1"/>
  <c r="E28" i="14" s="1"/>
  <c r="C28" i="10"/>
  <c r="C40" i="10" s="1"/>
  <c r="C32" i="8"/>
  <c r="D32" i="8" s="1"/>
  <c r="C25" i="15"/>
  <c r="C37" i="15" s="1"/>
  <c r="C33" i="4"/>
  <c r="B45" i="3"/>
  <c r="C29" i="6"/>
  <c r="D29" i="6" s="1"/>
  <c r="C33" i="7"/>
  <c r="C45" i="7" s="1"/>
  <c r="D24" i="12"/>
  <c r="E24" i="12" s="1"/>
  <c r="E36" i="12" s="1"/>
  <c r="C36" i="12"/>
  <c r="C25" i="11"/>
  <c r="D25" i="11" s="1"/>
  <c r="E25" i="11" s="1"/>
  <c r="E37" i="11" s="1"/>
  <c r="C33" i="8"/>
  <c r="D33" i="8" s="1"/>
  <c r="B44" i="4"/>
  <c r="C31" i="6"/>
  <c r="D31" i="6" s="1"/>
  <c r="B62" i="3"/>
  <c r="B41" i="7"/>
  <c r="C31" i="7"/>
  <c r="C43" i="7" s="1"/>
  <c r="Y7" i="17"/>
  <c r="B54" i="5"/>
  <c r="C32" i="5"/>
  <c r="C44" i="5" s="1"/>
  <c r="U235" i="17"/>
  <c r="F54" i="5"/>
  <c r="C32" i="14"/>
  <c r="D32" i="14" s="1"/>
  <c r="E32" i="14" s="1"/>
  <c r="C28" i="13"/>
  <c r="D28" i="13" s="1"/>
  <c r="E28" i="13" s="1"/>
  <c r="C32" i="9"/>
  <c r="C44" i="9" s="1"/>
  <c r="C23" i="14"/>
  <c r="D23" i="14" s="1"/>
  <c r="E23" i="14" s="1"/>
  <c r="C33" i="12"/>
  <c r="C45" i="12" s="1"/>
  <c r="C33" i="10"/>
  <c r="D33" i="10" s="1"/>
  <c r="C23" i="9"/>
  <c r="C35" i="9" s="1"/>
  <c r="B54" i="4"/>
  <c r="C23" i="1"/>
  <c r="C35" i="1" s="1"/>
  <c r="C29" i="5"/>
  <c r="D29" i="5" s="1"/>
  <c r="B56" i="5"/>
  <c r="B44" i="5"/>
  <c r="F7" i="11"/>
  <c r="Q47" i="17"/>
  <c r="C27" i="4"/>
  <c r="D27" i="4" s="1"/>
  <c r="C32" i="4"/>
  <c r="C44" i="4" s="1"/>
  <c r="B55" i="4"/>
  <c r="B58" i="5"/>
  <c r="C37" i="12"/>
  <c r="D37" i="12"/>
  <c r="F49" i="4"/>
  <c r="C49" i="4" s="1"/>
  <c r="D49" i="4" s="1"/>
  <c r="E49" i="4" s="1"/>
  <c r="C24" i="15"/>
  <c r="C36" i="15" s="1"/>
  <c r="C31" i="12"/>
  <c r="C31" i="10"/>
  <c r="C43" i="10" s="1"/>
  <c r="F44" i="4"/>
  <c r="C29" i="14"/>
  <c r="C41" i="14" s="1"/>
  <c r="C32" i="11"/>
  <c r="C33" i="6"/>
  <c r="D33" i="6" s="1"/>
  <c r="C31" i="8"/>
  <c r="D31" i="8" s="1"/>
  <c r="B37" i="5"/>
  <c r="B44" i="1"/>
  <c r="B58" i="1"/>
  <c r="C24" i="8"/>
  <c r="D24" i="8" s="1"/>
  <c r="B36" i="6"/>
  <c r="C31" i="3"/>
  <c r="D31" i="3" s="1"/>
  <c r="C25" i="1"/>
  <c r="C29" i="11"/>
  <c r="C27" i="14"/>
  <c r="B39" i="4"/>
  <c r="B55" i="1"/>
  <c r="C24" i="7"/>
  <c r="C36" i="7" s="1"/>
  <c r="B50" i="3"/>
  <c r="F54" i="4"/>
  <c r="C25" i="14"/>
  <c r="C25" i="13"/>
  <c r="D25" i="13" s="1"/>
  <c r="C24" i="10"/>
  <c r="D24" i="10" s="1"/>
  <c r="C25" i="5"/>
  <c r="C23" i="7"/>
  <c r="C35" i="7" s="1"/>
  <c r="C29" i="4"/>
  <c r="C41" i="4" s="1"/>
  <c r="Q51" i="17"/>
  <c r="E71" i="10"/>
  <c r="C33" i="9"/>
  <c r="D33" i="9" s="1"/>
  <c r="C4" i="7"/>
  <c r="C7" i="7" s="1"/>
  <c r="C27" i="10"/>
  <c r="D27" i="10" s="1"/>
  <c r="E6" i="3"/>
  <c r="E6" i="8" s="1"/>
  <c r="C28" i="12"/>
  <c r="D28" i="12" s="1"/>
  <c r="C27" i="9"/>
  <c r="C39" i="9" s="1"/>
  <c r="U145" i="17"/>
  <c r="U144" i="17"/>
  <c r="U143" i="17"/>
  <c r="I5" i="4"/>
  <c r="K5" i="4" s="1"/>
  <c r="J5" i="4"/>
  <c r="L5" i="4" s="1"/>
  <c r="E10" i="12"/>
  <c r="E37" i="12"/>
  <c r="B74" i="13"/>
  <c r="B75" i="13"/>
  <c r="R208" i="17"/>
  <c r="R204" i="17"/>
  <c r="R205" i="17"/>
  <c r="R202" i="17"/>
  <c r="R200" i="17"/>
  <c r="R206" i="17"/>
  <c r="R207" i="17"/>
  <c r="R203" i="17"/>
  <c r="R201" i="17"/>
  <c r="F71" i="10"/>
  <c r="P215" i="17"/>
  <c r="Q215" i="17" s="1"/>
  <c r="P216" i="17"/>
  <c r="Q216" i="17" s="1"/>
  <c r="P212" i="17"/>
  <c r="Q212" i="17" s="1"/>
  <c r="P210" i="17"/>
  <c r="Q210" i="17" s="1"/>
  <c r="P217" i="17"/>
  <c r="Q217" i="17" s="1"/>
  <c r="P213" i="17"/>
  <c r="Q213" i="17" s="1"/>
  <c r="P214" i="17"/>
  <c r="Q214" i="17" s="1"/>
  <c r="P211" i="17"/>
  <c r="Q211" i="17" s="1"/>
  <c r="P209" i="17"/>
  <c r="Q209" i="17" s="1"/>
  <c r="R199" i="17"/>
  <c r="R195" i="17"/>
  <c r="R196" i="17"/>
  <c r="R193" i="17"/>
  <c r="R191" i="17"/>
  <c r="R197" i="17"/>
  <c r="R198" i="17"/>
  <c r="R194" i="17"/>
  <c r="R192" i="17"/>
  <c r="R100" i="17"/>
  <c r="Q100" i="17" s="1"/>
  <c r="R96" i="17"/>
  <c r="Q96" i="17" s="1"/>
  <c r="R97" i="17"/>
  <c r="Q97" i="17" s="1"/>
  <c r="R94" i="17"/>
  <c r="Q94" i="17" s="1"/>
  <c r="R92" i="17"/>
  <c r="Q92" i="17" s="1"/>
  <c r="R98" i="17"/>
  <c r="Q98" i="17" s="1"/>
  <c r="R99" i="17"/>
  <c r="Q99" i="17" s="1"/>
  <c r="R95" i="17"/>
  <c r="Q95" i="17" s="1"/>
  <c r="R93" i="17"/>
  <c r="Q93" i="17" s="1"/>
  <c r="C9" i="15"/>
  <c r="D9" i="14"/>
  <c r="D10" i="14"/>
  <c r="E8" i="14"/>
  <c r="F74" i="13"/>
  <c r="F75" i="13"/>
  <c r="B74" i="14"/>
  <c r="D74" i="13"/>
  <c r="D75" i="13"/>
  <c r="C74" i="12"/>
  <c r="C75" i="12"/>
  <c r="R243" i="17"/>
  <c r="R242" i="17"/>
  <c r="R237" i="17"/>
  <c r="R244" i="17"/>
  <c r="R238" i="17"/>
  <c r="R241" i="17"/>
  <c r="R240" i="17"/>
  <c r="R239" i="17"/>
  <c r="R236" i="17"/>
  <c r="R70" i="17"/>
  <c r="R67" i="17"/>
  <c r="R65" i="17"/>
  <c r="R71" i="17"/>
  <c r="R72" i="17"/>
  <c r="R68" i="17"/>
  <c r="R66" i="17"/>
  <c r="R73" i="17"/>
  <c r="R69" i="17"/>
  <c r="R127" i="17"/>
  <c r="Q127" i="17" s="1"/>
  <c r="R123" i="17"/>
  <c r="Q123" i="17" s="1"/>
  <c r="R124" i="17"/>
  <c r="Q124" i="17" s="1"/>
  <c r="R121" i="17"/>
  <c r="Q121" i="17" s="1"/>
  <c r="R119" i="17"/>
  <c r="Q119" i="17" s="1"/>
  <c r="R125" i="17"/>
  <c r="Q125" i="17" s="1"/>
  <c r="R126" i="17"/>
  <c r="Q126" i="17" s="1"/>
  <c r="R122" i="17"/>
  <c r="Q122" i="17" s="1"/>
  <c r="R120" i="17"/>
  <c r="Q120" i="17" s="1"/>
  <c r="C7" i="3"/>
  <c r="E74" i="14"/>
  <c r="D4" i="6"/>
  <c r="D7" i="6" s="1"/>
  <c r="E6" i="6"/>
  <c r="B39" i="15"/>
  <c r="C27" i="15"/>
  <c r="B44" i="15"/>
  <c r="C32" i="15"/>
  <c r="B45" i="13"/>
  <c r="C33" i="13"/>
  <c r="B40" i="7"/>
  <c r="C28" i="7"/>
  <c r="C45" i="5"/>
  <c r="D33" i="5"/>
  <c r="D60" i="5" s="1"/>
  <c r="C28" i="1"/>
  <c r="C24" i="4"/>
  <c r="C74" i="14"/>
  <c r="R118" i="17"/>
  <c r="Q118" i="17" s="1"/>
  <c r="R114" i="17"/>
  <c r="Q114" i="17" s="1"/>
  <c r="R115" i="17"/>
  <c r="Q115" i="17" s="1"/>
  <c r="R112" i="17"/>
  <c r="Q112" i="17" s="1"/>
  <c r="R110" i="17"/>
  <c r="Q110" i="17" s="1"/>
  <c r="R116" i="17"/>
  <c r="Q116" i="17" s="1"/>
  <c r="R117" i="17"/>
  <c r="Q117" i="17" s="1"/>
  <c r="R113" i="17"/>
  <c r="Q113" i="17" s="1"/>
  <c r="R111" i="17"/>
  <c r="Q111" i="17" s="1"/>
  <c r="B71" i="8"/>
  <c r="D71" i="7"/>
  <c r="E71" i="7" s="1"/>
  <c r="F71" i="7" s="1"/>
  <c r="P64" i="17"/>
  <c r="P60" i="17"/>
  <c r="P61" i="17"/>
  <c r="P58" i="17"/>
  <c r="P56" i="17"/>
  <c r="P59" i="17"/>
  <c r="P62" i="17"/>
  <c r="P57" i="17"/>
  <c r="P63" i="17"/>
  <c r="D6" i="7"/>
  <c r="D4" i="7" s="1"/>
  <c r="D7" i="7" s="1"/>
  <c r="E6" i="1"/>
  <c r="B40" i="15"/>
  <c r="C28" i="15"/>
  <c r="B45" i="15"/>
  <c r="C33" i="15"/>
  <c r="C39" i="6"/>
  <c r="D27" i="6"/>
  <c r="C23" i="5"/>
  <c r="C45" i="3"/>
  <c r="D33" i="3"/>
  <c r="D60" i="3" s="1"/>
  <c r="C33" i="1"/>
  <c r="C60" i="1" s="1"/>
  <c r="C24" i="5"/>
  <c r="R262" i="17"/>
  <c r="R258" i="17"/>
  <c r="R261" i="17"/>
  <c r="R257" i="17"/>
  <c r="R256" i="17"/>
  <c r="R255" i="17"/>
  <c r="R254" i="17"/>
  <c r="R260" i="17"/>
  <c r="R259" i="17"/>
  <c r="C74" i="13"/>
  <c r="C75" i="13"/>
  <c r="F43" i="1"/>
  <c r="F48" i="1"/>
  <c r="B43" i="13"/>
  <c r="C31" i="13"/>
  <c r="F37" i="4"/>
  <c r="B41" i="15"/>
  <c r="C29" i="15"/>
  <c r="C37" i="9"/>
  <c r="D25" i="9"/>
  <c r="C35" i="6"/>
  <c r="D23" i="6"/>
  <c r="C29" i="1"/>
  <c r="C27" i="1"/>
  <c r="B39" i="3"/>
  <c r="C27" i="3"/>
  <c r="R62" i="17"/>
  <c r="R63" i="17"/>
  <c r="R59" i="17"/>
  <c r="R57" i="17"/>
  <c r="R56" i="17"/>
  <c r="R64" i="17"/>
  <c r="R60" i="17"/>
  <c r="R61" i="17"/>
  <c r="R58" i="17"/>
  <c r="F74" i="12"/>
  <c r="F75" i="12"/>
  <c r="D74" i="14"/>
  <c r="R251" i="17"/>
  <c r="R250" i="17"/>
  <c r="R253" i="17"/>
  <c r="R249" i="17"/>
  <c r="R247" i="17"/>
  <c r="R252" i="17"/>
  <c r="R245" i="17"/>
  <c r="R248" i="17"/>
  <c r="R246" i="17"/>
  <c r="R136" i="17"/>
  <c r="Q136" i="17" s="1"/>
  <c r="R132" i="17"/>
  <c r="Q132" i="17" s="1"/>
  <c r="R133" i="17"/>
  <c r="Q133" i="17" s="1"/>
  <c r="R130" i="17"/>
  <c r="Q130" i="17" s="1"/>
  <c r="R128" i="17"/>
  <c r="Q128" i="17" s="1"/>
  <c r="R134" i="17"/>
  <c r="Q134" i="17" s="1"/>
  <c r="R135" i="17"/>
  <c r="Q135" i="17" s="1"/>
  <c r="R131" i="17"/>
  <c r="Q131" i="17" s="1"/>
  <c r="R129" i="17"/>
  <c r="Q129" i="17" s="1"/>
  <c r="E74" i="13"/>
  <c r="E75" i="13"/>
  <c r="F7" i="3"/>
  <c r="D4" i="12"/>
  <c r="D7" i="12" s="1"/>
  <c r="E6" i="12"/>
  <c r="E4" i="12" s="1"/>
  <c r="E7" i="12" s="1"/>
  <c r="E10" i="11"/>
  <c r="F74" i="14"/>
  <c r="B74" i="12"/>
  <c r="B75" i="12"/>
  <c r="R233" i="17"/>
  <c r="R232" i="17"/>
  <c r="R235" i="17"/>
  <c r="R231" i="17"/>
  <c r="R234" i="17"/>
  <c r="R230" i="17"/>
  <c r="R229" i="17"/>
  <c r="R228" i="17"/>
  <c r="R227" i="17"/>
  <c r="R269" i="17"/>
  <c r="R268" i="17"/>
  <c r="R271" i="17"/>
  <c r="R267" i="17"/>
  <c r="R270" i="17"/>
  <c r="R265" i="17"/>
  <c r="R263" i="17"/>
  <c r="R266" i="17"/>
  <c r="R264" i="17"/>
  <c r="R109" i="17"/>
  <c r="R105" i="17"/>
  <c r="R106" i="17"/>
  <c r="R103" i="17"/>
  <c r="R101" i="17"/>
  <c r="R107" i="17"/>
  <c r="R108" i="17"/>
  <c r="R104" i="17"/>
  <c r="R102" i="17"/>
  <c r="E74" i="12"/>
  <c r="E75" i="12"/>
  <c r="B43" i="15"/>
  <c r="C31" i="15"/>
  <c r="F54" i="1"/>
  <c r="F44" i="1"/>
  <c r="B44" i="13"/>
  <c r="C32" i="13"/>
  <c r="F61" i="5"/>
  <c r="C61" i="5" s="1"/>
  <c r="D61" i="5" s="1"/>
  <c r="E61" i="5" s="1"/>
  <c r="F37" i="5"/>
  <c r="B40" i="8"/>
  <c r="C28" i="8"/>
  <c r="C23" i="4"/>
  <c r="B40" i="3"/>
  <c r="C28" i="3"/>
  <c r="B40" i="6"/>
  <c r="C28" i="6"/>
  <c r="B41" i="3"/>
  <c r="C29" i="3"/>
  <c r="C37" i="3"/>
  <c r="D25" i="3"/>
  <c r="C36" i="6"/>
  <c r="D24" i="6"/>
  <c r="C5" i="8" l="1"/>
  <c r="C4" i="8" s="1"/>
  <c r="C7" i="8" s="1"/>
  <c r="U162" i="17"/>
  <c r="D5" i="3"/>
  <c r="I5" i="3" s="1"/>
  <c r="K5" i="3" s="1"/>
  <c r="D33" i="4"/>
  <c r="D60" i="4" s="1"/>
  <c r="C60" i="4"/>
  <c r="U161" i="17"/>
  <c r="W161" i="17" s="1"/>
  <c r="F4" i="8"/>
  <c r="U207" i="17" s="1"/>
  <c r="W207" i="17" s="1"/>
  <c r="U189" i="17"/>
  <c r="W189" i="17" s="1"/>
  <c r="C71" i="14"/>
  <c r="D71" i="14" s="1"/>
  <c r="E71" i="14" s="1"/>
  <c r="C39" i="5"/>
  <c r="F7" i="6"/>
  <c r="U187" i="17" s="1"/>
  <c r="W187" i="17" s="1"/>
  <c r="E24" i="2"/>
  <c r="E36" i="2" s="1"/>
  <c r="D36" i="2"/>
  <c r="D37" i="2"/>
  <c r="E25" i="2"/>
  <c r="E23" i="2"/>
  <c r="E35" i="2" s="1"/>
  <c r="D35" i="2"/>
  <c r="E36" i="13"/>
  <c r="D44" i="2"/>
  <c r="D54" i="2"/>
  <c r="E32" i="2"/>
  <c r="D48" i="2"/>
  <c r="E31" i="2"/>
  <c r="D43" i="2"/>
  <c r="E28" i="2"/>
  <c r="E40" i="2" s="1"/>
  <c r="D40" i="2"/>
  <c r="E29" i="2"/>
  <c r="E41" i="2" s="1"/>
  <c r="D41" i="2"/>
  <c r="E33" i="2"/>
  <c r="D45" i="2"/>
  <c r="E27" i="2"/>
  <c r="E39" i="2" s="1"/>
  <c r="D39" i="2"/>
  <c r="F62" i="2"/>
  <c r="U188" i="17"/>
  <c r="W188" i="17" s="1"/>
  <c r="U190" i="17"/>
  <c r="W190" i="17" s="1"/>
  <c r="D25" i="6"/>
  <c r="D37" i="6" s="1"/>
  <c r="C35" i="3"/>
  <c r="E35" i="13"/>
  <c r="Q103" i="17"/>
  <c r="F7" i="8"/>
  <c r="Y28" i="17"/>
  <c r="W28" i="17"/>
  <c r="D11" i="1"/>
  <c r="J8" i="1"/>
  <c r="J11" i="1" s="1"/>
  <c r="E8" i="1"/>
  <c r="E11" i="1" s="1"/>
  <c r="I8" i="1"/>
  <c r="I11" i="1" s="1"/>
  <c r="D5" i="15"/>
  <c r="E5" i="10"/>
  <c r="E5" i="15" s="1"/>
  <c r="F5" i="13"/>
  <c r="B4" i="13"/>
  <c r="Y27" i="17"/>
  <c r="W27" i="17"/>
  <c r="U18" i="17"/>
  <c r="U17" i="17"/>
  <c r="U19" i="17"/>
  <c r="B7" i="1"/>
  <c r="U73" i="17"/>
  <c r="W73" i="17" s="1"/>
  <c r="U71" i="17"/>
  <c r="W71" i="17" s="1"/>
  <c r="U72" i="17"/>
  <c r="W72" i="17" s="1"/>
  <c r="B7" i="8"/>
  <c r="U106" i="17"/>
  <c r="W106" i="17" s="1"/>
  <c r="U104" i="17"/>
  <c r="W104" i="17" s="1"/>
  <c r="U105" i="17"/>
  <c r="W105" i="17" s="1"/>
  <c r="E7" i="9"/>
  <c r="E7" i="14"/>
  <c r="Y26" i="17"/>
  <c r="W26" i="17"/>
  <c r="H7" i="3"/>
  <c r="U24" i="17"/>
  <c r="B49" i="3"/>
  <c r="F49" i="3" s="1"/>
  <c r="G7" i="3"/>
  <c r="U25" i="17"/>
  <c r="B51" i="3"/>
  <c r="U23" i="17"/>
  <c r="B52" i="3"/>
  <c r="F4" i="1"/>
  <c r="C5" i="1"/>
  <c r="E11" i="8"/>
  <c r="J6" i="14"/>
  <c r="L6" i="4"/>
  <c r="L6" i="14" s="1"/>
  <c r="C37" i="8"/>
  <c r="D23" i="11"/>
  <c r="E23" i="11" s="1"/>
  <c r="E35" i="11" s="1"/>
  <c r="D28" i="5"/>
  <c r="D40" i="5" s="1"/>
  <c r="D23" i="10"/>
  <c r="E23" i="10" s="1"/>
  <c r="E35" i="10" s="1"/>
  <c r="Q106" i="17"/>
  <c r="D39" i="11"/>
  <c r="U240" i="17"/>
  <c r="W240" i="17" s="1"/>
  <c r="U194" i="17"/>
  <c r="W194" i="17" s="1"/>
  <c r="Q108" i="17"/>
  <c r="D24" i="3"/>
  <c r="D36" i="3" s="1"/>
  <c r="C45" i="6"/>
  <c r="Q102" i="17"/>
  <c r="Q109" i="17"/>
  <c r="D28" i="9"/>
  <c r="D40" i="9" s="1"/>
  <c r="Q107" i="17"/>
  <c r="Q105" i="17"/>
  <c r="D24" i="9"/>
  <c r="D36" i="9" s="1"/>
  <c r="Q101" i="17"/>
  <c r="U206" i="17"/>
  <c r="W206" i="17" s="1"/>
  <c r="U241" i="17"/>
  <c r="W241" i="17" s="1"/>
  <c r="D29" i="10"/>
  <c r="D41" i="10" s="1"/>
  <c r="U239" i="17"/>
  <c r="W239" i="17" s="1"/>
  <c r="Q104" i="17"/>
  <c r="C71" i="12"/>
  <c r="U196" i="17"/>
  <c r="W196" i="17" s="1"/>
  <c r="E72" i="6"/>
  <c r="C45" i="8"/>
  <c r="D28" i="11"/>
  <c r="E28" i="11" s="1"/>
  <c r="E40" i="11" s="1"/>
  <c r="D33" i="7"/>
  <c r="D45" i="7" s="1"/>
  <c r="C37" i="10"/>
  <c r="D25" i="15"/>
  <c r="D37" i="15" s="1"/>
  <c r="D31" i="4"/>
  <c r="D43" i="4" s="1"/>
  <c r="D40" i="14"/>
  <c r="C45" i="14"/>
  <c r="C37" i="1"/>
  <c r="C44" i="6"/>
  <c r="C48" i="4"/>
  <c r="D44" i="12"/>
  <c r="D4" i="2"/>
  <c r="D7" i="2" s="1"/>
  <c r="C44" i="12"/>
  <c r="C36" i="11"/>
  <c r="C36" i="10"/>
  <c r="D29" i="9"/>
  <c r="D41" i="9" s="1"/>
  <c r="C35" i="8"/>
  <c r="D32" i="1"/>
  <c r="E32" i="1" s="1"/>
  <c r="C44" i="1"/>
  <c r="D25" i="1"/>
  <c r="C37" i="7"/>
  <c r="F55" i="3"/>
  <c r="C55" i="3" s="1"/>
  <c r="D55" i="3" s="1"/>
  <c r="E55" i="3" s="1"/>
  <c r="C36" i="8"/>
  <c r="C39" i="8"/>
  <c r="D29" i="8"/>
  <c r="E29" i="8" s="1"/>
  <c r="E41" i="8" s="1"/>
  <c r="C39" i="4"/>
  <c r="D33" i="12"/>
  <c r="D45" i="12" s="1"/>
  <c r="C36" i="1"/>
  <c r="F61" i="4"/>
  <c r="C61" i="4" s="1"/>
  <c r="D61" i="4" s="1"/>
  <c r="E61" i="4" s="1"/>
  <c r="C40" i="14"/>
  <c r="D23" i="1"/>
  <c r="E23" i="1" s="1"/>
  <c r="E35" i="1" s="1"/>
  <c r="C35" i="14"/>
  <c r="C45" i="4"/>
  <c r="C43" i="8"/>
  <c r="D32" i="7"/>
  <c r="D44" i="7" s="1"/>
  <c r="C41" i="7"/>
  <c r="C43" i="1"/>
  <c r="D32" i="5"/>
  <c r="D44" i="5" s="1"/>
  <c r="C48" i="1"/>
  <c r="F61" i="3"/>
  <c r="C61" i="3" s="1"/>
  <c r="D61" i="3" s="1"/>
  <c r="E61" i="3" s="1"/>
  <c r="W163" i="17"/>
  <c r="W143" i="17"/>
  <c r="W197" i="17"/>
  <c r="U231" i="17"/>
  <c r="W235" i="17"/>
  <c r="W162" i="17"/>
  <c r="W144" i="17"/>
  <c r="F50" i="5"/>
  <c r="F51" i="5" s="1"/>
  <c r="F52" i="5" s="1"/>
  <c r="C52" i="5" s="1"/>
  <c r="D52" i="5" s="1"/>
  <c r="E52" i="5" s="1"/>
  <c r="C39" i="7"/>
  <c r="C45" i="9"/>
  <c r="D44" i="14"/>
  <c r="U195" i="17"/>
  <c r="W145" i="17"/>
  <c r="D36" i="11"/>
  <c r="C39" i="11"/>
  <c r="W233" i="17"/>
  <c r="F55" i="5"/>
  <c r="F56" i="5" s="1"/>
  <c r="W198" i="17"/>
  <c r="D24" i="7"/>
  <c r="D36" i="7" s="1"/>
  <c r="C41" i="5"/>
  <c r="C44" i="3"/>
  <c r="U232" i="17"/>
  <c r="C35" i="13"/>
  <c r="E40" i="13"/>
  <c r="E39" i="13"/>
  <c r="E41" i="13"/>
  <c r="C44" i="8"/>
  <c r="D43" i="11"/>
  <c r="C43" i="3"/>
  <c r="D36" i="13"/>
  <c r="D24" i="14"/>
  <c r="E24" i="14" s="1"/>
  <c r="E36" i="14" s="1"/>
  <c r="C40" i="4"/>
  <c r="C43" i="11"/>
  <c r="C41" i="13"/>
  <c r="C36" i="13"/>
  <c r="D25" i="5"/>
  <c r="E25" i="5" s="1"/>
  <c r="C54" i="4"/>
  <c r="C35" i="15"/>
  <c r="C48" i="5"/>
  <c r="C45" i="10"/>
  <c r="D43" i="14"/>
  <c r="D39" i="12"/>
  <c r="C39" i="12"/>
  <c r="D32" i="9"/>
  <c r="D44" i="9" s="1"/>
  <c r="D31" i="9"/>
  <c r="D43" i="9" s="1"/>
  <c r="C35" i="12"/>
  <c r="U230" i="17"/>
  <c r="D35" i="13"/>
  <c r="D37" i="11"/>
  <c r="C41" i="6"/>
  <c r="C45" i="11"/>
  <c r="C44" i="10"/>
  <c r="C54" i="3"/>
  <c r="D23" i="9"/>
  <c r="D35" i="9" s="1"/>
  <c r="F55" i="1"/>
  <c r="C55" i="1" s="1"/>
  <c r="D55" i="1" s="1"/>
  <c r="E55" i="1" s="1"/>
  <c r="D45" i="14"/>
  <c r="C37" i="11"/>
  <c r="F55" i="4"/>
  <c r="C55" i="4" s="1"/>
  <c r="D55" i="4" s="1"/>
  <c r="E55" i="4" s="1"/>
  <c r="C44" i="14"/>
  <c r="D31" i="7"/>
  <c r="D43" i="7" s="1"/>
  <c r="D23" i="7"/>
  <c r="E23" i="7" s="1"/>
  <c r="E35" i="7" s="1"/>
  <c r="C37" i="4"/>
  <c r="D32" i="4"/>
  <c r="D44" i="4" s="1"/>
  <c r="D29" i="4"/>
  <c r="E29" i="4" s="1"/>
  <c r="E41" i="4" s="1"/>
  <c r="C43" i="6"/>
  <c r="D29" i="14"/>
  <c r="E29" i="14" s="1"/>
  <c r="E41" i="14" s="1"/>
  <c r="D28" i="10"/>
  <c r="E28" i="10" s="1"/>
  <c r="E40" i="10" s="1"/>
  <c r="D24" i="15"/>
  <c r="E24" i="15" s="1"/>
  <c r="E36" i="15" s="1"/>
  <c r="C54" i="5"/>
  <c r="D31" i="5"/>
  <c r="D48" i="5" s="1"/>
  <c r="C40" i="13"/>
  <c r="D41" i="13"/>
  <c r="C37" i="13"/>
  <c r="C43" i="14"/>
  <c r="F61" i="1"/>
  <c r="F50" i="4"/>
  <c r="F51" i="4" s="1"/>
  <c r="F52" i="4" s="1"/>
  <c r="C52" i="4" s="1"/>
  <c r="D52" i="4" s="1"/>
  <c r="E52" i="4" s="1"/>
  <c r="D40" i="13"/>
  <c r="D36" i="12"/>
  <c r="C41" i="12"/>
  <c r="D41" i="12"/>
  <c r="D39" i="13"/>
  <c r="C39" i="13"/>
  <c r="D35" i="14"/>
  <c r="C37" i="5"/>
  <c r="D31" i="10"/>
  <c r="E31" i="10" s="1"/>
  <c r="E43" i="10" s="1"/>
  <c r="C48" i="3"/>
  <c r="E25" i="13"/>
  <c r="E37" i="13" s="1"/>
  <c r="D37" i="13"/>
  <c r="D25" i="14"/>
  <c r="C37" i="14"/>
  <c r="D29" i="11"/>
  <c r="C41" i="11"/>
  <c r="D27" i="14"/>
  <c r="C39" i="14"/>
  <c r="D32" i="11"/>
  <c r="C44" i="11"/>
  <c r="D31" i="12"/>
  <c r="C43" i="12"/>
  <c r="F50" i="1"/>
  <c r="C50" i="1" s="1"/>
  <c r="D50" i="1" s="1"/>
  <c r="E50" i="1" s="1"/>
  <c r="D27" i="9"/>
  <c r="D39" i="9" s="1"/>
  <c r="C40" i="12"/>
  <c r="C39" i="10"/>
  <c r="C71" i="7"/>
  <c r="U142" i="17"/>
  <c r="U141" i="17"/>
  <c r="U140" i="17"/>
  <c r="D36" i="8"/>
  <c r="E24" i="8"/>
  <c r="E36" i="8" s="1"/>
  <c r="D29" i="3"/>
  <c r="C41" i="3"/>
  <c r="D41" i="6"/>
  <c r="E29" i="6"/>
  <c r="E41" i="6" s="1"/>
  <c r="C35" i="4"/>
  <c r="D23" i="4"/>
  <c r="D39" i="4"/>
  <c r="E27" i="4"/>
  <c r="E39" i="4" s="1"/>
  <c r="D45" i="8"/>
  <c r="E33" i="8"/>
  <c r="E45" i="8" s="1"/>
  <c r="E33" i="11"/>
  <c r="E45" i="11" s="1"/>
  <c r="D45" i="11"/>
  <c r="E5" i="3"/>
  <c r="D4" i="3"/>
  <c r="D27" i="1"/>
  <c r="C39" i="1"/>
  <c r="E32" i="6"/>
  <c r="E44" i="6" s="1"/>
  <c r="D44" i="6"/>
  <c r="D37" i="8"/>
  <c r="E25" i="8"/>
  <c r="E37" i="8" s="1"/>
  <c r="D45" i="9"/>
  <c r="E33" i="9"/>
  <c r="E45" i="9" s="1"/>
  <c r="C41" i="15"/>
  <c r="D29" i="15"/>
  <c r="C45" i="1"/>
  <c r="D33" i="1"/>
  <c r="D60" i="1" s="1"/>
  <c r="F62" i="5"/>
  <c r="C45" i="15"/>
  <c r="D33" i="15"/>
  <c r="E28" i="12"/>
  <c r="E40" i="12" s="1"/>
  <c r="D40" i="12"/>
  <c r="Q59" i="17"/>
  <c r="Q60" i="17"/>
  <c r="D71" i="8"/>
  <c r="E71" i="8" s="1"/>
  <c r="P72" i="17"/>
  <c r="Q72" i="17" s="1"/>
  <c r="P68" i="17"/>
  <c r="Q68" i="17" s="1"/>
  <c r="P66" i="17"/>
  <c r="Q66" i="17" s="1"/>
  <c r="P73" i="17"/>
  <c r="Q73" i="17" s="1"/>
  <c r="P69" i="17"/>
  <c r="Q69" i="17" s="1"/>
  <c r="P70" i="17"/>
  <c r="Q70" i="17" s="1"/>
  <c r="P67" i="17"/>
  <c r="Q67" i="17" s="1"/>
  <c r="P65" i="17"/>
  <c r="Q65" i="17" s="1"/>
  <c r="P71" i="17"/>
  <c r="Q71" i="17" s="1"/>
  <c r="C40" i="1"/>
  <c r="D28" i="1"/>
  <c r="D45" i="6"/>
  <c r="E33" i="6"/>
  <c r="E45" i="6" s="1"/>
  <c r="D35" i="8"/>
  <c r="E23" i="8"/>
  <c r="E35" i="8" s="1"/>
  <c r="E25" i="10"/>
  <c r="E37" i="10" s="1"/>
  <c r="D37" i="10"/>
  <c r="D33" i="13"/>
  <c r="C45" i="13"/>
  <c r="D44" i="8"/>
  <c r="E32" i="8"/>
  <c r="E44" i="8" s="1"/>
  <c r="C39" i="15"/>
  <c r="D27" i="15"/>
  <c r="E43" i="14"/>
  <c r="E45" i="14"/>
  <c r="E40" i="14"/>
  <c r="E35" i="14"/>
  <c r="E10" i="14"/>
  <c r="E44" i="14"/>
  <c r="P224" i="17"/>
  <c r="Q224" i="17" s="1"/>
  <c r="P225" i="17"/>
  <c r="Q225" i="17" s="1"/>
  <c r="P221" i="17"/>
  <c r="Q221" i="17" s="1"/>
  <c r="P219" i="17"/>
  <c r="Q219" i="17" s="1"/>
  <c r="P226" i="17"/>
  <c r="Q226" i="17" s="1"/>
  <c r="P222" i="17"/>
  <c r="Q222" i="17" s="1"/>
  <c r="P223" i="17"/>
  <c r="Q223" i="17" s="1"/>
  <c r="P220" i="17"/>
  <c r="Q220" i="17" s="1"/>
  <c r="P218" i="17"/>
  <c r="Q218" i="17" s="1"/>
  <c r="D37" i="4"/>
  <c r="E25" i="4"/>
  <c r="D43" i="3"/>
  <c r="E31" i="3"/>
  <c r="D48" i="3"/>
  <c r="C43" i="15"/>
  <c r="D31" i="15"/>
  <c r="U158" i="17"/>
  <c r="U159" i="17"/>
  <c r="U160" i="17"/>
  <c r="C39" i="3"/>
  <c r="D27" i="3"/>
  <c r="C41" i="1"/>
  <c r="D29" i="1"/>
  <c r="D41" i="5"/>
  <c r="E29" i="5"/>
  <c r="E41" i="5" s="1"/>
  <c r="E33" i="3"/>
  <c r="D45" i="3"/>
  <c r="C35" i="5"/>
  <c r="D23" i="5"/>
  <c r="Q63" i="17"/>
  <c r="Q56" i="17"/>
  <c r="Q64" i="17"/>
  <c r="D44" i="3"/>
  <c r="E32" i="3"/>
  <c r="D54" i="3"/>
  <c r="E23" i="3"/>
  <c r="E35" i="3" s="1"/>
  <c r="D35" i="3"/>
  <c r="C40" i="7"/>
  <c r="D28" i="7"/>
  <c r="D40" i="4"/>
  <c r="E28" i="4"/>
  <c r="E40" i="4" s="1"/>
  <c r="C40" i="3"/>
  <c r="D28" i="3"/>
  <c r="D44" i="10"/>
  <c r="E32" i="10"/>
  <c r="E44" i="10" s="1"/>
  <c r="D35" i="6"/>
  <c r="E23" i="6"/>
  <c r="E35" i="6" s="1"/>
  <c r="D43" i="8"/>
  <c r="E31" i="8"/>
  <c r="E43" i="8" s="1"/>
  <c r="D39" i="8"/>
  <c r="E27" i="8"/>
  <c r="E39" i="8" s="1"/>
  <c r="D37" i="9"/>
  <c r="E25" i="9"/>
  <c r="E37" i="9" s="1"/>
  <c r="D31" i="13"/>
  <c r="C43" i="13"/>
  <c r="C36" i="5"/>
  <c r="D24" i="5"/>
  <c r="D39" i="5"/>
  <c r="E27" i="5"/>
  <c r="E39" i="5" s="1"/>
  <c r="D43" i="6"/>
  <c r="E31" i="6"/>
  <c r="E43" i="6" s="1"/>
  <c r="D39" i="6"/>
  <c r="E27" i="6"/>
  <c r="E39" i="6" s="1"/>
  <c r="D28" i="15"/>
  <c r="C40" i="15"/>
  <c r="D36" i="10"/>
  <c r="E24" i="10"/>
  <c r="E36" i="10" s="1"/>
  <c r="Q57" i="17"/>
  <c r="Q58" i="17"/>
  <c r="D45" i="10"/>
  <c r="E33" i="10"/>
  <c r="E45" i="10" s="1"/>
  <c r="C44" i="15"/>
  <c r="D32" i="15"/>
  <c r="D37" i="3"/>
  <c r="E25" i="3"/>
  <c r="C40" i="8"/>
  <c r="D28" i="8"/>
  <c r="D28" i="6"/>
  <c r="C40" i="6"/>
  <c r="E27" i="7"/>
  <c r="E39" i="7" s="1"/>
  <c r="D39" i="7"/>
  <c r="E24" i="6"/>
  <c r="E36" i="6" s="1"/>
  <c r="D36" i="6"/>
  <c r="D32" i="13"/>
  <c r="C44" i="13"/>
  <c r="J5" i="3"/>
  <c r="L5" i="3" s="1"/>
  <c r="D36" i="1"/>
  <c r="E24" i="1"/>
  <c r="D35" i="15"/>
  <c r="E23" i="15"/>
  <c r="E35" i="15" s="1"/>
  <c r="E29" i="7"/>
  <c r="E41" i="7" s="1"/>
  <c r="D41" i="7"/>
  <c r="E6" i="7"/>
  <c r="E4" i="7" s="1"/>
  <c r="E7" i="7" s="1"/>
  <c r="Q62" i="17"/>
  <c r="Q61" i="17"/>
  <c r="P197" i="17"/>
  <c r="Q197" i="17" s="1"/>
  <c r="P198" i="17"/>
  <c r="Q198" i="17" s="1"/>
  <c r="P194" i="17"/>
  <c r="Q194" i="17" s="1"/>
  <c r="P192" i="17"/>
  <c r="Q192" i="17" s="1"/>
  <c r="P199" i="17"/>
  <c r="Q199" i="17" s="1"/>
  <c r="P195" i="17"/>
  <c r="Q195" i="17" s="1"/>
  <c r="P196" i="17"/>
  <c r="Q196" i="17" s="1"/>
  <c r="P193" i="17"/>
  <c r="Q193" i="17" s="1"/>
  <c r="P191" i="17"/>
  <c r="Q191" i="17" s="1"/>
  <c r="C36" i="4"/>
  <c r="D24" i="4"/>
  <c r="E33" i="5"/>
  <c r="D45" i="5"/>
  <c r="D39" i="10"/>
  <c r="E27" i="10"/>
  <c r="E39" i="10" s="1"/>
  <c r="D37" i="7"/>
  <c r="E25" i="7"/>
  <c r="E37" i="7" s="1"/>
  <c r="E23" i="12"/>
  <c r="E35" i="12" s="1"/>
  <c r="D35" i="12"/>
  <c r="E4" i="6"/>
  <c r="E7" i="6" s="1"/>
  <c r="E4" i="2"/>
  <c r="E7" i="2" s="1"/>
  <c r="E9" i="14"/>
  <c r="E9" i="15" s="1"/>
  <c r="D9" i="15"/>
  <c r="D48" i="1"/>
  <c r="E31" i="1"/>
  <c r="D43" i="1"/>
  <c r="E33" i="4" l="1"/>
  <c r="D45" i="4"/>
  <c r="D5" i="8"/>
  <c r="D4" i="8" s="1"/>
  <c r="D7" i="8" s="1"/>
  <c r="U208" i="17"/>
  <c r="W208" i="17" s="1"/>
  <c r="E45" i="3"/>
  <c r="E60" i="3"/>
  <c r="E45" i="2"/>
  <c r="E60" i="2"/>
  <c r="E45" i="5"/>
  <c r="E60" i="5"/>
  <c r="E45" i="4"/>
  <c r="E60" i="4"/>
  <c r="E25" i="6"/>
  <c r="E37" i="6" s="1"/>
  <c r="F4" i="13"/>
  <c r="F7" i="13" s="1"/>
  <c r="U185" i="17"/>
  <c r="W185" i="17" s="1"/>
  <c r="U203" i="17"/>
  <c r="W203" i="17" s="1"/>
  <c r="U186" i="17"/>
  <c r="D35" i="11"/>
  <c r="F63" i="2"/>
  <c r="C62" i="2"/>
  <c r="D62" i="2" s="1"/>
  <c r="E62" i="2" s="1"/>
  <c r="E54" i="2"/>
  <c r="E44" i="2"/>
  <c r="E48" i="2"/>
  <c r="E43" i="2"/>
  <c r="E37" i="2"/>
  <c r="E36" i="1"/>
  <c r="E24" i="3"/>
  <c r="E36" i="3" s="1"/>
  <c r="U205" i="17"/>
  <c r="W205" i="17" s="1"/>
  <c r="U204" i="17"/>
  <c r="W204" i="17" s="1"/>
  <c r="C51" i="4"/>
  <c r="D51" i="4" s="1"/>
  <c r="E51" i="4" s="1"/>
  <c r="C5" i="13"/>
  <c r="D5" i="13" s="1"/>
  <c r="E28" i="9"/>
  <c r="E40" i="9" s="1"/>
  <c r="E28" i="5"/>
  <c r="E40" i="5" s="1"/>
  <c r="I4" i="2"/>
  <c r="K4" i="2" s="1"/>
  <c r="D40" i="11"/>
  <c r="C49" i="3"/>
  <c r="D49" i="3" s="1"/>
  <c r="E49" i="3" s="1"/>
  <c r="F50" i="3"/>
  <c r="C50" i="3" s="1"/>
  <c r="D50" i="3" s="1"/>
  <c r="E50" i="3" s="1"/>
  <c r="Y19" i="17"/>
  <c r="W19" i="17"/>
  <c r="U152" i="17"/>
  <c r="W152" i="17" s="1"/>
  <c r="U153" i="17"/>
  <c r="W153" i="17" s="1"/>
  <c r="F7" i="1"/>
  <c r="U154" i="17"/>
  <c r="W154" i="17" s="1"/>
  <c r="W25" i="17"/>
  <c r="Y25" i="17"/>
  <c r="Y18" i="17"/>
  <c r="W18" i="17"/>
  <c r="W23" i="17"/>
  <c r="Y23" i="17"/>
  <c r="D5" i="1"/>
  <c r="I5" i="1" s="1"/>
  <c r="K5" i="1" s="1"/>
  <c r="C4" i="1"/>
  <c r="Y24" i="17"/>
  <c r="W24" i="17"/>
  <c r="Y17" i="17"/>
  <c r="W17" i="17"/>
  <c r="U116" i="17"/>
  <c r="W116" i="17" s="1"/>
  <c r="B7" i="13"/>
  <c r="U118" i="17"/>
  <c r="W118" i="17" s="1"/>
  <c r="U117" i="17"/>
  <c r="W117" i="17" s="1"/>
  <c r="E29" i="9"/>
  <c r="E41" i="9" s="1"/>
  <c r="D35" i="10"/>
  <c r="U68" i="17"/>
  <c r="W68" i="17" s="1"/>
  <c r="U69" i="17"/>
  <c r="W69" i="17" s="1"/>
  <c r="U70" i="17"/>
  <c r="W70" i="17" s="1"/>
  <c r="B51" i="1"/>
  <c r="F51" i="1" s="1"/>
  <c r="C51" i="1" s="1"/>
  <c r="D51" i="1" s="1"/>
  <c r="E51" i="1" s="1"/>
  <c r="B52" i="1"/>
  <c r="F52" i="1" s="1"/>
  <c r="C52" i="1" s="1"/>
  <c r="D52" i="1" s="1"/>
  <c r="E52" i="1" s="1"/>
  <c r="G7" i="1"/>
  <c r="H7" i="1"/>
  <c r="U16" i="17"/>
  <c r="B49" i="1"/>
  <c r="F49" i="1" s="1"/>
  <c r="C49" i="1" s="1"/>
  <c r="D49" i="1" s="1"/>
  <c r="E49" i="1" s="1"/>
  <c r="U14" i="17"/>
  <c r="U15" i="17"/>
  <c r="U251" i="17"/>
  <c r="W251" i="17" s="1"/>
  <c r="D44" i="1"/>
  <c r="E25" i="15"/>
  <c r="E37" i="15" s="1"/>
  <c r="E24" i="9"/>
  <c r="E36" i="9" s="1"/>
  <c r="E29" i="10"/>
  <c r="E41" i="10" s="1"/>
  <c r="E23" i="9"/>
  <c r="E35" i="9" s="1"/>
  <c r="F62" i="4"/>
  <c r="F63" i="4" s="1"/>
  <c r="E33" i="7"/>
  <c r="E45" i="7" s="1"/>
  <c r="D48" i="4"/>
  <c r="J4" i="2"/>
  <c r="L4" i="2" s="1"/>
  <c r="K7" i="2" s="1"/>
  <c r="D71" i="12"/>
  <c r="F62" i="3"/>
  <c r="F63" i="3" s="1"/>
  <c r="F64" i="3" s="1"/>
  <c r="C64" i="3" s="1"/>
  <c r="D64" i="3" s="1"/>
  <c r="E64" i="3" s="1"/>
  <c r="E32" i="5"/>
  <c r="E54" i="5" s="1"/>
  <c r="F71" i="8"/>
  <c r="E24" i="7"/>
  <c r="E36" i="7" s="1"/>
  <c r="E31" i="4"/>
  <c r="E48" i="4" s="1"/>
  <c r="D54" i="1"/>
  <c r="D37" i="1"/>
  <c r="D36" i="14"/>
  <c r="F56" i="1"/>
  <c r="C56" i="1" s="1"/>
  <c r="D56" i="1" s="1"/>
  <c r="E56" i="1" s="1"/>
  <c r="F56" i="4"/>
  <c r="C56" i="4" s="1"/>
  <c r="D56" i="4" s="1"/>
  <c r="E56" i="4" s="1"/>
  <c r="E33" i="12"/>
  <c r="E45" i="12" s="1"/>
  <c r="D41" i="8"/>
  <c r="D41" i="4"/>
  <c r="E25" i="1"/>
  <c r="D35" i="1"/>
  <c r="D40" i="10"/>
  <c r="D43" i="5"/>
  <c r="E27" i="9"/>
  <c r="E39" i="9" s="1"/>
  <c r="E32" i="9"/>
  <c r="E44" i="9" s="1"/>
  <c r="E32" i="7"/>
  <c r="E44" i="7" s="1"/>
  <c r="D54" i="5"/>
  <c r="C51" i="5"/>
  <c r="D51" i="5" s="1"/>
  <c r="E51" i="5" s="1"/>
  <c r="E31" i="9"/>
  <c r="E43" i="9" s="1"/>
  <c r="D35" i="7"/>
  <c r="F56" i="3"/>
  <c r="F57" i="3" s="1"/>
  <c r="C57" i="3" s="1"/>
  <c r="D57" i="3" s="1"/>
  <c r="E57" i="3" s="1"/>
  <c r="C55" i="5"/>
  <c r="D55" i="5" s="1"/>
  <c r="E55" i="5" s="1"/>
  <c r="E31" i="5"/>
  <c r="E48" i="5" s="1"/>
  <c r="D54" i="4"/>
  <c r="F57" i="5"/>
  <c r="F58" i="5" s="1"/>
  <c r="C58" i="5" s="1"/>
  <c r="D58" i="5" s="1"/>
  <c r="E58" i="5" s="1"/>
  <c r="C56" i="5"/>
  <c r="D56" i="5" s="1"/>
  <c r="E56" i="5" s="1"/>
  <c r="D37" i="5"/>
  <c r="C50" i="5"/>
  <c r="D50" i="5" s="1"/>
  <c r="E50" i="5" s="1"/>
  <c r="W186" i="17"/>
  <c r="W159" i="17"/>
  <c r="D41" i="14"/>
  <c r="W158" i="17"/>
  <c r="D36" i="15"/>
  <c r="W140" i="17"/>
  <c r="W232" i="17"/>
  <c r="W195" i="17"/>
  <c r="W231" i="17"/>
  <c r="W160" i="17"/>
  <c r="W142" i="17"/>
  <c r="W141" i="17"/>
  <c r="W230" i="17"/>
  <c r="E32" i="4"/>
  <c r="E54" i="4" s="1"/>
  <c r="E31" i="7"/>
  <c r="E43" i="7" s="1"/>
  <c r="C61" i="1"/>
  <c r="D61" i="1" s="1"/>
  <c r="E61" i="1" s="1"/>
  <c r="F62" i="1"/>
  <c r="C50" i="4"/>
  <c r="D50" i="4" s="1"/>
  <c r="E50" i="4" s="1"/>
  <c r="D43" i="10"/>
  <c r="E31" i="12"/>
  <c r="E43" i="12" s="1"/>
  <c r="D43" i="12"/>
  <c r="E27" i="14"/>
  <c r="E39" i="14" s="1"/>
  <c r="D39" i="14"/>
  <c r="E25" i="14"/>
  <c r="E37" i="14" s="1"/>
  <c r="D37" i="14"/>
  <c r="E32" i="11"/>
  <c r="E44" i="11" s="1"/>
  <c r="D44" i="11"/>
  <c r="E29" i="11"/>
  <c r="E41" i="11" s="1"/>
  <c r="D41" i="11"/>
  <c r="C71" i="8"/>
  <c r="D40" i="6"/>
  <c r="E28" i="6"/>
  <c r="E40" i="6" s="1"/>
  <c r="E31" i="13"/>
  <c r="E43" i="13" s="1"/>
  <c r="D43" i="13"/>
  <c r="D39" i="3"/>
  <c r="E27" i="3"/>
  <c r="E39" i="3" s="1"/>
  <c r="E27" i="15"/>
  <c r="E39" i="15" s="1"/>
  <c r="D39" i="15"/>
  <c r="D41" i="15"/>
  <c r="E29" i="15"/>
  <c r="E41" i="15" s="1"/>
  <c r="E43" i="1"/>
  <c r="E48" i="1"/>
  <c r="D40" i="8"/>
  <c r="E28" i="8"/>
  <c r="E40" i="8" s="1"/>
  <c r="E32" i="15"/>
  <c r="E44" i="15" s="1"/>
  <c r="D44" i="15"/>
  <c r="D40" i="15"/>
  <c r="E28" i="15"/>
  <c r="E40" i="15" s="1"/>
  <c r="D43" i="15"/>
  <c r="E31" i="15"/>
  <c r="E43" i="15" s="1"/>
  <c r="E37" i="4"/>
  <c r="E33" i="13"/>
  <c r="E45" i="13" s="1"/>
  <c r="D45" i="13"/>
  <c r="D40" i="1"/>
  <c r="E28" i="1"/>
  <c r="E40" i="1" s="1"/>
  <c r="F63" i="5"/>
  <c r="C62" i="5"/>
  <c r="D62" i="5" s="1"/>
  <c r="E62" i="5" s="1"/>
  <c r="D39" i="1"/>
  <c r="E27" i="1"/>
  <c r="E39" i="1" s="1"/>
  <c r="D7" i="3"/>
  <c r="J4" i="3"/>
  <c r="L4" i="3" s="1"/>
  <c r="I4" i="3"/>
  <c r="K4" i="3" s="1"/>
  <c r="E37" i="5"/>
  <c r="E44" i="1"/>
  <c r="E54" i="1"/>
  <c r="D40" i="3"/>
  <c r="E28" i="3"/>
  <c r="E40" i="3" s="1"/>
  <c r="E23" i="5"/>
  <c r="E35" i="5" s="1"/>
  <c r="D35" i="5"/>
  <c r="E29" i="1"/>
  <c r="E41" i="1" s="1"/>
  <c r="D41" i="1"/>
  <c r="E43" i="3"/>
  <c r="E48" i="3"/>
  <c r="D45" i="1"/>
  <c r="E33" i="1"/>
  <c r="E5" i="8"/>
  <c r="E4" i="8" s="1"/>
  <c r="E7" i="8" s="1"/>
  <c r="E4" i="3"/>
  <c r="E7" i="3" s="1"/>
  <c r="E24" i="4"/>
  <c r="E36" i="4" s="1"/>
  <c r="D36" i="4"/>
  <c r="E32" i="13"/>
  <c r="E44" i="13" s="1"/>
  <c r="D44" i="13"/>
  <c r="E37" i="3"/>
  <c r="D36" i="5"/>
  <c r="E24" i="5"/>
  <c r="E36" i="5" s="1"/>
  <c r="D40" i="7"/>
  <c r="E28" i="7"/>
  <c r="E40" i="7" s="1"/>
  <c r="E54" i="3"/>
  <c r="E44" i="3"/>
  <c r="D45" i="15"/>
  <c r="E33" i="15"/>
  <c r="E45" i="15" s="1"/>
  <c r="D35" i="4"/>
  <c r="E23" i="4"/>
  <c r="E35" i="4" s="1"/>
  <c r="D41" i="3"/>
  <c r="E29" i="3"/>
  <c r="E41" i="3" s="1"/>
  <c r="E45" i="1" l="1"/>
  <c r="E60" i="1"/>
  <c r="U252" i="17"/>
  <c r="W252" i="17" s="1"/>
  <c r="U253" i="17"/>
  <c r="W253" i="17" s="1"/>
  <c r="F64" i="2"/>
  <c r="C64" i="2" s="1"/>
  <c r="D64" i="2" s="1"/>
  <c r="E64" i="2" s="1"/>
  <c r="C63" i="2"/>
  <c r="D63" i="2" s="1"/>
  <c r="E63" i="2" s="1"/>
  <c r="E44" i="5"/>
  <c r="L7" i="2"/>
  <c r="I7" i="2"/>
  <c r="J7" i="2"/>
  <c r="C4" i="13"/>
  <c r="C7" i="13" s="1"/>
  <c r="F51" i="3"/>
  <c r="F52" i="3" s="1"/>
  <c r="C52" i="3" s="1"/>
  <c r="D52" i="3" s="1"/>
  <c r="E52" i="3" s="1"/>
  <c r="C62" i="3"/>
  <c r="D62" i="3" s="1"/>
  <c r="E62" i="3" s="1"/>
  <c r="E43" i="4"/>
  <c r="J5" i="1"/>
  <c r="L5" i="1" s="1"/>
  <c r="E37" i="1"/>
  <c r="U150" i="17"/>
  <c r="W150" i="17" s="1"/>
  <c r="U149" i="17"/>
  <c r="W149" i="17" s="1"/>
  <c r="U151" i="17"/>
  <c r="W151" i="17" s="1"/>
  <c r="W16" i="17"/>
  <c r="Y16" i="17"/>
  <c r="U113" i="17"/>
  <c r="W113" i="17" s="1"/>
  <c r="U115" i="17"/>
  <c r="W115" i="17" s="1"/>
  <c r="U114" i="17"/>
  <c r="W114" i="17" s="1"/>
  <c r="C7" i="1"/>
  <c r="W14" i="17"/>
  <c r="Y14" i="17"/>
  <c r="F57" i="1"/>
  <c r="F58" i="1" s="1"/>
  <c r="C58" i="1" s="1"/>
  <c r="D58" i="1" s="1"/>
  <c r="E58" i="1" s="1"/>
  <c r="U248" i="17"/>
  <c r="W248" i="17" s="1"/>
  <c r="U250" i="17"/>
  <c r="W250" i="17" s="1"/>
  <c r="U249" i="17"/>
  <c r="W249" i="17" s="1"/>
  <c r="Y15" i="17"/>
  <c r="W15" i="17"/>
  <c r="E5" i="1"/>
  <c r="E4" i="1" s="1"/>
  <c r="E7" i="1" s="1"/>
  <c r="D4" i="1"/>
  <c r="D7" i="1" s="1"/>
  <c r="E5" i="13"/>
  <c r="E4" i="13" s="1"/>
  <c r="E7" i="13" s="1"/>
  <c r="D4" i="13"/>
  <c r="D7" i="13" s="1"/>
  <c r="E71" i="12"/>
  <c r="C63" i="3"/>
  <c r="D63" i="3" s="1"/>
  <c r="E63" i="3" s="1"/>
  <c r="C62" i="4"/>
  <c r="D62" i="4" s="1"/>
  <c r="E62" i="4" s="1"/>
  <c r="P189" i="17"/>
  <c r="Q189" i="17" s="1"/>
  <c r="P186" i="17"/>
  <c r="Q186" i="17" s="1"/>
  <c r="P182" i="17"/>
  <c r="Q182" i="17" s="1"/>
  <c r="P190" i="17"/>
  <c r="Q190" i="17" s="1"/>
  <c r="P188" i="17"/>
  <c r="Q188" i="17" s="1"/>
  <c r="P184" i="17"/>
  <c r="Q184" i="17" s="1"/>
  <c r="P187" i="17"/>
  <c r="Q187" i="17" s="1"/>
  <c r="P183" i="17"/>
  <c r="Q183" i="17" s="1"/>
  <c r="P185" i="17"/>
  <c r="Q185" i="17" s="1"/>
  <c r="F57" i="4"/>
  <c r="C57" i="4" s="1"/>
  <c r="D57" i="4" s="1"/>
  <c r="E57" i="4" s="1"/>
  <c r="E44" i="4"/>
  <c r="C57" i="5"/>
  <c r="D57" i="5" s="1"/>
  <c r="E57" i="5" s="1"/>
  <c r="E43" i="5"/>
  <c r="F58" i="3"/>
  <c r="C58" i="3" s="1"/>
  <c r="D58" i="3" s="1"/>
  <c r="E58" i="3" s="1"/>
  <c r="C56" i="3"/>
  <c r="D56" i="3" s="1"/>
  <c r="E56" i="3" s="1"/>
  <c r="C51" i="3"/>
  <c r="D51" i="3" s="1"/>
  <c r="E51" i="3" s="1"/>
  <c r="F63" i="1"/>
  <c r="C62" i="1"/>
  <c r="D62" i="1" s="1"/>
  <c r="E62" i="1" s="1"/>
  <c r="K7" i="3"/>
  <c r="F64" i="4"/>
  <c r="C64" i="4" s="1"/>
  <c r="D64" i="4" s="1"/>
  <c r="E64" i="4" s="1"/>
  <c r="C63" i="4"/>
  <c r="D63" i="4" s="1"/>
  <c r="E63" i="4" s="1"/>
  <c r="L7" i="3"/>
  <c r="J7" i="3"/>
  <c r="I7" i="3"/>
  <c r="C63" i="5"/>
  <c r="D63" i="5" s="1"/>
  <c r="E63" i="5" s="1"/>
  <c r="F64" i="5"/>
  <c r="C64" i="5" s="1"/>
  <c r="D64" i="5" s="1"/>
  <c r="E64" i="5" s="1"/>
  <c r="C57" i="1" l="1"/>
  <c r="D57" i="1" s="1"/>
  <c r="E57" i="1" s="1"/>
  <c r="I4" i="1"/>
  <c r="K4" i="1" s="1"/>
  <c r="J4" i="1"/>
  <c r="L4" i="1" s="1"/>
  <c r="F58" i="4"/>
  <c r="C58" i="4" s="1"/>
  <c r="D58" i="4" s="1"/>
  <c r="E58" i="4" s="1"/>
  <c r="P206" i="17"/>
  <c r="Q206" i="17" s="1"/>
  <c r="P208" i="17"/>
  <c r="Q208" i="17" s="1"/>
  <c r="P200" i="17"/>
  <c r="Q200" i="17" s="1"/>
  <c r="P201" i="17"/>
  <c r="Q201" i="17" s="1"/>
  <c r="P207" i="17"/>
  <c r="Q207" i="17" s="1"/>
  <c r="P204" i="17"/>
  <c r="Q204" i="17" s="1"/>
  <c r="P202" i="17"/>
  <c r="Q202" i="17" s="1"/>
  <c r="P203" i="17"/>
  <c r="Q203" i="17" s="1"/>
  <c r="P205" i="17"/>
  <c r="Q205" i="17" s="1"/>
  <c r="F64" i="1"/>
  <c r="C64" i="1" s="1"/>
  <c r="D64" i="1" s="1"/>
  <c r="E64" i="1" s="1"/>
  <c r="C63" i="1"/>
  <c r="D63" i="1" s="1"/>
  <c r="E63" i="1" s="1"/>
  <c r="K7" i="1" l="1"/>
  <c r="F71" i="12"/>
  <c r="I7" i="1"/>
  <c r="J7" i="1"/>
  <c r="L7" i="1"/>
  <c r="P255" i="17"/>
  <c r="Q255" i="17" s="1"/>
  <c r="P257" i="17"/>
  <c r="Q257" i="17" s="1"/>
  <c r="P259" i="17"/>
  <c r="Q259" i="17" s="1"/>
  <c r="P261" i="17"/>
  <c r="Q261" i="17" s="1"/>
  <c r="P254" i="17"/>
  <c r="Q254" i="17" s="1"/>
  <c r="P258" i="17"/>
  <c r="Q258" i="17" s="1"/>
  <c r="P262" i="17"/>
  <c r="Q262" i="17" s="1"/>
  <c r="P256" i="17"/>
  <c r="Q256" i="17" s="1"/>
  <c r="P260" i="17"/>
  <c r="Q260" i="17" s="1"/>
  <c r="P227" i="17" l="1"/>
  <c r="Q227" i="17" s="1"/>
  <c r="P228" i="17"/>
  <c r="Q228" i="17" s="1"/>
  <c r="P229" i="17"/>
  <c r="Q229" i="17" s="1"/>
  <c r="P230" i="17"/>
  <c r="Q230" i="17" s="1"/>
  <c r="P231" i="17"/>
  <c r="Q231" i="17" s="1"/>
  <c r="P232" i="17"/>
  <c r="Q232" i="17" s="1"/>
  <c r="P233" i="17"/>
  <c r="Q233" i="17" s="1"/>
  <c r="P234" i="17"/>
  <c r="Q234" i="17" s="1"/>
  <c r="P235" i="17"/>
  <c r="Q235" i="17" s="1"/>
  <c r="P237" i="17" l="1"/>
  <c r="Q237" i="17" s="1"/>
  <c r="P239" i="17"/>
  <c r="Q239" i="17" s="1"/>
  <c r="P241" i="17"/>
  <c r="Q241" i="17" s="1"/>
  <c r="P243" i="17"/>
  <c r="Q243" i="17" s="1"/>
  <c r="P236" i="17"/>
  <c r="Q236" i="17" s="1"/>
  <c r="P238" i="17"/>
  <c r="Q238" i="17" s="1"/>
  <c r="P240" i="17"/>
  <c r="Q240" i="17" s="1"/>
  <c r="P244" i="17"/>
  <c r="Q244" i="17" s="1"/>
  <c r="P242" i="17"/>
  <c r="Q242" i="17" s="1"/>
  <c r="D71" i="15"/>
  <c r="E71" i="15" s="1"/>
  <c r="F71" i="15" s="1"/>
  <c r="C71" i="13"/>
  <c r="E71" i="13"/>
  <c r="F71" i="13" s="1"/>
  <c r="P271" i="17" l="1"/>
  <c r="Q271" i="17" s="1"/>
  <c r="P264" i="17"/>
  <c r="Q264" i="17" s="1"/>
  <c r="P266" i="17"/>
  <c r="Q266" i="17" s="1"/>
  <c r="P268" i="17"/>
  <c r="Q268" i="17" s="1"/>
  <c r="P270" i="17"/>
  <c r="Q270" i="17" s="1"/>
  <c r="P265" i="17"/>
  <c r="Q265" i="17" s="1"/>
  <c r="P269" i="17"/>
  <c r="Q269" i="17" s="1"/>
  <c r="P263" i="17"/>
  <c r="Q263" i="17" s="1"/>
  <c r="P267" i="17"/>
  <c r="Q267" i="17" s="1"/>
  <c r="P248" i="17"/>
  <c r="Q248" i="17" s="1"/>
  <c r="P245" i="17"/>
  <c r="Q245" i="17" s="1"/>
  <c r="P247" i="17"/>
  <c r="Q247" i="17" s="1"/>
  <c r="P249" i="17"/>
  <c r="Q249" i="17" s="1"/>
  <c r="P251" i="17"/>
  <c r="Q251" i="17" s="1"/>
  <c r="P253" i="17"/>
  <c r="Q253" i="17" s="1"/>
  <c r="P250" i="17"/>
  <c r="Q250" i="17" s="1"/>
  <c r="P246" i="17"/>
  <c r="Q246" i="17" s="1"/>
  <c r="P252" i="17"/>
  <c r="Q252" i="17" s="1"/>
  <c r="C71" i="15"/>
  <c r="T271" i="17" l="1"/>
  <c r="T270" i="17"/>
  <c r="T269" i="17"/>
  <c r="T268" i="17"/>
  <c r="U268" i="17" s="1"/>
  <c r="W268" i="17" s="1"/>
  <c r="T267" i="17"/>
  <c r="T266" i="17"/>
  <c r="T265" i="17"/>
  <c r="T264" i="17"/>
  <c r="T263" i="17"/>
  <c r="T262" i="17"/>
  <c r="T261" i="17"/>
  <c r="T260" i="17"/>
  <c r="T253" i="17"/>
  <c r="T252" i="17"/>
  <c r="T251" i="17"/>
  <c r="T244" i="17"/>
  <c r="T243" i="17"/>
  <c r="T242" i="17"/>
  <c r="T235" i="17"/>
  <c r="T234" i="17"/>
  <c r="T233" i="17"/>
  <c r="T226" i="17"/>
  <c r="T225" i="17"/>
  <c r="T224" i="17"/>
  <c r="U224" i="17" s="1"/>
  <c r="W224" i="17" s="1"/>
  <c r="T223" i="17"/>
  <c r="T222" i="17"/>
  <c r="T221" i="17"/>
  <c r="U221" i="17" s="1"/>
  <c r="W221" i="17" s="1"/>
  <c r="T220" i="17"/>
  <c r="T219" i="17"/>
  <c r="T218" i="17"/>
  <c r="T217" i="17"/>
  <c r="T216" i="17"/>
  <c r="U216" i="17" s="1"/>
  <c r="W216" i="17" s="1"/>
  <c r="T215" i="17"/>
  <c r="T214" i="17"/>
  <c r="T213" i="17"/>
  <c r="U213" i="17" s="1"/>
  <c r="W213" i="17" s="1"/>
  <c r="T212" i="17"/>
  <c r="U212" i="17" s="1"/>
  <c r="W212" i="17" s="1"/>
  <c r="T211" i="17"/>
  <c r="T210" i="17"/>
  <c r="T209" i="17"/>
  <c r="T208" i="17"/>
  <c r="T207" i="17"/>
  <c r="T206" i="17"/>
  <c r="T199" i="17"/>
  <c r="T198" i="17"/>
  <c r="T197" i="17"/>
  <c r="T190" i="17"/>
  <c r="T189" i="17"/>
  <c r="T188" i="17"/>
  <c r="T181" i="17"/>
  <c r="T180" i="17"/>
  <c r="T179" i="17"/>
  <c r="T178" i="17"/>
  <c r="U178" i="17" s="1"/>
  <c r="W178" i="17" s="1"/>
  <c r="T177" i="17"/>
  <c r="T176" i="17"/>
  <c r="T175" i="17"/>
  <c r="T174" i="17"/>
  <c r="T173" i="17"/>
  <c r="T172" i="17"/>
  <c r="T171" i="17"/>
  <c r="T170" i="17"/>
  <c r="U170" i="17" s="1"/>
  <c r="W170" i="17" s="1"/>
  <c r="T169" i="17"/>
  <c r="T168" i="17"/>
  <c r="T167" i="17"/>
  <c r="U167" i="17" s="1"/>
  <c r="W167" i="17" s="1"/>
  <c r="T166" i="17"/>
  <c r="T165" i="17"/>
  <c r="T164" i="17"/>
  <c r="T163" i="17"/>
  <c r="T162" i="17"/>
  <c r="T161" i="17"/>
  <c r="T154" i="17"/>
  <c r="T153" i="17"/>
  <c r="T152" i="17"/>
  <c r="T145" i="17"/>
  <c r="T144" i="17"/>
  <c r="T143" i="17"/>
  <c r="T136" i="17"/>
  <c r="U136" i="17" s="1"/>
  <c r="W136" i="17" s="1"/>
  <c r="T135" i="17"/>
  <c r="T134" i="17"/>
  <c r="T133" i="17"/>
  <c r="U133" i="17" s="1"/>
  <c r="W133" i="17" s="1"/>
  <c r="T132" i="17"/>
  <c r="U132" i="17" s="1"/>
  <c r="W132" i="17" s="1"/>
  <c r="T131" i="17"/>
  <c r="T130" i="17"/>
  <c r="T129" i="17"/>
  <c r="T128" i="17"/>
  <c r="T127" i="17"/>
  <c r="T126" i="17"/>
  <c r="T125" i="17"/>
  <c r="T124" i="17"/>
  <c r="U124" i="17" s="1"/>
  <c r="W124" i="17" s="1"/>
  <c r="T123" i="17"/>
  <c r="T122" i="17"/>
  <c r="T121" i="17"/>
  <c r="T120" i="17"/>
  <c r="T119" i="17"/>
  <c r="T118" i="17"/>
  <c r="T117" i="17"/>
  <c r="T116" i="17"/>
  <c r="T112" i="17"/>
  <c r="T111" i="17"/>
  <c r="T110" i="17"/>
  <c r="T109" i="17"/>
  <c r="T108" i="17"/>
  <c r="T107" i="17"/>
  <c r="T103" i="17"/>
  <c r="T102" i="17"/>
  <c r="T101" i="17"/>
  <c r="T100" i="17"/>
  <c r="T99" i="17"/>
  <c r="T98" i="17"/>
  <c r="T94" i="17"/>
  <c r="T93" i="17"/>
  <c r="T92" i="17"/>
  <c r="T91" i="17"/>
  <c r="U91" i="17" s="1"/>
  <c r="W91" i="17" s="1"/>
  <c r="T90" i="17"/>
  <c r="T89" i="17"/>
  <c r="T88" i="17"/>
  <c r="U88" i="17" s="1"/>
  <c r="W88" i="17" s="1"/>
  <c r="T87" i="17"/>
  <c r="U87" i="17" s="1"/>
  <c r="W87" i="17" s="1"/>
  <c r="T86" i="17"/>
  <c r="T85" i="17"/>
  <c r="T84" i="17"/>
  <c r="T83" i="17"/>
  <c r="T82" i="17"/>
  <c r="T81" i="17"/>
  <c r="T80" i="17"/>
  <c r="T79" i="17"/>
  <c r="U79" i="17" s="1"/>
  <c r="W79" i="17" s="1"/>
  <c r="T78" i="17"/>
  <c r="T77" i="17"/>
  <c r="T76" i="17"/>
  <c r="T75" i="17"/>
  <c r="T74" i="17"/>
  <c r="T73" i="17"/>
  <c r="T72" i="17"/>
  <c r="T71" i="17"/>
  <c r="T67" i="17"/>
  <c r="T66" i="17"/>
  <c r="T65" i="17"/>
  <c r="T64" i="17"/>
  <c r="T63" i="17"/>
  <c r="T62" i="17"/>
  <c r="T58" i="17"/>
  <c r="T57" i="17"/>
  <c r="T56" i="17"/>
  <c r="T55" i="17"/>
  <c r="T54" i="17"/>
  <c r="T53" i="17"/>
  <c r="T49" i="17"/>
  <c r="T48" i="17"/>
  <c r="T47" i="17"/>
  <c r="T46" i="17"/>
  <c r="U46" i="17" s="1"/>
  <c r="T45" i="17"/>
  <c r="T44" i="17"/>
  <c r="T43" i="17"/>
  <c r="U43" i="17" s="1"/>
  <c r="T42" i="17"/>
  <c r="U42" i="17" s="1"/>
  <c r="T41" i="17"/>
  <c r="T40" i="17"/>
  <c r="T39" i="17"/>
  <c r="T38" i="17"/>
  <c r="T37" i="17"/>
  <c r="T36" i="17"/>
  <c r="T35" i="17"/>
  <c r="T34" i="17"/>
  <c r="U34" i="17" s="1"/>
  <c r="T33" i="17"/>
  <c r="T32" i="17"/>
  <c r="T31" i="17"/>
  <c r="T30" i="17"/>
  <c r="T29" i="17"/>
  <c r="T28" i="17"/>
  <c r="T27" i="17"/>
  <c r="T26" i="17"/>
  <c r="T22" i="17"/>
  <c r="T21" i="17"/>
  <c r="T20" i="17"/>
  <c r="T19" i="17"/>
  <c r="T18" i="17"/>
  <c r="T17" i="17"/>
  <c r="T13" i="17"/>
  <c r="T12" i="17"/>
  <c r="T11" i="17"/>
  <c r="T10" i="17"/>
  <c r="T9" i="17"/>
  <c r="T8" i="17"/>
  <c r="T4" i="17"/>
  <c r="T3" i="17"/>
  <c r="T2" i="17"/>
  <c r="U33" i="17" l="1"/>
  <c r="U37" i="17"/>
  <c r="U41" i="17"/>
  <c r="Y41" i="17" s="1"/>
  <c r="U45" i="17"/>
  <c r="W45" i="17" s="1"/>
  <c r="U78" i="17"/>
  <c r="W78" i="17" s="1"/>
  <c r="U82" i="17"/>
  <c r="W82" i="17" s="1"/>
  <c r="U86" i="17"/>
  <c r="W86" i="17" s="1"/>
  <c r="U90" i="17"/>
  <c r="W90" i="17" s="1"/>
  <c r="U123" i="17"/>
  <c r="W123" i="17" s="1"/>
  <c r="U127" i="17"/>
  <c r="W127" i="17" s="1"/>
  <c r="U131" i="17"/>
  <c r="W131" i="17" s="1"/>
  <c r="U135" i="17"/>
  <c r="W135" i="17" s="1"/>
  <c r="U169" i="17"/>
  <c r="W169" i="17" s="1"/>
  <c r="U177" i="17"/>
  <c r="W177" i="17" s="1"/>
  <c r="U181" i="17"/>
  <c r="W181" i="17" s="1"/>
  <c r="U215" i="17"/>
  <c r="W215" i="17" s="1"/>
  <c r="U223" i="17"/>
  <c r="W223" i="17" s="1"/>
  <c r="U267" i="17"/>
  <c r="W267" i="17" s="1"/>
  <c r="U271" i="17"/>
  <c r="W271" i="17" s="1"/>
  <c r="Y33" i="17"/>
  <c r="W33" i="17"/>
  <c r="Y37" i="17"/>
  <c r="W37" i="17"/>
  <c r="W41" i="17"/>
  <c r="W34" i="17"/>
  <c r="Y34" i="17"/>
  <c r="W46" i="17"/>
  <c r="Y46" i="17"/>
  <c r="U35" i="17"/>
  <c r="U80" i="17"/>
  <c r="W80" i="17" s="1"/>
  <c r="U125" i="17"/>
  <c r="W125" i="17" s="1"/>
  <c r="U171" i="17"/>
  <c r="W171" i="17" s="1"/>
  <c r="U179" i="17"/>
  <c r="W179" i="17" s="1"/>
  <c r="U217" i="17"/>
  <c r="W217" i="17" s="1"/>
  <c r="U225" i="17"/>
  <c r="W225" i="17" s="1"/>
  <c r="U269" i="17"/>
  <c r="W269" i="17" s="1"/>
  <c r="Y42" i="17"/>
  <c r="W42" i="17"/>
  <c r="W43" i="17"/>
  <c r="Y43" i="17"/>
  <c r="U32" i="17"/>
  <c r="U36" i="17"/>
  <c r="U44" i="17"/>
  <c r="U77" i="17"/>
  <c r="W77" i="17" s="1"/>
  <c r="U81" i="17"/>
  <c r="W81" i="17" s="1"/>
  <c r="U89" i="17"/>
  <c r="W89" i="17" s="1"/>
  <c r="U122" i="17"/>
  <c r="W122" i="17" s="1"/>
  <c r="U126" i="17"/>
  <c r="W126" i="17" s="1"/>
  <c r="U134" i="17"/>
  <c r="W134" i="17" s="1"/>
  <c r="U168" i="17"/>
  <c r="W168" i="17" s="1"/>
  <c r="U172" i="17"/>
  <c r="W172" i="17" s="1"/>
  <c r="U176" i="17"/>
  <c r="W176" i="17" s="1"/>
  <c r="U180" i="17"/>
  <c r="W180" i="17" s="1"/>
  <c r="U214" i="17"/>
  <c r="W214" i="17" s="1"/>
  <c r="U222" i="17"/>
  <c r="W222" i="17" s="1"/>
  <c r="U226" i="17"/>
  <c r="W226" i="17" s="1"/>
  <c r="U266" i="17"/>
  <c r="W266" i="17" s="1"/>
  <c r="U270" i="17"/>
  <c r="W270" i="17" s="1"/>
  <c r="Y45" i="17" l="1"/>
  <c r="W36" i="17"/>
  <c r="Y36" i="17"/>
  <c r="Y35" i="17"/>
  <c r="W35" i="17"/>
  <c r="Y32" i="17"/>
  <c r="W32" i="17"/>
  <c r="W44" i="17"/>
  <c r="Y44" i="17"/>
  <c r="T139" i="17" l="1"/>
  <c r="T138" i="17"/>
  <c r="T137" i="17"/>
  <c r="T7" i="17"/>
  <c r="T6" i="17"/>
  <c r="T5" i="17"/>
  <c r="T51" i="17" l="1"/>
  <c r="T50" i="17"/>
  <c r="T52" i="17"/>
  <c r="T227" i="17"/>
  <c r="T229" i="17"/>
  <c r="T228" i="17"/>
  <c r="T259" i="17"/>
  <c r="T255" i="17"/>
  <c r="U261" i="17" s="1"/>
  <c r="W261" i="17" s="1"/>
  <c r="T258" i="17"/>
  <c r="T254" i="17"/>
  <c r="U260" i="17" s="1"/>
  <c r="W260" i="17" s="1"/>
  <c r="T257" i="17"/>
  <c r="U257" i="17" s="1"/>
  <c r="W257" i="17" s="1"/>
  <c r="T256" i="17"/>
  <c r="U262" i="17" s="1"/>
  <c r="W262" i="17" s="1"/>
  <c r="T191" i="17"/>
  <c r="T192" i="17"/>
  <c r="T193" i="17"/>
  <c r="T238" i="17"/>
  <c r="T237" i="17"/>
  <c r="T236" i="17"/>
  <c r="U259" i="17" l="1"/>
  <c r="W259" i="17" s="1"/>
  <c r="U258" i="17"/>
  <c r="W258" i="17" s="1"/>
  <c r="T59" i="17"/>
  <c r="T61" i="17"/>
  <c r="T60" i="17"/>
  <c r="T95" i="17"/>
  <c r="T97" i="17"/>
  <c r="T96" i="17"/>
  <c r="T183" i="17"/>
  <c r="T182" i="17"/>
  <c r="T184" i="17"/>
  <c r="T155" i="17"/>
  <c r="T156" i="17"/>
  <c r="T157" i="17"/>
  <c r="T158" i="17"/>
  <c r="T106" i="17" l="1"/>
  <c r="T105" i="17"/>
  <c r="T104" i="17"/>
  <c r="T142" i="17"/>
  <c r="T140" i="17"/>
  <c r="T141" i="17"/>
  <c r="T159" i="17"/>
  <c r="T232" i="17"/>
  <c r="T230" i="17"/>
  <c r="T231" i="17"/>
  <c r="T196" i="17"/>
  <c r="T194" i="17"/>
  <c r="T195" i="17"/>
  <c r="T23" i="17"/>
  <c r="T25" i="17"/>
  <c r="T24" i="17"/>
  <c r="T147" i="17"/>
  <c r="T146" i="17"/>
  <c r="T148" i="17"/>
  <c r="T200" i="17"/>
  <c r="T202" i="17"/>
  <c r="T201" i="17"/>
  <c r="T241" i="17"/>
  <c r="T239" i="17"/>
  <c r="T240" i="17"/>
  <c r="T160" i="17"/>
  <c r="T203" i="17"/>
  <c r="T205" i="17" l="1"/>
  <c r="T186" i="17"/>
  <c r="T187" i="17"/>
  <c r="T185" i="17"/>
  <c r="T247" i="17"/>
  <c r="T246" i="17"/>
  <c r="T245" i="17"/>
  <c r="T204" i="17"/>
  <c r="T70" i="17"/>
  <c r="T69" i="17"/>
  <c r="T68" i="17"/>
  <c r="T15" i="17"/>
  <c r="T14" i="17"/>
  <c r="T16" i="17"/>
  <c r="T250" i="17"/>
  <c r="T151" i="17" l="1"/>
  <c r="T150" i="17"/>
  <c r="T149" i="17"/>
  <c r="T249" i="17"/>
  <c r="T115" i="17"/>
  <c r="T114" i="17"/>
  <c r="T113" i="17"/>
  <c r="T248" i="17"/>
</calcChain>
</file>

<file path=xl/sharedStrings.xml><?xml version="1.0" encoding="utf-8"?>
<sst xmlns="http://schemas.openxmlformats.org/spreadsheetml/2006/main" count="5168" uniqueCount="152">
  <si>
    <t>Vehicle segment &amp; subcategory</t>
  </si>
  <si>
    <t>Typical Range or Uncertainty (2025)*</t>
  </si>
  <si>
    <t>Typical Range or Uncertainty (2030)*</t>
  </si>
  <si>
    <t>Typical Range or Uncertainty (2050)*</t>
  </si>
  <si>
    <t>Note</t>
  </si>
  <si>
    <t>Ref</t>
  </si>
  <si>
    <t>Technical parameters</t>
  </si>
  <si>
    <t>Lower</t>
  </si>
  <si>
    <t>Upper</t>
  </si>
  <si>
    <t xml:space="preserve">Vehicle mass in running order (kg) </t>
  </si>
  <si>
    <t>Vehicle maximum gross weight (kg)</t>
  </si>
  <si>
    <t>Typical payload/# of passengers (kg)</t>
  </si>
  <si>
    <t>Fuel tank and/or battery size (litres and/or kWh)</t>
  </si>
  <si>
    <t>Weight of battery (kg)</t>
  </si>
  <si>
    <t>Typical charging time 20-90% (e.g. 300 KW DC) / or refuelling time</t>
  </si>
  <si>
    <t>Number of axles – max</t>
  </si>
  <si>
    <t>Number of axles – typical</t>
  </si>
  <si>
    <t>Motor size (kW)</t>
  </si>
  <si>
    <t>Energy and fuel related parameters</t>
  </si>
  <si>
    <t>Vehicle Range – mass in running order (km)</t>
  </si>
  <si>
    <t>Environment</t>
  </si>
  <si>
    <t>Urban</t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</si>
  <si>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rgb="FF000000"/>
        <rFont val="Calibri"/>
        <family val="2"/>
      </rPr>
      <t>CO</t>
    </r>
    <r>
      <rPr>
        <vertAlign val="subscript"/>
        <sz val="7"/>
        <color rgb="FF000000"/>
        <rFont val="Calibri"/>
        <family val="2"/>
      </rPr>
      <t>2</t>
    </r>
    <r>
      <rPr>
        <sz val="7"/>
        <color rgb="FF000000"/>
        <rFont val="Calibri"/>
        <family val="2"/>
      </rPr>
      <t xml:space="preserve"> emissions -  (g/km)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</si>
  <si>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rgb="FF000000"/>
        <rFont val="Calibri"/>
        <family val="2"/>
      </rPr>
      <t>CH</t>
    </r>
    <r>
      <rPr>
        <vertAlign val="subscript"/>
        <sz val="7"/>
        <color rgb="FF000000"/>
        <rFont val="Calibri"/>
        <family val="2"/>
      </rPr>
      <t>4</t>
    </r>
    <r>
      <rPr>
        <sz val="7"/>
        <color rgb="FF000000"/>
        <rFont val="Calibri"/>
        <family val="2"/>
      </rPr>
      <t xml:space="preserve"> emissions - (g/km)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</si>
  <si>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rgb="FF000000"/>
        <rFont val="Calibri"/>
        <family val="2"/>
      </rPr>
      <t>NO</t>
    </r>
    <r>
      <rPr>
        <vertAlign val="subscript"/>
        <sz val="7"/>
        <color rgb="FF000000"/>
        <rFont val="Calibri"/>
        <family val="2"/>
      </rPr>
      <t>X</t>
    </r>
    <r>
      <rPr>
        <sz val="7"/>
        <color rgb="FF000000"/>
        <rFont val="Calibri"/>
        <family val="2"/>
      </rPr>
      <t xml:space="preserve"> emissions - (g/km)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</si>
  <si>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rgb="FF000000"/>
        <rFont val="Calibri"/>
        <family val="2"/>
      </rPr>
      <t>N2O emissions - (g/km)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</si>
  <si>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rgb="FF000000"/>
        <rFont val="Calibri"/>
        <family val="2"/>
      </rPr>
      <t>SO</t>
    </r>
    <r>
      <rPr>
        <vertAlign val="subscript"/>
        <sz val="7"/>
        <color rgb="FF000000"/>
        <rFont val="Calibri"/>
        <family val="2"/>
      </rPr>
      <t>2</t>
    </r>
    <r>
      <rPr>
        <sz val="7"/>
        <color rgb="FF000000"/>
        <rFont val="Calibri"/>
        <family val="2"/>
      </rPr>
      <t xml:space="preserve"> emissions - (g/km)</t>
    </r>
  </si>
  <si>
    <t>Rural</t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</si>
  <si>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rgb="FF000000"/>
        <rFont val="Calibri"/>
        <family val="2"/>
      </rPr>
      <t>CO</t>
    </r>
    <r>
      <rPr>
        <vertAlign val="subscript"/>
        <sz val="7"/>
        <color rgb="FF000000"/>
        <rFont val="Calibri"/>
        <family val="2"/>
      </rPr>
      <t>2</t>
    </r>
    <r>
      <rPr>
        <sz val="7"/>
        <color rgb="FF000000"/>
        <rFont val="Calibri"/>
        <family val="2"/>
      </rPr>
      <t xml:space="preserve"> emissions - (g/km)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</si>
  <si>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rgb="FF000000"/>
        <rFont val="Calibri"/>
        <family val="2"/>
      </rPr>
      <t>SO</t>
    </r>
    <r>
      <rPr>
        <vertAlign val="subscript"/>
        <sz val="7"/>
        <color rgb="FF000000"/>
        <rFont val="Calibri"/>
        <family val="2"/>
      </rPr>
      <t>2</t>
    </r>
    <r>
      <rPr>
        <sz val="7"/>
        <color rgb="FF000000"/>
        <rFont val="Calibri"/>
        <family val="2"/>
      </rPr>
      <t xml:space="preserve"> emissions (g/km)</t>
    </r>
  </si>
  <si>
    <t>Highway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</si>
  <si>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rgb="FF000000"/>
        <rFont val="Calibri"/>
        <family val="2"/>
      </rPr>
      <t>CO</t>
    </r>
    <r>
      <rPr>
        <vertAlign val="subscript"/>
        <sz val="7"/>
        <color rgb="FF000000"/>
        <rFont val="Calibri"/>
        <family val="2"/>
      </rPr>
      <t>2</t>
    </r>
    <r>
      <rPr>
        <sz val="7"/>
        <color rgb="FF000000"/>
        <rFont val="Calibri"/>
        <family val="2"/>
      </rPr>
      <t xml:space="preserve"> emissions - typical load (g/km)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</si>
  <si>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rgb="FF000000"/>
        <rFont val="Calibri"/>
        <family val="2"/>
      </rPr>
      <t>CH</t>
    </r>
    <r>
      <rPr>
        <vertAlign val="subscript"/>
        <sz val="7"/>
        <color rgb="FF000000"/>
        <rFont val="Calibri"/>
        <family val="2"/>
      </rPr>
      <t>4</t>
    </r>
    <r>
      <rPr>
        <sz val="7"/>
        <color rgb="FF000000"/>
        <rFont val="Calibri"/>
        <family val="2"/>
      </rPr>
      <t xml:space="preserve"> emissions - (g/km)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</si>
  <si>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rgb="FF000000"/>
        <rFont val="Calibri"/>
        <family val="2"/>
      </rPr>
      <t>NO</t>
    </r>
    <r>
      <rPr>
        <vertAlign val="subscript"/>
        <sz val="7"/>
        <color rgb="FF000000"/>
        <rFont val="Calibri"/>
        <family val="2"/>
      </rPr>
      <t>X</t>
    </r>
    <r>
      <rPr>
        <sz val="7"/>
        <color rgb="FF000000"/>
        <rFont val="Calibri"/>
        <family val="2"/>
      </rPr>
      <t xml:space="preserve"> emissions - (g/km)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</si>
  <si>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rgb="FF000000"/>
        <rFont val="Calibri"/>
        <family val="2"/>
      </rPr>
      <t>N2O emissions - (g/km)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</si>
  <si>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rgb="FF000000"/>
        <rFont val="Calibri"/>
        <family val="2"/>
      </rPr>
      <t>SO</t>
    </r>
    <r>
      <rPr>
        <vertAlign val="subscript"/>
        <sz val="7"/>
        <color rgb="FF000000"/>
        <rFont val="Calibri"/>
        <family val="2"/>
      </rPr>
      <t>2</t>
    </r>
    <r>
      <rPr>
        <sz val="7"/>
        <color rgb="FF000000"/>
        <rFont val="Calibri"/>
        <family val="2"/>
      </rPr>
      <t xml:space="preserve"> emissions - (g/km)</t>
    </r>
  </si>
  <si>
    <t>Financial data</t>
  </si>
  <si>
    <t>Typical vehicle lifetime (years)</t>
  </si>
  <si>
    <t>Typical battery Fuelcell lifetime (years)</t>
  </si>
  <si>
    <t>Typical vehicle lifetime (km)</t>
  </si>
  <si>
    <t>Typical # of km driven during first year (km)</t>
  </si>
  <si>
    <t>Upfront vehicle cost (€)</t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</si>
  <si>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Cost of battery/Fuelcell</t>
    </r>
  </si>
  <si>
    <t>Typical payload (kg)</t>
  </si>
  <si>
    <t>Maximum vehicle payload (kg)</t>
  </si>
  <si>
    <t>Vehicle Range - typical load (km)</t>
  </si>
  <si>
    <t>Battery size (kWh)</t>
  </si>
  <si>
    <t>Typical # of passengers (kg)</t>
  </si>
  <si>
    <t>Maximum number of passengers</t>
  </si>
  <si>
    <t xml:space="preserve">Maximum number of passengers </t>
  </si>
  <si>
    <t>Charging capacity/ (KW LHV)</t>
  </si>
  <si>
    <t>Typical # of passengers</t>
  </si>
  <si>
    <t>Fuel tank size (litres)</t>
  </si>
  <si>
    <r>
      <t>Net CO</t>
    </r>
    <r>
      <rPr>
        <vertAlign val="subscript"/>
        <sz val="7"/>
        <color rgb="FF000000"/>
        <rFont val="Calibri"/>
        <family val="2"/>
      </rPr>
      <t>2</t>
    </r>
    <r>
      <rPr>
        <sz val="7"/>
        <color rgb="FF000000"/>
        <rFont val="Calibri"/>
        <family val="2"/>
      </rPr>
      <t xml:space="preserve"> emissions from production and recycling of vehicle (ton)</t>
    </r>
  </si>
  <si>
    <t>Net CO2 emissions from production and recycling of vehicle (ton)</t>
  </si>
  <si>
    <t>Row Labels</t>
  </si>
  <si>
    <t>Grand Total</t>
  </si>
  <si>
    <t>Column Labels</t>
  </si>
  <si>
    <t>Load</t>
  </si>
  <si>
    <t>Fuel type</t>
  </si>
  <si>
    <t>Cost of chassis</t>
  </si>
  <si>
    <t>Cost of vehicle</t>
  </si>
  <si>
    <t>Cost of Battery, Fuel Cell, Fuel Tank</t>
  </si>
  <si>
    <t>Cargo kg</t>
  </si>
  <si>
    <t>Passengers</t>
  </si>
  <si>
    <t>MJ/ton*km</t>
  </si>
  <si>
    <t>MJ/passenger*km</t>
  </si>
  <si>
    <t>OMIT MJ/km</t>
  </si>
  <si>
    <t>Mass kg</t>
  </si>
  <si>
    <t>Vehicle type</t>
  </si>
  <si>
    <t>Fuel energy – mass in running order (MJ/km)</t>
  </si>
  <si>
    <t>Fuel energy - maximum gross weight (MJ/km)</t>
  </si>
  <si>
    <t>Fuel energy - typical load (MJ/km)</t>
  </si>
  <si>
    <t>Typical refuelling time</t>
  </si>
  <si>
    <t>ICE</t>
  </si>
  <si>
    <t>BEV</t>
  </si>
  <si>
    <t>FCEV</t>
  </si>
  <si>
    <t>Diesel L1'!A1</t>
  </si>
  <si>
    <t>Diesel L2'!A1</t>
  </si>
  <si>
    <t>Diesel L3'!A1</t>
  </si>
  <si>
    <t>Diesel B1'!A1</t>
  </si>
  <si>
    <t>Diesel B2'!A1</t>
  </si>
  <si>
    <t>BEV L1'!A1</t>
  </si>
  <si>
    <t>BEV L2'!A1</t>
  </si>
  <si>
    <t>BEV L3'!A1</t>
  </si>
  <si>
    <t>BEV B1'!A1</t>
  </si>
  <si>
    <t>BEV B2'!A1</t>
  </si>
  <si>
    <t>FCV L1'!A1</t>
  </si>
  <si>
    <t>FCV L2'!A1</t>
  </si>
  <si>
    <t>FCV L3'!A1</t>
  </si>
  <si>
    <t>FCV B1'!A1</t>
  </si>
  <si>
    <t>FCV B2'!A1</t>
  </si>
  <si>
    <t>TRUCK WITH TRAILER</t>
  </si>
  <si>
    <t>SEMI-TRAILER TRUCK</t>
  </si>
  <si>
    <t>CITY BUS</t>
  </si>
  <si>
    <t>TOURIST BUS</t>
  </si>
  <si>
    <t>SOLO TRUCK</t>
  </si>
  <si>
    <t>Vehicle</t>
  </si>
  <si>
    <t>GRAPHS</t>
  </si>
  <si>
    <t>DATA</t>
  </si>
  <si>
    <t xml:space="preserve"> </t>
  </si>
  <si>
    <t>START PAGE'!A1</t>
  </si>
  <si>
    <t>Rigid Solo Truck (N3) 3-axles max 26 tons</t>
  </si>
  <si>
    <t>Coach &gt; 12 tons</t>
  </si>
  <si>
    <t>Vehicle Range – maximum gross weight (km)</t>
  </si>
  <si>
    <t>Charging capacity (kW)</t>
  </si>
  <si>
    <t>Vehicle length – max (m)</t>
  </si>
  <si>
    <t>Vehicle length – typical (m)</t>
  </si>
  <si>
    <t>References</t>
  </si>
  <si>
    <t>Simulations done with in-house software designed to emulate VECTO. See Section 5.1 of main report.</t>
  </si>
  <si>
    <t>Technical parameters. See Section 5.2 of main report,</t>
  </si>
  <si>
    <t>no data</t>
  </si>
  <si>
    <t>Variable maintenance cost (€/km)</t>
  </si>
  <si>
    <t>Fixed maintenance cost (€/year)</t>
  </si>
  <si>
    <t>Financial data see section 5.5 of main report</t>
  </si>
  <si>
    <t>Environment see section 5.4 of main report</t>
  </si>
  <si>
    <t>Typical battery lifetime (years)</t>
  </si>
  <si>
    <t>Typical fuel cell lifetime (years)</t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</si>
  <si>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Cost of 24V battery</t>
    </r>
  </si>
  <si>
    <t>City bus &gt; 12 meters</t>
  </si>
  <si>
    <t>Truck (N3) with Trailer, 7 axles max 56 tons or European Modular Concept (EMC)</t>
  </si>
  <si>
    <t>Semi-traier Truck (N3) 6 axles max 50 tons og European Modular Concept (EMC)</t>
  </si>
  <si>
    <t>330-500</t>
  </si>
  <si>
    <t>2022</t>
  </si>
  <si>
    <t>2050</t>
  </si>
  <si>
    <t>Electricity</t>
  </si>
  <si>
    <t>Average of Efficiency %</t>
  </si>
  <si>
    <t>Typical refuelling  (minutes)</t>
  </si>
  <si>
    <t xml:space="preserve">CITY BUS </t>
  </si>
  <si>
    <t xml:space="preserve">RIGID TRUCK </t>
  </si>
  <si>
    <t xml:space="preserve">SEMI TRUCK </t>
  </si>
  <si>
    <t xml:space="preserve">TOURIST BUS </t>
  </si>
  <si>
    <t xml:space="preserve">TRUCK WITH TRAILER </t>
  </si>
  <si>
    <t>TYPICAL</t>
  </si>
  <si>
    <t>Typical refueling time minutes</t>
  </si>
  <si>
    <t>Cost of Powertrain (motor)</t>
  </si>
  <si>
    <t>Powertrain efficiency (%)</t>
  </si>
  <si>
    <t>-           Cost of Powertrain</t>
  </si>
  <si>
    <t>Powertrain</t>
  </si>
  <si>
    <t>Rigid Solo Truck (N3) 3-axles max 28 tons</t>
  </si>
  <si>
    <t>Truck (N3) with Trailer, 7 axles max 58 tons or European Modular Concept (EMC)</t>
  </si>
  <si>
    <t>Semi-traier Truck (N3) 6 axles max 52 tons og European Modular Concept (EMC)</t>
  </si>
  <si>
    <t>Fuel tank size (kg H2)</t>
  </si>
  <si>
    <t>Typical charging time minutes (from 20-80%)</t>
  </si>
  <si>
    <t>Hydrogen</t>
  </si>
  <si>
    <t>Diesel</t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</si>
  <si>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Urban</t>
    </r>
    <r>
      <rPr>
        <sz val="7"/>
        <color rgb="FF000000"/>
        <rFont val="Calibri"/>
        <family val="2"/>
      </rPr>
      <t xml:space="preserve"> </t>
    </r>
    <r>
      <rPr>
        <sz val="7"/>
        <color theme="1"/>
        <rFont val="Calibri"/>
        <family val="2"/>
      </rPr>
      <t>d</t>
    </r>
    <r>
      <rPr>
        <sz val="7"/>
        <color rgb="FF000000"/>
        <rFont val="Calibri"/>
        <family val="2"/>
      </rPr>
      <t>e</t>
    </r>
    <r>
      <rPr>
        <sz val="7"/>
        <color theme="1"/>
        <rFont val="Calibri"/>
        <family val="2"/>
      </rPr>
      <t>l</t>
    </r>
    <r>
      <rPr>
        <sz val="7"/>
        <color rgb="FF000000"/>
        <rFont val="Calibri"/>
        <family val="2"/>
      </rPr>
      <t>i</t>
    </r>
    <r>
      <rPr>
        <sz val="7"/>
        <color theme="1"/>
        <rFont val="Calibri"/>
        <family val="2"/>
      </rPr>
      <t>v</t>
    </r>
    <r>
      <rPr>
        <sz val="7"/>
        <color rgb="FF000000"/>
        <rFont val="Calibri"/>
        <family val="2"/>
      </rPr>
      <t>e</t>
    </r>
    <r>
      <rPr>
        <sz val="7"/>
        <color theme="1"/>
        <rFont val="Calibri"/>
        <family val="2"/>
      </rPr>
      <t>r</t>
    </r>
    <r>
      <rPr>
        <sz val="7"/>
        <color rgb="FF000000"/>
        <rFont val="Calibri"/>
        <family val="2"/>
      </rPr>
      <t>y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</si>
  <si>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Regional distribution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</si>
  <si>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Long haul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</si>
  <si>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C</t>
    </r>
    <r>
      <rPr>
        <sz val="7"/>
        <color rgb="FF000000"/>
        <rFont val="Calibri"/>
        <family val="2"/>
      </rPr>
      <t>ity route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</si>
  <si>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Rural route</t>
    </r>
  </si>
  <si>
    <r>
      <t>-</t>
    </r>
    <r>
      <rPr>
        <sz val="7"/>
        <color rgb="FF000000"/>
        <rFont val="Times New Roman"/>
        <family val="1"/>
      </rPr>
      <t xml:space="preserve">           </t>
    </r>
    <r>
      <rPr>
        <sz val="7"/>
        <color theme="1"/>
        <rFont val="Calibri"/>
        <family val="2"/>
      </rPr>
      <t>Motorway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</si>
</sst>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%"/>
    <numFmt numFmtId="166" formatCode="0.0"/>
    <numFmt numFmtId="167" formatCode="0.0000"/>
    <numFmt numFmtId="168" formatCode="_ [$€-2]\ * #,##0_ ;_ [$€-2]\ * \-#,##0_ ;_ [$€-2]\ * &quot;-&quot;??_ ;_ @_ "/>
    <numFmt numFmtId="169" formatCode="#,##0.0"/>
  </numFmts>
  <fonts count="16" x14ac:knownFonts="1">
    <font>
      <sz val="10"/>
      <color theme="1"/>
      <name val="Open Sans"/>
      <family val="2"/>
    </font>
    <font>
      <sz val="10"/>
      <color theme="1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  <font>
      <sz val="7"/>
      <color rgb="FF000000"/>
      <name val="Times New Roman"/>
      <family val="1"/>
    </font>
    <font>
      <sz val="7"/>
      <color theme="1"/>
      <name val="Calibri"/>
      <family val="2"/>
    </font>
    <font>
      <vertAlign val="subscript"/>
      <sz val="7"/>
      <color rgb="FF000000"/>
      <name val="Calibri"/>
      <family val="2"/>
    </font>
    <font>
      <sz val="7"/>
      <color theme="1"/>
      <name val="Times New Roman"/>
      <family val="1"/>
    </font>
    <font>
      <u/>
      <sz val="10"/>
      <color theme="10"/>
      <name val="Open Sans"/>
      <family val="2"/>
    </font>
    <font>
      <sz val="10"/>
      <color theme="1"/>
      <name val="Open Sans"/>
      <family val="2"/>
    </font>
    <font>
      <sz val="8"/>
      <color rgb="FF000000"/>
      <name val="Verdana"/>
      <family val="2"/>
    </font>
    <font>
      <b/>
      <sz val="10"/>
      <color theme="1"/>
      <name val="Open Sans"/>
      <family val="2"/>
    </font>
    <font>
      <sz val="10"/>
      <name val="Open Sans"/>
      <family val="2"/>
    </font>
    <font>
      <u/>
      <sz val="8"/>
      <color theme="10"/>
      <name val="Calibri"/>
      <family val="2"/>
      <scheme val="minor"/>
    </font>
    <font>
      <b/>
      <u/>
      <sz val="8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</cellStyleXfs>
  <cellXfs count="8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2" fontId="0" fillId="0" borderId="0" xfId="0" applyNumberFormat="1"/>
    <xf numFmtId="0" fontId="9" fillId="0" borderId="5" xfId="1" applyBorder="1" applyAlignment="1">
      <alignment horizontal="left" vertical="center" wrapText="1"/>
    </xf>
    <xf numFmtId="0" fontId="9" fillId="2" borderId="5" xfId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2" fontId="4" fillId="0" borderId="5" xfId="0" applyNumberFormat="1" applyFont="1" applyBorder="1" applyAlignment="1">
      <alignment horizontal="left" vertical="center" wrapText="1"/>
    </xf>
    <xf numFmtId="1" fontId="4" fillId="0" borderId="5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 wrapText="1"/>
    </xf>
    <xf numFmtId="0" fontId="9" fillId="0" borderId="0" xfId="1"/>
    <xf numFmtId="2" fontId="4" fillId="0" borderId="5" xfId="0" applyNumberFormat="1" applyFont="1" applyBorder="1" applyAlignment="1">
      <alignment horizontal="left" vertical="center"/>
    </xf>
    <xf numFmtId="9" fontId="4" fillId="2" borderId="5" xfId="0" applyNumberFormat="1" applyFont="1" applyFill="1" applyBorder="1" applyAlignment="1">
      <alignment horizontal="left" vertical="center" wrapText="1"/>
    </xf>
    <xf numFmtId="167" fontId="4" fillId="0" borderId="5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9" fontId="4" fillId="2" borderId="5" xfId="2" applyFont="1" applyFill="1" applyBorder="1" applyAlignment="1">
      <alignment horizontal="left" vertical="center" wrapText="1"/>
    </xf>
    <xf numFmtId="165" fontId="4" fillId="2" borderId="5" xfId="2" applyNumberFormat="1" applyFont="1" applyFill="1" applyBorder="1" applyAlignment="1">
      <alignment horizontal="left" vertical="center" wrapText="1"/>
    </xf>
    <xf numFmtId="9" fontId="4" fillId="0" borderId="5" xfId="2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left" vertical="center" wrapText="1"/>
    </xf>
    <xf numFmtId="4" fontId="4" fillId="2" borderId="5" xfId="0" applyNumberFormat="1" applyFont="1" applyFill="1" applyBorder="1" applyAlignment="1">
      <alignment horizontal="left" vertical="center" wrapText="1"/>
    </xf>
    <xf numFmtId="165" fontId="4" fillId="2" borderId="5" xfId="0" applyNumberFormat="1" applyFont="1" applyFill="1" applyBorder="1" applyAlignment="1">
      <alignment horizontal="left" vertical="center" wrapText="1"/>
    </xf>
    <xf numFmtId="165" fontId="4" fillId="0" borderId="5" xfId="2" applyNumberFormat="1" applyFont="1" applyBorder="1" applyAlignment="1">
      <alignment horizontal="left" vertical="center" wrapText="1"/>
    </xf>
    <xf numFmtId="166" fontId="4" fillId="0" borderId="5" xfId="0" applyNumberFormat="1" applyFont="1" applyBorder="1" applyAlignment="1">
      <alignment horizontal="left" vertical="center" wrapText="1"/>
    </xf>
    <xf numFmtId="0" fontId="10" fillId="0" borderId="0" xfId="3"/>
    <xf numFmtId="2" fontId="10" fillId="0" borderId="0" xfId="3" applyNumberFormat="1"/>
    <xf numFmtId="4" fontId="10" fillId="0" borderId="0" xfId="3" applyNumberFormat="1"/>
    <xf numFmtId="9" fontId="0" fillId="0" borderId="0" xfId="4" applyFont="1"/>
    <xf numFmtId="1" fontId="10" fillId="0" borderId="0" xfId="3" applyNumberFormat="1"/>
    <xf numFmtId="165" fontId="10" fillId="0" borderId="0" xfId="2" applyNumberFormat="1"/>
    <xf numFmtId="166" fontId="10" fillId="0" borderId="0" xfId="3" applyNumberFormat="1"/>
    <xf numFmtId="0" fontId="0" fillId="0" borderId="0" xfId="0" pivotButton="1"/>
    <xf numFmtId="168" fontId="10" fillId="0" borderId="0" xfId="3" applyNumberFormat="1"/>
    <xf numFmtId="2" fontId="1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" fontId="0" fillId="0" borderId="0" xfId="0" applyNumberFormat="1"/>
    <xf numFmtId="169" fontId="4" fillId="0" borderId="5" xfId="0" applyNumberFormat="1" applyFont="1" applyBorder="1" applyAlignment="1">
      <alignment horizontal="left" vertical="center" wrapText="1"/>
    </xf>
    <xf numFmtId="1" fontId="4" fillId="0" borderId="5" xfId="0" applyNumberFormat="1" applyFont="1" applyBorder="1" applyAlignment="1">
      <alignment horizontal="left" vertical="center"/>
    </xf>
    <xf numFmtId="0" fontId="9" fillId="0" borderId="9" xfId="1" applyBorder="1" applyAlignment="1">
      <alignment vertical="center" wrapText="1"/>
    </xf>
    <xf numFmtId="0" fontId="9" fillId="0" borderId="1" xfId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/>
    </xf>
    <xf numFmtId="0" fontId="0" fillId="3" borderId="10" xfId="0" applyFill="1" applyBorder="1"/>
    <xf numFmtId="0" fontId="9" fillId="4" borderId="10" xfId="1" quotePrefix="1" applyFill="1" applyBorder="1"/>
    <xf numFmtId="0" fontId="9" fillId="0" borderId="1" xfId="1" applyBorder="1" applyAlignment="1">
      <alignment horizontal="left" vertical="center"/>
    </xf>
    <xf numFmtId="0" fontId="9" fillId="0" borderId="0" xfId="1" quotePrefix="1"/>
    <xf numFmtId="0" fontId="0" fillId="0" borderId="0" xfId="0" applyAlignment="1">
      <alignment horizontal="right"/>
    </xf>
    <xf numFmtId="0" fontId="13" fillId="5" borderId="9" xfId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3" fillId="5" borderId="1" xfId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/>
    </xf>
    <xf numFmtId="0" fontId="13" fillId="5" borderId="11" xfId="1" applyFont="1" applyFill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166" fontId="4" fillId="0" borderId="12" xfId="0" applyNumberFormat="1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14" fillId="0" borderId="5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0" fontId="12" fillId="3" borderId="10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 vertical="center"/>
    </xf>
    <xf numFmtId="0" fontId="9" fillId="4" borderId="10" xfId="1" applyFill="1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</cellXfs>
  <cellStyles count="5">
    <cellStyle name="Link" xfId="1" builtinId="8"/>
    <cellStyle name="Normal" xfId="0" builtinId="0"/>
    <cellStyle name="Normal 4" xfId="3" xr:uid="{00000000-0005-0000-0000-000002000000}"/>
    <cellStyle name="Percent 2" xfId="4" xr:uid="{00000000-0005-0000-0000-000003000000}"/>
    <cellStyle name="Procent" xfId="2" builtinId="5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[Kopi af Skemaer_10.xlsx]Graphs!PivotTable1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Graphs!$B$7:$B$8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Graphs!$A$9:$A$27</c:f>
              <c:multiLvlStrCache>
                <c:ptCount val="15"/>
                <c:lvl>
                  <c:pt idx="0">
                    <c:v>CITY BUS </c:v>
                  </c:pt>
                  <c:pt idx="1">
                    <c:v>RIGID TRUCK </c:v>
                  </c:pt>
                  <c:pt idx="2">
                    <c:v>SEMI TRUCK </c:v>
                  </c:pt>
                  <c:pt idx="3">
                    <c:v>TOURIST BUS </c:v>
                  </c:pt>
                  <c:pt idx="4">
                    <c:v>TRUCK WITH TRAILER </c:v>
                  </c:pt>
                  <c:pt idx="5">
                    <c:v>CITY BUS </c:v>
                  </c:pt>
                  <c:pt idx="6">
                    <c:v>RIGID TRUCK </c:v>
                  </c:pt>
                  <c:pt idx="7">
                    <c:v>SEMI TRUCK </c:v>
                  </c:pt>
                  <c:pt idx="8">
                    <c:v>TOURIST BUS </c:v>
                  </c:pt>
                  <c:pt idx="9">
                    <c:v>TRUCK WITH TRAILER </c:v>
                  </c:pt>
                  <c:pt idx="10">
                    <c:v>CITY BUS </c:v>
                  </c:pt>
                  <c:pt idx="11">
                    <c:v>RIGID TRUCK </c:v>
                  </c:pt>
                  <c:pt idx="12">
                    <c:v>SEMI TRUCK </c:v>
                  </c:pt>
                  <c:pt idx="13">
                    <c:v>TOURIST BUS </c:v>
                  </c:pt>
                  <c:pt idx="14">
                    <c:v>TRUCK WITH TRAILER </c:v>
                  </c:pt>
                </c:lvl>
                <c:lvl>
                  <c:pt idx="0">
                    <c:v>Diesel</c:v>
                  </c:pt>
                  <c:pt idx="5">
                    <c:v>Electricity</c:v>
                  </c:pt>
                  <c:pt idx="10">
                    <c:v>Hydrogen</c:v>
                  </c:pt>
                </c:lvl>
              </c:multiLvlStrCache>
            </c:multiLvlStrRef>
          </c:cat>
          <c:val>
            <c:numRef>
              <c:f>Graphs!$B$9:$B$27</c:f>
              <c:numCache>
                <c:formatCode>General</c:formatCode>
                <c:ptCount val="15"/>
                <c:pt idx="0">
                  <c:v>0.23813506516102215</c:v>
                </c:pt>
                <c:pt idx="1">
                  <c:v>0.24658232321382453</c:v>
                </c:pt>
                <c:pt idx="2">
                  <c:v>0.24641170834268644</c:v>
                </c:pt>
                <c:pt idx="3">
                  <c:v>0.22884504891585014</c:v>
                </c:pt>
                <c:pt idx="4">
                  <c:v>0.25244017027918658</c:v>
                </c:pt>
                <c:pt idx="5">
                  <c:v>0.57869953446371436</c:v>
                </c:pt>
                <c:pt idx="6">
                  <c:v>0.61684757990513861</c:v>
                </c:pt>
                <c:pt idx="7">
                  <c:v>0.56930474837056855</c:v>
                </c:pt>
                <c:pt idx="8">
                  <c:v>0.55887081850273834</c:v>
                </c:pt>
                <c:pt idx="9">
                  <c:v>0.57402919936028851</c:v>
                </c:pt>
                <c:pt idx="10">
                  <c:v>0.25487335459536409</c:v>
                </c:pt>
                <c:pt idx="11">
                  <c:v>0.26526266919675673</c:v>
                </c:pt>
                <c:pt idx="12">
                  <c:v>0.24943143104385404</c:v>
                </c:pt>
                <c:pt idx="13">
                  <c:v>0.24546378285589118</c:v>
                </c:pt>
                <c:pt idx="14">
                  <c:v>0.25217053656277727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5-4798-BB73-2841282E75AD}"/>
            </c:ext>
          </c:extLst>
        </c:ser>
        <c:ser>
          <c:idx val="1"/>
          <c:order val="1"/>
          <c:tx>
            <c:strRef>
              <c:f>Graphs!$C$7:$C$8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Graphs!$A$9:$A$27</c:f>
              <c:multiLvlStrCache>
                <c:ptCount val="15"/>
                <c:lvl>
                  <c:pt idx="0">
                    <c:v>CITY BUS </c:v>
                  </c:pt>
                  <c:pt idx="1">
                    <c:v>RIGID TRUCK </c:v>
                  </c:pt>
                  <c:pt idx="2">
                    <c:v>SEMI TRUCK </c:v>
                  </c:pt>
                  <c:pt idx="3">
                    <c:v>TOURIST BUS </c:v>
                  </c:pt>
                  <c:pt idx="4">
                    <c:v>TRUCK WITH TRAILER </c:v>
                  </c:pt>
                  <c:pt idx="5">
                    <c:v>CITY BUS </c:v>
                  </c:pt>
                  <c:pt idx="6">
                    <c:v>RIGID TRUCK </c:v>
                  </c:pt>
                  <c:pt idx="7">
                    <c:v>SEMI TRUCK </c:v>
                  </c:pt>
                  <c:pt idx="8">
                    <c:v>TOURIST BUS </c:v>
                  </c:pt>
                  <c:pt idx="9">
                    <c:v>TRUCK WITH TRAILER </c:v>
                  </c:pt>
                  <c:pt idx="10">
                    <c:v>CITY BUS </c:v>
                  </c:pt>
                  <c:pt idx="11">
                    <c:v>RIGID TRUCK </c:v>
                  </c:pt>
                  <c:pt idx="12">
                    <c:v>SEMI TRUCK </c:v>
                  </c:pt>
                  <c:pt idx="13">
                    <c:v>TOURIST BUS </c:v>
                  </c:pt>
                  <c:pt idx="14">
                    <c:v>TRUCK WITH TRAILER </c:v>
                  </c:pt>
                </c:lvl>
                <c:lvl>
                  <c:pt idx="0">
                    <c:v>Diesel</c:v>
                  </c:pt>
                  <c:pt idx="5">
                    <c:v>Electricity</c:v>
                  </c:pt>
                  <c:pt idx="10">
                    <c:v>Hydrogen</c:v>
                  </c:pt>
                </c:lvl>
              </c:multiLvlStrCache>
            </c:multiLvlStrRef>
          </c:cat>
          <c:val>
            <c:numRef>
              <c:f>Graphs!$C$9:$C$27</c:f>
              <c:numCache>
                <c:formatCode>General</c:formatCode>
                <c:ptCount val="15"/>
                <c:pt idx="0">
                  <c:v>0.30750100289275939</c:v>
                </c:pt>
                <c:pt idx="1">
                  <c:v>0.3107443709944156</c:v>
                </c:pt>
                <c:pt idx="2">
                  <c:v>0.25303573774042892</c:v>
                </c:pt>
                <c:pt idx="3">
                  <c:v>0.28193765412396543</c:v>
                </c:pt>
                <c:pt idx="4">
                  <c:v>0.28381609274351272</c:v>
                </c:pt>
                <c:pt idx="5">
                  <c:v>0.62206753757788347</c:v>
                </c:pt>
                <c:pt idx="6">
                  <c:v>0.66185826471873022</c:v>
                </c:pt>
                <c:pt idx="7">
                  <c:v>0.61747783684976554</c:v>
                </c:pt>
                <c:pt idx="8">
                  <c:v>0.59684148247426927</c:v>
                </c:pt>
                <c:pt idx="9">
                  <c:v>0.64516145503927069</c:v>
                </c:pt>
                <c:pt idx="10">
                  <c:v>0.32131962795090568</c:v>
                </c:pt>
                <c:pt idx="11">
                  <c:v>0.33587932687078936</c:v>
                </c:pt>
                <c:pt idx="12">
                  <c:v>0.3012691686181494</c:v>
                </c:pt>
                <c:pt idx="13">
                  <c:v>0.30475693475431009</c:v>
                </c:pt>
                <c:pt idx="14">
                  <c:v>0.32087731057087343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5-4798-BB73-2841282E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6462544"/>
        <c:axId val="626467136"/>
      </c:barChart>
      <c:catAx>
        <c:axId val="6264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6467136"/>
        <c:crosses val="autoZero"/>
        <c:auto val="1"/>
        <c:lblAlgn val="ctr"/>
        <c:lblOffset val="100"/>
        <c:noMultiLvlLbl val="0"/>
      </c:catAx>
      <c:valAx>
        <c:axId val="626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64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142875</xdr:rowOff>
    </xdr:from>
    <xdr:to>
      <xdr:col>11</xdr:col>
      <xdr:colOff>787400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CE31F-ABE2-AE2A-ECA9-1D5DA22D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localdom.net\TI%20Folders%20D02\Organization\C014\Motor\Kommercielle%20opgaver%202024\TekKat\GRON_BEREGNER_KWI_10.xlsm" TargetMode="External"/><Relationship Id="rId1" Type="http://schemas.openxmlformats.org/officeDocument/2006/relationships/externalLinkPath" Target="GRON_BEREGNER_KWI_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mskrivninger"/>
      <sheetName val="Test order"/>
      <sheetName val="Front end"/>
      <sheetName val="Ark1"/>
      <sheetName val="Vehicles"/>
      <sheetName val="Cycles"/>
      <sheetName val="Engine types"/>
      <sheetName val="Fuels"/>
      <sheetName val="AllExtras"/>
      <sheetName val="Fleet1"/>
      <sheetName val="Fleet2"/>
      <sheetName val="FleetsComparison"/>
      <sheetName val="ExtrasComparison"/>
      <sheetName val="Gearboxes"/>
      <sheetName val="VolvoB12B"/>
      <sheetName val="VolvoB12B (2)"/>
      <sheetName val="scania_320"/>
      <sheetName val="scania_320 (2)"/>
      <sheetName val="Diesel"/>
      <sheetName val="Diesel (2)"/>
      <sheetName val="Electric"/>
      <sheetName val="Electric (2)"/>
      <sheetName val="FC"/>
      <sheetName val="WHVC_FRAME"/>
      <sheetName val="FC (2)"/>
      <sheetName val="RigitTruckTW_Urban"/>
      <sheetName val="Linje 1A"/>
      <sheetName val="FIGE"/>
      <sheetName val="FIGE_HIGHWAY"/>
    </sheetNames>
    <sheetDataSet>
      <sheetData sheetId="0">
        <row r="3">
          <cell r="N3">
            <v>0.443</v>
          </cell>
          <cell r="O3">
            <v>0.42699999999999999</v>
          </cell>
          <cell r="P3">
            <v>0.56499999999999995</v>
          </cell>
        </row>
        <row r="5">
          <cell r="S5">
            <v>119.88</v>
          </cell>
        </row>
        <row r="6">
          <cell r="N6">
            <v>6.1</v>
          </cell>
          <cell r="P6">
            <v>3.8</v>
          </cell>
          <cell r="S6">
            <v>36</v>
          </cell>
        </row>
        <row r="7">
          <cell r="S7">
            <v>1.6093440000000001</v>
          </cell>
        </row>
        <row r="8">
          <cell r="N8">
            <v>250</v>
          </cell>
          <cell r="P8">
            <v>60</v>
          </cell>
          <cell r="S8">
            <v>7.52</v>
          </cell>
        </row>
        <row r="9">
          <cell r="N9">
            <v>325</v>
          </cell>
          <cell r="P9">
            <v>100</v>
          </cell>
          <cell r="S9">
            <v>3.6</v>
          </cell>
        </row>
        <row r="10">
          <cell r="N10">
            <v>1400</v>
          </cell>
          <cell r="P10">
            <v>500</v>
          </cell>
          <cell r="S10">
            <v>74.5</v>
          </cell>
        </row>
        <row r="11">
          <cell r="N11">
            <v>60</v>
          </cell>
          <cell r="P11">
            <v>37.377049180327873</v>
          </cell>
        </row>
        <row r="12">
          <cell r="N12">
            <v>300</v>
          </cell>
          <cell r="P12">
            <v>100</v>
          </cell>
        </row>
        <row r="47">
          <cell r="B47">
            <v>0.84</v>
          </cell>
        </row>
      </sheetData>
      <sheetData sheetId="1">
        <row r="1">
          <cell r="A1" t="str">
            <v>Vehicle</v>
          </cell>
          <cell r="B1" t="str">
            <v>Route</v>
          </cell>
          <cell r="C1" t="str">
            <v>Engine</v>
          </cell>
          <cell r="D1" t="str">
            <v>Fuel</v>
          </cell>
          <cell r="E1" t="str">
            <v>Total MJ/km</v>
          </cell>
          <cell r="F1" t="str">
            <v>Mechanical MJ/km</v>
          </cell>
          <cell r="G1" t="str">
            <v>Efficiency %</v>
          </cell>
          <cell r="H1" t="str">
            <v>Fuel Economy</v>
          </cell>
          <cell r="I1" t="str">
            <v>Enhed</v>
          </cell>
          <cell r="J1" t="str">
            <v>Case</v>
          </cell>
          <cell r="K1" t="str">
            <v>Note</v>
          </cell>
          <cell r="L1" t="str">
            <v>Year</v>
          </cell>
        </row>
        <row r="2">
          <cell r="A2" t="str">
            <v>2022 RIGID TRUCK - EMPTY</v>
          </cell>
          <cell r="B2" t="str">
            <v>URBAN DELIVERY</v>
          </cell>
          <cell r="C2" t="str">
            <v>Diesel 380 kW</v>
          </cell>
          <cell r="D2" t="str">
            <v>Diesel</v>
          </cell>
          <cell r="E2">
            <v>8.2516787263615647</v>
          </cell>
          <cell r="F2">
            <v>1.1974543929100037</v>
          </cell>
          <cell r="G2">
            <v>0.14511645843463425</v>
          </cell>
          <cell r="H2">
            <v>4.3627486228942871</v>
          </cell>
          <cell r="I2" t="str">
            <v>km/l</v>
          </cell>
          <cell r="J2" t="str">
            <v>Diesel 2022 RIGID TRUCK - EMPTY Diesel 380 kW URBAN DELIVERY 11000 kg 22.9 l /100km 15%</v>
          </cell>
          <cell r="M2">
            <v>11000</v>
          </cell>
        </row>
        <row r="3">
          <cell r="A3" t="str">
            <v>2022 RIGID TRUCK - EMPTY</v>
          </cell>
          <cell r="B3" t="str">
            <v>REGIONAL DELIVERY</v>
          </cell>
          <cell r="C3" t="str">
            <v>Diesel 380 kW</v>
          </cell>
          <cell r="D3" t="str">
            <v>Diesel</v>
          </cell>
          <cell r="E3">
            <v>7.1227235414272885</v>
          </cell>
          <cell r="F3">
            <v>1.8814160823822021</v>
          </cell>
          <cell r="G3">
            <v>0.26414279193057016</v>
          </cell>
          <cell r="H3">
            <v>5.0542464256286621</v>
          </cell>
          <cell r="I3" t="str">
            <v>km/l</v>
          </cell>
          <cell r="J3" t="str">
            <v>Diesel 2022 RIGID TRUCK - EMPTY Diesel 380 kW REGIONAL DELIVERY 11000 kg 19.8 l /100km 26%</v>
          </cell>
          <cell r="M3">
            <v>11000</v>
          </cell>
        </row>
        <row r="4">
          <cell r="A4" t="str">
            <v>2022 RIGID TRUCK - EMPTY</v>
          </cell>
          <cell r="B4" t="str">
            <v>LONG HAUL</v>
          </cell>
          <cell r="C4" t="str">
            <v>Diesel 380 kW</v>
          </cell>
          <cell r="D4" t="str">
            <v>Diesel</v>
          </cell>
          <cell r="E4">
            <v>7.0714803548634499</v>
          </cell>
          <cell r="F4">
            <v>2.3215257525444031</v>
          </cell>
          <cell r="G4">
            <v>0.32829416699825248</v>
          </cell>
          <cell r="H4">
            <v>5.0908718109130859</v>
          </cell>
          <cell r="I4" t="str">
            <v>km/l</v>
          </cell>
          <cell r="J4" t="str">
            <v>Diesel 2022 RIGID TRUCK - EMPTY Diesel 380 kW LONG HAUL 11000 kg 19.6 l /100km 33%</v>
          </cell>
          <cell r="M4">
            <v>11000</v>
          </cell>
        </row>
        <row r="5">
          <cell r="A5" t="str">
            <v>2022 RIGID TRUCK - TYPICAL</v>
          </cell>
          <cell r="B5" t="str">
            <v>URBAN DELIVERY</v>
          </cell>
          <cell r="C5" t="str">
            <v>Diesel 380 kW</v>
          </cell>
          <cell r="D5" t="str">
            <v>Diesel</v>
          </cell>
          <cell r="E5">
            <v>10.579715959447361</v>
          </cell>
          <cell r="F5">
            <v>1.5233623385429382</v>
          </cell>
          <cell r="G5">
            <v>0.14398896382304313</v>
          </cell>
          <cell r="H5">
            <v>3.4027378559112549</v>
          </cell>
          <cell r="I5" t="str">
            <v>km/l</v>
          </cell>
          <cell r="J5" t="str">
            <v>Diesel 2022 RIGID TRUCK - TYPICAL Diesel 380 kW URBAN DELIVERY 17645 kg 29.4 l /100km 14%</v>
          </cell>
          <cell r="M5">
            <v>17645</v>
          </cell>
        </row>
        <row r="6">
          <cell r="A6" t="str">
            <v>2022 RIGID TRUCK - TYPICAL</v>
          </cell>
          <cell r="B6" t="str">
            <v>REGIONAL DELIVERY</v>
          </cell>
          <cell r="C6" t="str">
            <v>Diesel 380 kW</v>
          </cell>
          <cell r="D6" t="str">
            <v>Diesel</v>
          </cell>
          <cell r="E6">
            <v>8.5012256250158345</v>
          </cell>
          <cell r="F6">
            <v>2.2073662877082825</v>
          </cell>
          <cell r="G6">
            <v>0.25965271186461081</v>
          </cell>
          <cell r="H6">
            <v>4.2346835136413574</v>
          </cell>
          <cell r="I6" t="str">
            <v>km/l</v>
          </cell>
          <cell r="J6" t="str">
            <v>Diesel 2022 RIGID TRUCK - TYPICAL Diesel 380 kW REGIONAL DELIVERY 17645 kg 23.6 l /100km 26%</v>
          </cell>
          <cell r="M6">
            <v>17645</v>
          </cell>
        </row>
        <row r="7">
          <cell r="A7" t="str">
            <v>2022 RIGID TRUCK - TYPICAL</v>
          </cell>
          <cell r="B7" t="str">
            <v>LONG HAUL</v>
          </cell>
          <cell r="C7" t="str">
            <v>Diesel 380 kW</v>
          </cell>
          <cell r="D7" t="str">
            <v>Diesel</v>
          </cell>
          <cell r="E7">
            <v>7.8769592375098538</v>
          </cell>
          <cell r="F7">
            <v>2.6474876999855042</v>
          </cell>
          <cell r="G7">
            <v>0.33610529395381961</v>
          </cell>
          <cell r="H7">
            <v>4.5702915191650391</v>
          </cell>
          <cell r="I7" t="str">
            <v>km/l</v>
          </cell>
          <cell r="J7" t="str">
            <v>Diesel 2022 RIGID TRUCK - TYPICAL Diesel 380 kW LONG HAUL 17645 kg 21.9 l /100km 34%</v>
          </cell>
          <cell r="M7">
            <v>17645</v>
          </cell>
        </row>
        <row r="8">
          <cell r="A8" t="str">
            <v>2022 RIGID TRUCK - FULL</v>
          </cell>
          <cell r="B8" t="str">
            <v>URBAN DELIVERY</v>
          </cell>
          <cell r="C8" t="str">
            <v>Diesel 380 kW</v>
          </cell>
          <cell r="D8" t="str">
            <v>Diesel</v>
          </cell>
          <cell r="E8">
            <v>13.610932089811362</v>
          </cell>
          <cell r="F8">
            <v>1.9331322908401489</v>
          </cell>
          <cell r="G8">
            <v>0.14202791389189429</v>
          </cell>
          <cell r="H8">
            <v>2.644932746887207</v>
          </cell>
          <cell r="I8" t="str">
            <v>km/l</v>
          </cell>
          <cell r="J8" t="str">
            <v>Diesel 2022 RIGID TRUCK - FULL Diesel 380 kW URBAN DELIVERY 26000 kg 37.8 l /100km 14%</v>
          </cell>
          <cell r="M8">
            <v>26000</v>
          </cell>
        </row>
        <row r="9">
          <cell r="A9" t="str">
            <v>2022 RIGID TRUCK - FULL</v>
          </cell>
          <cell r="B9" t="str">
            <v>REGIONAL DELIVERY</v>
          </cell>
          <cell r="C9" t="str">
            <v>Diesel 380 kW</v>
          </cell>
          <cell r="D9" t="str">
            <v>Diesel</v>
          </cell>
          <cell r="E9">
            <v>10.268412645422764</v>
          </cell>
          <cell r="F9">
            <v>2.6171222925186157</v>
          </cell>
          <cell r="G9">
            <v>0.25487116489082867</v>
          </cell>
          <cell r="H9">
            <v>3.5058972835540771</v>
          </cell>
          <cell r="I9" t="str">
            <v>km/l</v>
          </cell>
          <cell r="J9" t="str">
            <v>Diesel 2022 RIGID TRUCK - FULL Diesel 380 kW REGIONAL DELIVERY 26000 kg 28.5 l /100km 25%</v>
          </cell>
          <cell r="M9">
            <v>26000</v>
          </cell>
        </row>
        <row r="10">
          <cell r="A10" t="str">
            <v>2022 RIGID TRUCK - FULL</v>
          </cell>
          <cell r="B10" t="str">
            <v>LONG HAUL</v>
          </cell>
          <cell r="C10" t="str">
            <v>Diesel 380 kW</v>
          </cell>
          <cell r="D10" t="str">
            <v>Diesel</v>
          </cell>
          <cell r="E10">
            <v>9.0620562181980944</v>
          </cell>
          <cell r="F10">
            <v>3.0573092699050903</v>
          </cell>
          <cell r="G10">
            <v>0.33737478518015723</v>
          </cell>
          <cell r="H10">
            <v>3.9726083278656006</v>
          </cell>
          <cell r="I10" t="str">
            <v>km/l</v>
          </cell>
          <cell r="J10" t="str">
            <v>Diesel 2022 RIGID TRUCK - FULL Diesel 380 kW LONG HAUL 26000 kg 25.2 l /100km 34%</v>
          </cell>
          <cell r="M10">
            <v>26000</v>
          </cell>
        </row>
        <row r="11">
          <cell r="A11" t="str">
            <v>2022 TRUCK WITH TRAILER - EMPTY</v>
          </cell>
          <cell r="B11" t="str">
            <v>URBAN DELIVERY</v>
          </cell>
          <cell r="C11" t="str">
            <v>Diesel 380 kW</v>
          </cell>
          <cell r="D11" t="str">
            <v>Diesel</v>
          </cell>
          <cell r="E11">
            <v>10.254203005790899</v>
          </cell>
          <cell r="F11">
            <v>1.5688545703887939</v>
          </cell>
          <cell r="G11">
            <v>0.15299624646623519</v>
          </cell>
          <cell r="H11">
            <v>3.5107555389404297</v>
          </cell>
          <cell r="I11" t="str">
            <v>km/l</v>
          </cell>
          <cell r="J11" t="str">
            <v>Diesel 2022 TRUCK WITH TRAILER - EMPTY Diesel 380 kW URBAN DELIVERY 15796.73931275 kg 28.5 l /100km 15%</v>
          </cell>
          <cell r="M11">
            <v>15796.73931275</v>
          </cell>
        </row>
        <row r="12">
          <cell r="A12" t="str">
            <v>2022 TRUCK WITH TRAILER - EMPTY</v>
          </cell>
          <cell r="B12" t="str">
            <v>REGIONAL DELIVERY</v>
          </cell>
          <cell r="C12" t="str">
            <v>Diesel 380 kW</v>
          </cell>
          <cell r="D12" t="str">
            <v>Diesel</v>
          </cell>
          <cell r="E12">
            <v>8.719593096669108</v>
          </cell>
          <cell r="F12">
            <v>2.3943417072296143</v>
          </cell>
          <cell r="G12">
            <v>0.2745932844210649</v>
          </cell>
          <cell r="H12">
            <v>4.1286330223083496</v>
          </cell>
          <cell r="I12" t="str">
            <v>km/l</v>
          </cell>
          <cell r="J12" t="str">
            <v>Diesel 2022 TRUCK WITH TRAILER - EMPTY Diesel 380 kW REGIONAL DELIVERY 15796.73931275 kg 24.2 l /100km 27%</v>
          </cell>
          <cell r="M12">
            <v>15796.73931275</v>
          </cell>
        </row>
        <row r="13">
          <cell r="A13" t="str">
            <v>2022 TRUCK WITH TRAILER - EMPTY</v>
          </cell>
          <cell r="B13" t="str">
            <v>LONG HAUL</v>
          </cell>
          <cell r="C13" t="str">
            <v>Diesel 380 kW</v>
          </cell>
          <cell r="D13" t="str">
            <v>Diesel</v>
          </cell>
          <cell r="E13">
            <v>8.4819385395005877</v>
          </cell>
          <cell r="F13">
            <v>2.925517737865448</v>
          </cell>
          <cell r="G13">
            <v>0.34491145205087764</v>
          </cell>
          <cell r="H13">
            <v>4.2443127632141113</v>
          </cell>
          <cell r="I13" t="str">
            <v>km/l</v>
          </cell>
          <cell r="J13" t="str">
            <v>Diesel 2022 TRUCK WITH TRAILER - EMPTY Diesel 380 kW LONG HAUL 15796.73931275 kg 23.6 l /100km 34%</v>
          </cell>
          <cell r="M13">
            <v>15796.73931275</v>
          </cell>
        </row>
        <row r="14">
          <cell r="A14" t="str">
            <v>2022 TRUCK WITH TRAILER - TYPICAL</v>
          </cell>
          <cell r="B14" t="str">
            <v>URBAN DELIVERY</v>
          </cell>
          <cell r="C14" t="str">
            <v>Diesel 380 kW</v>
          </cell>
          <cell r="D14" t="str">
            <v>Diesel</v>
          </cell>
          <cell r="E14">
            <v>15.772049279799049</v>
          </cell>
          <cell r="F14">
            <v>2.4105488657951355</v>
          </cell>
          <cell r="G14">
            <v>0.15283675716652645</v>
          </cell>
          <cell r="H14">
            <v>2.2825188636779785</v>
          </cell>
          <cell r="I14" t="str">
            <v>km/l</v>
          </cell>
          <cell r="J14" t="str">
            <v>Diesel 2022 TRUCK WITH TRAILER - TYPICAL Diesel 380 kW URBAN DELIVERY 32963.5316262057 kg 43.8 l /100km 15%</v>
          </cell>
          <cell r="M14">
            <v>32963.531626205746</v>
          </cell>
        </row>
        <row r="15">
          <cell r="A15" t="str">
            <v>2022 TRUCK WITH TRAILER - TYPICAL</v>
          </cell>
          <cell r="B15" t="str">
            <v>REGIONAL DELIVERY</v>
          </cell>
          <cell r="C15" t="str">
            <v>Diesel 380 kW</v>
          </cell>
          <cell r="D15" t="str">
            <v>Diesel</v>
          </cell>
          <cell r="E15">
            <v>12.434105802631525</v>
          </cell>
          <cell r="F15">
            <v>3.235681414604187</v>
          </cell>
          <cell r="G15">
            <v>0.26022630545088293</v>
          </cell>
          <cell r="H15">
            <v>2.8952624797821045</v>
          </cell>
          <cell r="I15" t="str">
            <v>km/l</v>
          </cell>
          <cell r="J15" t="str">
            <v>Diesel 2022 TRUCK WITH TRAILER - TYPICAL Diesel 380 kW REGIONAL DELIVERY 32963.5316262057 kg 34.5 l /100km 26%</v>
          </cell>
          <cell r="M15">
            <v>32963.531626205746</v>
          </cell>
        </row>
        <row r="16">
          <cell r="A16" t="str">
            <v>2022 TRUCK WITH TRAILER - TYPICAL</v>
          </cell>
          <cell r="B16" t="str">
            <v>LONG HAUL</v>
          </cell>
          <cell r="C16" t="str">
            <v>Diesel 380 kW</v>
          </cell>
          <cell r="D16" t="str">
            <v>Diesel</v>
          </cell>
          <cell r="E16">
            <v>10.944093307680292</v>
          </cell>
          <cell r="F16">
            <v>3.7675856351852417</v>
          </cell>
          <cell r="G16">
            <v>0.34425744822015031</v>
          </cell>
          <cell r="H16">
            <v>3.2894456386566162</v>
          </cell>
          <cell r="I16" t="str">
            <v>km/l</v>
          </cell>
          <cell r="J16" t="str">
            <v>Diesel 2022 TRUCK WITH TRAILER - TYPICAL Diesel 380 kW LONG HAUL 32963.5316262057 kg 30.4 l /100km 34%</v>
          </cell>
          <cell r="M16">
            <v>32963.531626205746</v>
          </cell>
        </row>
        <row r="17">
          <cell r="A17" t="str">
            <v>2022 TRUCK WITH TRAILER - FULL</v>
          </cell>
          <cell r="B17" t="str">
            <v>URBAN DELIVERY</v>
          </cell>
          <cell r="C17" t="str">
            <v>Diesel 380 kW</v>
          </cell>
          <cell r="D17" t="str">
            <v>Diesel</v>
          </cell>
          <cell r="E17">
            <v>19.864838794724353</v>
          </cell>
          <cell r="F17">
            <v>3.5236313939094543</v>
          </cell>
          <cell r="G17">
            <v>0.17738031656442388</v>
          </cell>
          <cell r="H17">
            <v>1.8122472763061523</v>
          </cell>
          <cell r="I17" t="str">
            <v>km/l</v>
          </cell>
          <cell r="J17" t="str">
            <v>Diesel 2022 TRUCK WITH TRAILER - FULL Diesel 380 kW URBAN DELIVERY 56000 kg 55.2 l /100km 18%</v>
          </cell>
          <cell r="M17">
            <v>56000</v>
          </cell>
        </row>
        <row r="18">
          <cell r="A18" t="str">
            <v>2022 TRUCK WITH TRAILER - FULL</v>
          </cell>
          <cell r="B18" t="str">
            <v>REGIONAL DELIVERY</v>
          </cell>
          <cell r="C18" t="str">
            <v>Diesel 380 kW</v>
          </cell>
          <cell r="D18" t="str">
            <v>Diesel</v>
          </cell>
          <cell r="E18">
            <v>16.395754204430194</v>
          </cell>
          <cell r="F18">
            <v>4.361417293548584</v>
          </cell>
          <cell r="G18">
            <v>0.26600894592394614</v>
          </cell>
          <cell r="H18">
            <v>2.195690393447876</v>
          </cell>
          <cell r="I18" t="str">
            <v>km/l</v>
          </cell>
          <cell r="J18" t="str">
            <v>Diesel 2022 TRUCK WITH TRAILER - FULL Diesel 380 kW REGIONAL DELIVERY 56000 kg 45.5 l /100km 27%</v>
          </cell>
          <cell r="M18">
            <v>56000</v>
          </cell>
        </row>
        <row r="19">
          <cell r="A19" t="str">
            <v>2022 TRUCK WITH TRAILER - FULL</v>
          </cell>
          <cell r="B19" t="str">
            <v>LONG HAUL</v>
          </cell>
          <cell r="C19" t="str">
            <v>Diesel 380 kW</v>
          </cell>
          <cell r="D19" t="str">
            <v>Diesel</v>
          </cell>
          <cell r="E19">
            <v>13.547426687798968</v>
          </cell>
          <cell r="F19">
            <v>4.8971879482269287</v>
          </cell>
          <cell r="G19">
            <v>0.36148473515176249</v>
          </cell>
          <cell r="H19">
            <v>2.6573312282562256</v>
          </cell>
          <cell r="I19" t="str">
            <v>km/l</v>
          </cell>
          <cell r="J19" t="str">
            <v>Diesel 2022 TRUCK WITH TRAILER - FULL Diesel 380 kW LONG HAUL 56000 kg 37.6 l /100km 36%</v>
          </cell>
          <cell r="M19">
            <v>56000</v>
          </cell>
        </row>
        <row r="20">
          <cell r="A20" t="str">
            <v>2022 SEMI TRUCK - EMPTY</v>
          </cell>
          <cell r="B20" t="str">
            <v>URBAN DELIVERY</v>
          </cell>
          <cell r="C20" t="str">
            <v>Diesel 380 kW</v>
          </cell>
          <cell r="D20" t="str">
            <v>Diesel</v>
          </cell>
          <cell r="E20">
            <v>9.3417169079168509</v>
          </cell>
          <cell r="F20">
            <v>1.367280900478363</v>
          </cell>
          <cell r="G20">
            <v>0.14636291315139616</v>
          </cell>
          <cell r="H20">
            <v>3.8536813259124756</v>
          </cell>
          <cell r="I20" t="str">
            <v>km/l</v>
          </cell>
          <cell r="J20" t="str">
            <v>Diesel 2022 SEMI TRUCK - EMPTY Diesel 380 kW URBAN DELIVERY 14000 kg 25.9 l /100km 15%</v>
          </cell>
          <cell r="M20">
            <v>14000</v>
          </cell>
        </row>
        <row r="21">
          <cell r="A21" t="str">
            <v>2022 SEMI TRUCK - EMPTY</v>
          </cell>
          <cell r="B21" t="str">
            <v>REGIONAL DELIVERY</v>
          </cell>
          <cell r="C21" t="str">
            <v>Diesel 380 kW</v>
          </cell>
          <cell r="D21" t="str">
            <v>Diesel</v>
          </cell>
          <cell r="E21">
            <v>7.8320876957620662</v>
          </cell>
          <cell r="F21">
            <v>2.0748434066772461</v>
          </cell>
          <cell r="G21">
            <v>0.26491575264152639</v>
          </cell>
          <cell r="H21">
            <v>4.5964756011962891</v>
          </cell>
          <cell r="I21" t="str">
            <v>km/l</v>
          </cell>
          <cell r="J21" t="str">
            <v>Diesel 2022 SEMI TRUCK - EMPTY Diesel 380 kW REGIONAL DELIVERY 14000 kg 21.8 l /100km 26%</v>
          </cell>
          <cell r="M21">
            <v>14000</v>
          </cell>
        </row>
        <row r="22">
          <cell r="A22" t="str">
            <v>2022 SEMI TRUCK - EMPTY</v>
          </cell>
          <cell r="B22" t="str">
            <v>LONG HAUL</v>
          </cell>
          <cell r="C22" t="str">
            <v>Diesel 380 kW</v>
          </cell>
          <cell r="D22" t="str">
            <v>Diesel</v>
          </cell>
          <cell r="E22">
            <v>7.5527615071174914</v>
          </cell>
          <cell r="F22">
            <v>2.5301356315612793</v>
          </cell>
          <cell r="G22">
            <v>0.33499477365688785</v>
          </cell>
          <cell r="H22">
            <v>4.7664685249328613</v>
          </cell>
          <cell r="I22" t="str">
            <v>km/l</v>
          </cell>
          <cell r="J22" t="str">
            <v>Diesel 2022 SEMI TRUCK - EMPTY Diesel 380 kW LONG HAUL 14000 kg 21.0 l /100km 33%</v>
          </cell>
          <cell r="M22">
            <v>14000</v>
          </cell>
        </row>
        <row r="23">
          <cell r="A23" t="str">
            <v>2022 SEMI TRUCK - TYPICAL</v>
          </cell>
          <cell r="B23" t="str">
            <v>URBAN DELIVERY</v>
          </cell>
          <cell r="C23" t="str">
            <v>Diesel 380 kW</v>
          </cell>
          <cell r="D23" t="str">
            <v>Diesel</v>
          </cell>
          <cell r="E23">
            <v>15.669417762014669</v>
          </cell>
          <cell r="F23">
            <v>2.3645432591438293</v>
          </cell>
          <cell r="G23">
            <v>0.15090179450546554</v>
          </cell>
          <cell r="H23">
            <v>2.297468900680542</v>
          </cell>
          <cell r="I23" t="str">
            <v>km/l</v>
          </cell>
          <cell r="J23" t="str">
            <v>Diesel 2022 SEMI TRUCK - TYPICAL Diesel 380 kW URBAN DELIVERY 34340 kg 43.5 l /100km 15%</v>
          </cell>
          <cell r="M23">
            <v>34340</v>
          </cell>
        </row>
        <row r="24">
          <cell r="A24" t="str">
            <v>2022 SEMI TRUCK - TYPICAL</v>
          </cell>
          <cell r="B24" t="str">
            <v>REGIONAL DELIVERY</v>
          </cell>
          <cell r="C24" t="str">
            <v>Diesel 380 kW</v>
          </cell>
          <cell r="D24" t="str">
            <v>Diesel</v>
          </cell>
          <cell r="E24">
            <v>12.234415688643628</v>
          </cell>
          <cell r="F24">
            <v>3.071841835975647</v>
          </cell>
          <cell r="G24">
            <v>0.25108202256255097</v>
          </cell>
          <cell r="H24">
            <v>2.942518949508667</v>
          </cell>
          <cell r="I24" t="str">
            <v>km/l</v>
          </cell>
          <cell r="J24" t="str">
            <v>Diesel 2022 SEMI TRUCK - TYPICAL Diesel 380 kW REGIONAL DELIVERY 34340 kg 34.0 l /100km 25%</v>
          </cell>
          <cell r="M24">
            <v>34340</v>
          </cell>
        </row>
        <row r="25">
          <cell r="A25" t="str">
            <v>2022 SEMI TRUCK - TYPICAL</v>
          </cell>
          <cell r="B25" t="str">
            <v>LONG HAUL</v>
          </cell>
          <cell r="C25" t="str">
            <v>Diesel 380 kW</v>
          </cell>
          <cell r="D25" t="str">
            <v>Diesel</v>
          </cell>
          <cell r="E25">
            <v>10.460562393905736</v>
          </cell>
          <cell r="F25">
            <v>3.5278383493423462</v>
          </cell>
          <cell r="G25">
            <v>0.33725130796004282</v>
          </cell>
          <cell r="H25">
            <v>3.4414975643157959</v>
          </cell>
          <cell r="I25" t="str">
            <v>km/l</v>
          </cell>
          <cell r="J25" t="str">
            <v>Diesel 2022 SEMI TRUCK - TYPICAL Diesel 380 kW LONG HAUL 34340 kg 29.1 l /100km 34%</v>
          </cell>
          <cell r="M25">
            <v>34340</v>
          </cell>
        </row>
        <row r="26">
          <cell r="A26" t="str">
            <v>2022 SEMI TRUCK - FULL</v>
          </cell>
          <cell r="B26" t="str">
            <v>URBAN DELIVERY</v>
          </cell>
          <cell r="C26" t="str">
            <v>Diesel 380 kW</v>
          </cell>
          <cell r="D26" t="str">
            <v>Diesel</v>
          </cell>
          <cell r="E26">
            <v>18.469426968064372</v>
          </cell>
          <cell r="F26">
            <v>3.1235120296478271</v>
          </cell>
          <cell r="G26">
            <v>0.16911797182710192</v>
          </cell>
          <cell r="H26">
            <v>1.9491671323776245</v>
          </cell>
          <cell r="I26" t="str">
            <v>km/l</v>
          </cell>
          <cell r="J26" t="str">
            <v>Diesel 2022 SEMI TRUCK - FULL Diesel 380 kW URBAN DELIVERY 50000 kg 51.3 l /100km 17%</v>
          </cell>
          <cell r="M26">
            <v>50000</v>
          </cell>
        </row>
        <row r="27">
          <cell r="A27" t="str">
            <v>2022 SEMI TRUCK - FULL</v>
          </cell>
          <cell r="B27" t="str">
            <v>REGIONAL DELIVERY</v>
          </cell>
          <cell r="C27" t="str">
            <v>Diesel 380 kW</v>
          </cell>
          <cell r="D27" t="str">
            <v>Diesel</v>
          </cell>
          <cell r="E27">
            <v>15.345140950855388</v>
          </cell>
          <cell r="F27">
            <v>3.8378890752792358</v>
          </cell>
          <cell r="G27">
            <v>0.25010451761704405</v>
          </cell>
          <cell r="H27">
            <v>2.3460195064544678</v>
          </cell>
          <cell r="I27" t="str">
            <v>km/l</v>
          </cell>
          <cell r="J27" t="str">
            <v>Diesel 2022 SEMI TRUCK - FULL Diesel 380 kW REGIONAL DELIVERY 50000 kg 42.6 l /100km 25%</v>
          </cell>
          <cell r="M27">
            <v>50000</v>
          </cell>
        </row>
        <row r="28">
          <cell r="A28" t="str">
            <v>2022 SEMI TRUCK - FULL</v>
          </cell>
          <cell r="B28" t="str">
            <v>LONG HAUL</v>
          </cell>
          <cell r="C28" t="str">
            <v>Diesel 380 kW</v>
          </cell>
          <cell r="D28" t="str">
            <v>Diesel</v>
          </cell>
          <cell r="E28">
            <v>12.684605539661932</v>
          </cell>
          <cell r="F28">
            <v>4.2958687543869019</v>
          </cell>
          <cell r="G28">
            <v>0.33866790267578117</v>
          </cell>
          <cell r="H28">
            <v>2.8380858898162842</v>
          </cell>
          <cell r="I28" t="str">
            <v>km/l</v>
          </cell>
          <cell r="J28" t="str">
            <v>Diesel 2022 SEMI TRUCK - FULL Diesel 380 kW LONG HAUL 50000 kg 35.2 l /100km 34%</v>
          </cell>
          <cell r="M28">
            <v>50000</v>
          </cell>
        </row>
        <row r="29">
          <cell r="A29" t="str">
            <v>2022 CITY BUS - EMPTY</v>
          </cell>
          <cell r="B29" t="str">
            <v>CITY ROUTE</v>
          </cell>
          <cell r="C29" t="str">
            <v>Diesel 380 kW</v>
          </cell>
          <cell r="D29" t="str">
            <v>Diesel</v>
          </cell>
          <cell r="E29">
            <v>10.70455895492216</v>
          </cell>
          <cell r="F29">
            <v>1.1445028185844421</v>
          </cell>
          <cell r="G29">
            <v>0.10691732591730722</v>
          </cell>
          <cell r="H29">
            <v>3.3630530834197998</v>
          </cell>
          <cell r="I29" t="str">
            <v>km/l</v>
          </cell>
          <cell r="J29" t="str">
            <v>Diesel 2022 CITY BUS - EMPTY Diesel 380 kW CITY ROUTE 11125 kg 29.7 l /100km 11%</v>
          </cell>
          <cell r="M29">
            <v>11125</v>
          </cell>
        </row>
        <row r="30">
          <cell r="A30" t="str">
            <v>2022 CITY BUS - EMPTY</v>
          </cell>
          <cell r="B30" t="str">
            <v>RURAL ROUTE</v>
          </cell>
          <cell r="C30" t="str">
            <v>Diesel 380 kW</v>
          </cell>
          <cell r="D30" t="str">
            <v>Diesel</v>
          </cell>
          <cell r="E30">
            <v>7.524467247388948</v>
          </cell>
          <cell r="F30">
            <v>2.0494906306266785</v>
          </cell>
          <cell r="G30">
            <v>0.27237684253830308</v>
          </cell>
          <cell r="H30">
            <v>4.7843918800354004</v>
          </cell>
          <cell r="I30" t="str">
            <v>km/l</v>
          </cell>
          <cell r="J30" t="str">
            <v>Diesel 2022 CITY BUS - EMPTY Diesel 380 kW RURAL ROUTE 11125 kg 20.9 l /100km 27%</v>
          </cell>
          <cell r="M30">
            <v>11125</v>
          </cell>
        </row>
        <row r="31">
          <cell r="A31" t="str">
            <v>2022 CITY BUS - EMPTY</v>
          </cell>
          <cell r="B31" t="str">
            <v>MOTORWAY</v>
          </cell>
          <cell r="C31" t="str">
            <v>Diesel 380 kW</v>
          </cell>
          <cell r="D31" t="str">
            <v>Diesel</v>
          </cell>
          <cell r="E31">
            <v>7.5902594507926615</v>
          </cell>
          <cell r="F31">
            <v>2.5427176952362061</v>
          </cell>
          <cell r="G31">
            <v>0.3349974677045679</v>
          </cell>
          <cell r="H31">
            <v>4.7429208755493164</v>
          </cell>
          <cell r="I31" t="str">
            <v>km/l</v>
          </cell>
          <cell r="J31" t="str">
            <v>Diesel 2022 CITY BUS - EMPTY Diesel 380 kW MOTORWAY 11125 kg 21.1 l /100km 33%</v>
          </cell>
          <cell r="M31">
            <v>11125</v>
          </cell>
        </row>
        <row r="32">
          <cell r="A32" t="str">
            <v>2022 CITY BUS - TYPICAL</v>
          </cell>
          <cell r="B32" t="str">
            <v>CITY ROUTE</v>
          </cell>
          <cell r="C32" t="str">
            <v>Diesel 380 kW</v>
          </cell>
          <cell r="D32" t="str">
            <v>Diesel</v>
          </cell>
          <cell r="E32">
            <v>11.015199441605525</v>
          </cell>
          <cell r="F32">
            <v>1.1726443767547607</v>
          </cell>
          <cell r="G32">
            <v>0.10645693552543081</v>
          </cell>
          <cell r="H32">
            <v>3.2682113647460938</v>
          </cell>
          <cell r="I32" t="str">
            <v>km/l</v>
          </cell>
          <cell r="J32" t="str">
            <v>Diesel 2022 CITY BUS - TYPICAL Diesel 380 kW CITY ROUTE 11699 kg 30.6 l /100km 11%</v>
          </cell>
          <cell r="M32">
            <v>11699</v>
          </cell>
        </row>
        <row r="33">
          <cell r="A33" t="str">
            <v>2022 CITY BUS - TYPICAL</v>
          </cell>
          <cell r="B33" t="str">
            <v>RURAL ROUTE</v>
          </cell>
          <cell r="C33" t="str">
            <v>Diesel 380 kW</v>
          </cell>
          <cell r="D33" t="str">
            <v>Diesel</v>
          </cell>
          <cell r="E33">
            <v>7.6304568310389485</v>
          </cell>
          <cell r="F33">
            <v>2.0776464343070984</v>
          </cell>
          <cell r="G33">
            <v>0.27228336131274727</v>
          </cell>
          <cell r="H33">
            <v>4.7179350852966309</v>
          </cell>
          <cell r="I33" t="str">
            <v>km/l</v>
          </cell>
          <cell r="J33" t="str">
            <v>Diesel 2022 CITY BUS - TYPICAL Diesel 380 kW RURAL ROUTE 11699 kg 21.2 l /100km 27%</v>
          </cell>
          <cell r="M33">
            <v>11699</v>
          </cell>
        </row>
        <row r="34">
          <cell r="A34" t="str">
            <v>2022 CITY BUS - TYPICAL</v>
          </cell>
          <cell r="B34" t="str">
            <v>MOTORWAY</v>
          </cell>
          <cell r="C34" t="str">
            <v>Diesel 380 kW</v>
          </cell>
          <cell r="D34" t="str">
            <v>Diesel</v>
          </cell>
          <cell r="E34">
            <v>7.6590502723416147</v>
          </cell>
          <cell r="F34">
            <v>2.5708743333816528</v>
          </cell>
          <cell r="G34">
            <v>0.33566489864488835</v>
          </cell>
          <cell r="H34">
            <v>4.7003216743469238</v>
          </cell>
          <cell r="I34" t="str">
            <v>km/l</v>
          </cell>
          <cell r="J34" t="str">
            <v>Diesel 2022 CITY BUS - TYPICAL Diesel 380 kW MOTORWAY 11699 kg 21.3 l /100km 34%</v>
          </cell>
          <cell r="M34">
            <v>11699</v>
          </cell>
        </row>
        <row r="35">
          <cell r="A35" t="str">
            <v>2022 CITY BUS - FULL</v>
          </cell>
          <cell r="B35" t="str">
            <v>CITY ROUTE</v>
          </cell>
          <cell r="C35" t="str">
            <v>Diesel 380 kW</v>
          </cell>
          <cell r="D35" t="str">
            <v>Diesel</v>
          </cell>
          <cell r="E35">
            <v>14.19205043741646</v>
          </cell>
          <cell r="F35">
            <v>1.4804682731628418</v>
          </cell>
          <cell r="G35">
            <v>0.10431672855810031</v>
          </cell>
          <cell r="H35">
            <v>2.5366313457489014</v>
          </cell>
          <cell r="I35" t="str">
            <v>km/l</v>
          </cell>
          <cell r="J35" t="str">
            <v>Diesel 2022 CITY BUS - FULL Diesel 380 kW CITY ROUTE 18000 kg 39.4 l /100km 10%</v>
          </cell>
          <cell r="M35">
            <v>18000</v>
          </cell>
        </row>
        <row r="36">
          <cell r="A36" t="str">
            <v>2022 CITY BUS - FULL</v>
          </cell>
          <cell r="B36" t="str">
            <v>RURAL ROUTE</v>
          </cell>
          <cell r="C36" t="str">
            <v>Diesel 380 kW</v>
          </cell>
          <cell r="D36" t="str">
            <v>Diesel</v>
          </cell>
          <cell r="E36">
            <v>8.933591844245008</v>
          </cell>
          <cell r="F36">
            <v>2.3867251873016357</v>
          </cell>
          <cell r="G36">
            <v>0.26716299881543804</v>
          </cell>
          <cell r="H36">
            <v>4.0297341346740723</v>
          </cell>
          <cell r="I36" t="str">
            <v>km/l</v>
          </cell>
          <cell r="J36" t="str">
            <v>Diesel 2022 CITY BUS - FULL Diesel 380 kW RURAL ROUTE 18000 kg 24.8 l /100km 27%</v>
          </cell>
          <cell r="M36">
            <v>18000</v>
          </cell>
        </row>
        <row r="37">
          <cell r="A37" t="str">
            <v>2022 CITY BUS - FULL</v>
          </cell>
          <cell r="B37" t="str">
            <v>MOTORWAY</v>
          </cell>
          <cell r="C37" t="str">
            <v>Diesel 380 kW</v>
          </cell>
          <cell r="D37" t="str">
            <v>Diesel</v>
          </cell>
          <cell r="E37">
            <v>8.4089960781579425</v>
          </cell>
          <cell r="F37">
            <v>2.8799625039100647</v>
          </cell>
          <cell r="G37">
            <v>0.34248588977115368</v>
          </cell>
          <cell r="H37">
            <v>4.2811293601989746</v>
          </cell>
          <cell r="I37" t="str">
            <v>km/l</v>
          </cell>
          <cell r="J37" t="str">
            <v>Diesel 2022 CITY BUS - FULL Diesel 380 kW MOTORWAY 18000 kg 23.4 l /100km 34%</v>
          </cell>
          <cell r="M37">
            <v>18000</v>
          </cell>
        </row>
        <row r="38">
          <cell r="A38" t="str">
            <v>2022 TOURIST BUS - EMPTY</v>
          </cell>
          <cell r="B38" t="str">
            <v>CITY ROUTE</v>
          </cell>
          <cell r="C38" t="str">
            <v>Diesel 380 kW</v>
          </cell>
          <cell r="D38" t="str">
            <v>Diesel</v>
          </cell>
          <cell r="E38">
            <v>11.822357107741219</v>
          </cell>
          <cell r="F38">
            <v>1.1684503555297852</v>
          </cell>
          <cell r="G38">
            <v>9.8833958818981188E-2</v>
          </cell>
          <cell r="H38">
            <v>3.0450780391693115</v>
          </cell>
          <cell r="I38" t="str">
            <v>km/l</v>
          </cell>
          <cell r="J38" t="str">
            <v>Diesel 2022 TOURIST BUS - EMPTY Diesel 380 kW CITY ROUTE 13500 kg 32.8 l /100km 10%</v>
          </cell>
          <cell r="M38">
            <v>13500</v>
          </cell>
        </row>
        <row r="39">
          <cell r="A39" t="str">
            <v>2022 TOURIST BUS - EMPTY</v>
          </cell>
          <cell r="B39" t="str">
            <v>RURAL ROUTE</v>
          </cell>
          <cell r="C39" t="str">
            <v>Diesel 380 kW</v>
          </cell>
          <cell r="D39" t="str">
            <v>Diesel</v>
          </cell>
          <cell r="E39">
            <v>7.4648575860175672</v>
          </cell>
          <cell r="F39">
            <v>1.9346418380737305</v>
          </cell>
          <cell r="G39">
            <v>0.25916661045182032</v>
          </cell>
          <cell r="H39">
            <v>4.8225970268249512</v>
          </cell>
          <cell r="I39" t="str">
            <v>km/l</v>
          </cell>
          <cell r="J39" t="str">
            <v>Diesel 2022 TOURIST BUS - EMPTY Diesel 380 kW RURAL ROUTE 13500 kg 20.7 l /100km 26%</v>
          </cell>
          <cell r="M39">
            <v>13500</v>
          </cell>
        </row>
        <row r="40">
          <cell r="A40" t="str">
            <v>2022 TOURIST BUS - EMPTY</v>
          </cell>
          <cell r="B40" t="str">
            <v>MOTORWAY</v>
          </cell>
          <cell r="C40" t="str">
            <v>Diesel 380 kW</v>
          </cell>
          <cell r="D40" t="str">
            <v>Diesel</v>
          </cell>
          <cell r="E40">
            <v>7.1430153351955621</v>
          </cell>
          <cell r="F40">
            <v>2.351994514465332</v>
          </cell>
          <cell r="G40">
            <v>0.3292719396634109</v>
          </cell>
          <cell r="H40">
            <v>5.0398883819580078</v>
          </cell>
          <cell r="I40" t="str">
            <v>km/l</v>
          </cell>
          <cell r="J40" t="str">
            <v>Diesel 2022 TOURIST BUS - EMPTY Diesel 380 kW MOTORWAY 13500 kg 19.8 l /100km 33%</v>
          </cell>
          <cell r="M40">
            <v>13500</v>
          </cell>
        </row>
        <row r="41">
          <cell r="A41" t="str">
            <v>2022 TOURIST BUS - TYPICAL</v>
          </cell>
          <cell r="B41" t="str">
            <v>CITY ROUTE</v>
          </cell>
          <cell r="C41" t="str">
            <v>Diesel 380 kW</v>
          </cell>
          <cell r="D41" t="str">
            <v>Diesel</v>
          </cell>
          <cell r="E41">
            <v>12.465753653104107</v>
          </cell>
          <cell r="F41">
            <v>1.2276588678359985</v>
          </cell>
          <cell r="G41">
            <v>9.8482522757883814E-2</v>
          </cell>
          <cell r="H41">
            <v>2.8879120349884033</v>
          </cell>
          <cell r="I41" t="str">
            <v>km/l</v>
          </cell>
          <cell r="J41" t="str">
            <v>Diesel 2022 TOURIST BUS - TYPICAL Diesel 380 kW CITY ROUTE 14711 kg 34.6 l /100km 10%</v>
          </cell>
          <cell r="M41">
            <v>14711</v>
          </cell>
        </row>
        <row r="42">
          <cell r="A42" t="str">
            <v>2022 TOURIST BUS - TYPICAL</v>
          </cell>
          <cell r="B42" t="str">
            <v>RURAL ROUTE</v>
          </cell>
          <cell r="C42" t="str">
            <v>Diesel 380 kW</v>
          </cell>
          <cell r="D42" t="str">
            <v>Diesel</v>
          </cell>
          <cell r="E42">
            <v>7.7369290454759128</v>
          </cell>
          <cell r="F42">
            <v>1.9940425157546997</v>
          </cell>
          <cell r="G42">
            <v>0.25773049022863859</v>
          </cell>
          <cell r="H42">
            <v>4.6530089378356934</v>
          </cell>
          <cell r="I42" t="str">
            <v>km/l</v>
          </cell>
          <cell r="J42" t="str">
            <v>Diesel 2022 TOURIST BUS - TYPICAL Diesel 380 kW RURAL ROUTE 14711 kg 21.5 l /100km 26%</v>
          </cell>
          <cell r="M42">
            <v>14711</v>
          </cell>
        </row>
        <row r="43">
          <cell r="A43" t="str">
            <v>2022 TOURIST BUS - TYPICAL</v>
          </cell>
          <cell r="B43" t="str">
            <v>MOTORWAY</v>
          </cell>
          <cell r="C43" t="str">
            <v>Diesel 380 kW</v>
          </cell>
          <cell r="D43" t="str">
            <v>Diesel</v>
          </cell>
          <cell r="E43">
            <v>7.3001365509673928</v>
          </cell>
          <cell r="F43">
            <v>2.4113966822624207</v>
          </cell>
          <cell r="G43">
            <v>0.33032213376102798</v>
          </cell>
          <cell r="H43">
            <v>4.9314146041870117</v>
          </cell>
          <cell r="I43" t="str">
            <v>km/l</v>
          </cell>
          <cell r="J43" t="str">
            <v>Diesel 2022 TOURIST BUS - TYPICAL Diesel 380 kW MOTORWAY 14711 kg 20.3 l /100km 33%</v>
          </cell>
          <cell r="M43">
            <v>14711</v>
          </cell>
        </row>
        <row r="44">
          <cell r="A44" t="str">
            <v>2022 TOURIST BUS - FULL</v>
          </cell>
          <cell r="B44" t="str">
            <v>CITY ROUTE</v>
          </cell>
          <cell r="C44" t="str">
            <v>Diesel 380 kW</v>
          </cell>
          <cell r="D44" t="str">
            <v>Diesel</v>
          </cell>
          <cell r="E44">
            <v>14.965021707936824</v>
          </cell>
          <cell r="F44">
            <v>1.4615823030471802</v>
          </cell>
          <cell r="G44">
            <v>9.7666567518042272E-2</v>
          </cell>
          <cell r="H44">
            <v>2.4056096076965332</v>
          </cell>
          <cell r="I44" t="str">
            <v>km/l</v>
          </cell>
          <cell r="J44" t="str">
            <v>Diesel 2022 TOURIST BUS - FULL Diesel 380 kW CITY ROUTE 19500 kg 41.6 l /100km 10%</v>
          </cell>
          <cell r="M44">
            <v>19500</v>
          </cell>
        </row>
        <row r="45">
          <cell r="A45" t="str">
            <v>2022 TOURIST BUS - FULL</v>
          </cell>
          <cell r="B45" t="str">
            <v>RURAL ROUTE</v>
          </cell>
          <cell r="C45" t="str">
            <v>Diesel 380 kW</v>
          </cell>
          <cell r="D45" t="str">
            <v>Diesel</v>
          </cell>
          <cell r="E45">
            <v>8.7708290349023308</v>
          </cell>
          <cell r="F45">
            <v>2.2289479970932007</v>
          </cell>
          <cell r="G45">
            <v>0.25413196269399424</v>
          </cell>
          <cell r="H45">
            <v>4.1045150756835938</v>
          </cell>
          <cell r="I45" t="str">
            <v>km/l</v>
          </cell>
          <cell r="J45" t="str">
            <v>Diesel 2022 TOURIST BUS - FULL Diesel 380 kW RURAL ROUTE 19500 kg 24.4 l /100km 25%</v>
          </cell>
          <cell r="M45">
            <v>19500</v>
          </cell>
        </row>
        <row r="46">
          <cell r="A46" t="str">
            <v>2022 TOURIST BUS - FULL</v>
          </cell>
          <cell r="B46" t="str">
            <v>MOTORWAY</v>
          </cell>
          <cell r="C46" t="str">
            <v>Diesel 380 kW</v>
          </cell>
          <cell r="D46" t="str">
            <v>Diesel</v>
          </cell>
          <cell r="E46">
            <v>7.9345923868662656</v>
          </cell>
          <cell r="F46">
            <v>2.6463051438331604</v>
          </cell>
          <cell r="G46">
            <v>0.33351494504159496</v>
          </cell>
          <cell r="H46">
            <v>4.5370950698852539</v>
          </cell>
          <cell r="I46" t="str">
            <v>km/l</v>
          </cell>
          <cell r="J46" t="str">
            <v>Diesel 2022 TOURIST BUS - FULL Diesel 380 kW MOTORWAY 19500 kg 22.0 l /100km 33%</v>
          </cell>
          <cell r="M46">
            <v>19500</v>
          </cell>
        </row>
        <row r="47">
          <cell r="A47" t="str">
            <v>2022 RIGID TRUCK - EMPTY</v>
          </cell>
          <cell r="B47" t="str">
            <v>URBAN DELIVERY</v>
          </cell>
          <cell r="C47" t="str">
            <v>Electric 290 kW</v>
          </cell>
          <cell r="D47" t="str">
            <v>Electricity</v>
          </cell>
          <cell r="E47">
            <v>2.1366846727292526</v>
          </cell>
          <cell r="F47">
            <v>1.1679841279983521</v>
          </cell>
          <cell r="G47">
            <v>0.54663383086211326</v>
          </cell>
          <cell r="H47">
            <v>1.684853196144104</v>
          </cell>
          <cell r="I47" t="str">
            <v>km/kWh</v>
          </cell>
          <cell r="J47" t="str">
            <v>Electricity 2022 RIGID TRUCK - EMPTY Electric 290 kW URBAN DELIVERY 10400 kg 59.4 kWh /100km 55%</v>
          </cell>
          <cell r="M47">
            <v>10400</v>
          </cell>
        </row>
        <row r="48">
          <cell r="A48" t="str">
            <v>2022 RIGID TRUCK - EMPTY</v>
          </cell>
          <cell r="B48" t="str">
            <v>REGIONAL DELIVERY</v>
          </cell>
          <cell r="C48" t="str">
            <v>Electric 290 kW</v>
          </cell>
          <cell r="D48" t="str">
            <v>Electricity</v>
          </cell>
          <cell r="E48">
            <v>2.7970565458733097</v>
          </cell>
          <cell r="F48">
            <v>1.8519698977470398</v>
          </cell>
          <cell r="G48">
            <v>0.66211385696845448</v>
          </cell>
          <cell r="H48">
            <v>1.2870672941207886</v>
          </cell>
          <cell r="I48" t="str">
            <v>km/kWh</v>
          </cell>
          <cell r="J48" t="str">
            <v>Electricity 2022 RIGID TRUCK - EMPTY Electric 290 kW REGIONAL DELIVERY 10400 kg 77.7 kWh /100km 66%</v>
          </cell>
          <cell r="M48">
            <v>10400</v>
          </cell>
        </row>
        <row r="49">
          <cell r="A49" t="str">
            <v>2022 RIGID TRUCK - EMPTY</v>
          </cell>
          <cell r="B49" t="str">
            <v>LONG HAUL</v>
          </cell>
          <cell r="C49" t="str">
            <v>Electric 290 kW</v>
          </cell>
          <cell r="D49" t="str">
            <v>Electricity</v>
          </cell>
          <cell r="E49">
            <v>3.1885906295375586</v>
          </cell>
          <cell r="F49">
            <v>2.2920897603034973</v>
          </cell>
          <cell r="G49">
            <v>0.71884102621098123</v>
          </cell>
          <cell r="H49">
            <v>1.1290254592895508</v>
          </cell>
          <cell r="I49" t="str">
            <v>km/kWh</v>
          </cell>
          <cell r="J49" t="str">
            <v>Electricity 2022 RIGID TRUCK - EMPTY Electric 290 kW LONG HAUL 10400 kg 88.6 kWh /100km 72%</v>
          </cell>
          <cell r="M49">
            <v>10400</v>
          </cell>
        </row>
        <row r="50">
          <cell r="A50" t="str">
            <v>2022 RIGID TRUCK - TYPICAL</v>
          </cell>
          <cell r="B50" t="str">
            <v>URBAN DELIVERY</v>
          </cell>
          <cell r="C50" t="str">
            <v>Electric 290 kW</v>
          </cell>
          <cell r="D50" t="str">
            <v>Electricity</v>
          </cell>
          <cell r="E50">
            <v>3.2222755041776279</v>
          </cell>
          <cell r="F50">
            <v>1.5449787974357605</v>
          </cell>
          <cell r="G50">
            <v>0.47946825013339817</v>
          </cell>
          <cell r="H50">
            <v>1.1172229051589966</v>
          </cell>
          <cell r="I50" t="str">
            <v>km/kWh</v>
          </cell>
          <cell r="J50" t="str">
            <v>Electricity 2022 RIGID TRUCK - TYPICAL Electric 290 kW URBAN DELIVERY 18196.8 kg 89.5 kWh /100km 48%</v>
          </cell>
          <cell r="M50">
            <v>18196.8</v>
          </cell>
        </row>
        <row r="51">
          <cell r="A51" t="str">
            <v>2022 RIGID TRUCK - TYPICAL</v>
          </cell>
          <cell r="B51" t="str">
            <v>REGIONAL DELIVERY</v>
          </cell>
          <cell r="C51" t="str">
            <v>Electric 290 kW</v>
          </cell>
          <cell r="D51" t="str">
            <v>Electricity</v>
          </cell>
          <cell r="E51">
            <v>3.4908199112400422</v>
          </cell>
          <cell r="F51">
            <v>2.2336827516555786</v>
          </cell>
          <cell r="G51">
            <v>0.63987338460611354</v>
          </cell>
          <cell r="H51">
            <v>1.0312763452529907</v>
          </cell>
          <cell r="I51" t="str">
            <v>km/kWh</v>
          </cell>
          <cell r="J51" t="str">
            <v>Electricity 2022 RIGID TRUCK - TYPICAL Electric 290 kW REGIONAL DELIVERY 18196.8 kg 97.0 kWh /100km 64%</v>
          </cell>
          <cell r="M51">
            <v>18196.8</v>
          </cell>
        </row>
        <row r="52">
          <cell r="A52" t="str">
            <v>2022 RIGID TRUCK - TYPICAL</v>
          </cell>
          <cell r="B52" t="str">
            <v>LONG HAUL</v>
          </cell>
          <cell r="C52" t="str">
            <v>Electric 290 kW</v>
          </cell>
          <cell r="D52" t="str">
            <v>Electricity</v>
          </cell>
          <cell r="E52">
            <v>3.6577556918915928</v>
          </cell>
          <cell r="F52">
            <v>2.6745550036430359</v>
          </cell>
          <cell r="G52">
            <v>0.73120110497590429</v>
          </cell>
          <cell r="H52">
            <v>0.98421007394790649</v>
          </cell>
          <cell r="I52" t="str">
            <v>km/kWh</v>
          </cell>
          <cell r="J52" t="str">
            <v>Electricity 2022 RIGID TRUCK - TYPICAL Electric 290 kW LONG HAUL 18196.8 kg 101.6 kWh /100km 73%</v>
          </cell>
          <cell r="M52">
            <v>18196.8</v>
          </cell>
        </row>
        <row r="53">
          <cell r="A53" t="str">
            <v>2022 RIGID TRUCK - FULL</v>
          </cell>
          <cell r="B53" t="str">
            <v>URBAN DELIVERY</v>
          </cell>
          <cell r="C53" t="str">
            <v>Electric 290 kW</v>
          </cell>
          <cell r="D53" t="str">
            <v>Electricity</v>
          </cell>
          <cell r="E53">
            <v>4.8595668967126429</v>
          </cell>
          <cell r="F53">
            <v>1.9996832609176636</v>
          </cell>
          <cell r="G53">
            <v>0.41149413176519739</v>
          </cell>
          <cell r="H53">
            <v>0.74080675840377808</v>
          </cell>
          <cell r="I53" t="str">
            <v>km/kWh</v>
          </cell>
          <cell r="J53" t="str">
            <v>Electricity 2022 RIGID TRUCK - FULL Electric 290 kW URBAN DELIVERY 28000 kg 135.0 kWh /100km 41%</v>
          </cell>
          <cell r="M53">
            <v>28000</v>
          </cell>
        </row>
        <row r="54">
          <cell r="A54" t="str">
            <v>2022 RIGID TRUCK - FULL</v>
          </cell>
          <cell r="B54" t="str">
            <v>REGIONAL DELIVERY</v>
          </cell>
          <cell r="C54" t="str">
            <v>Electric 290 kW</v>
          </cell>
          <cell r="D54" t="str">
            <v>Electricity</v>
          </cell>
          <cell r="E54">
            <v>4.45613997706044</v>
          </cell>
          <cell r="F54">
            <v>2.7101609706878662</v>
          </cell>
          <cell r="G54">
            <v>0.60818578066204843</v>
          </cell>
          <cell r="H54">
            <v>0.80787408351898193</v>
          </cell>
          <cell r="I54" t="str">
            <v>km/kWh</v>
          </cell>
          <cell r="J54" t="str">
            <v>Electricity 2022 RIGID TRUCK - FULL Electric 290 kW REGIONAL DELIVERY 28000 kg 123.8 kWh /100km 61%</v>
          </cell>
          <cell r="M54">
            <v>28000</v>
          </cell>
        </row>
        <row r="55">
          <cell r="A55" t="str">
            <v>2022 RIGID TRUCK - FULL</v>
          </cell>
          <cell r="B55" t="str">
            <v>LONG HAUL</v>
          </cell>
          <cell r="C55" t="str">
            <v>Electric 290 kW</v>
          </cell>
          <cell r="D55" t="str">
            <v>Electricity</v>
          </cell>
          <cell r="E55">
            <v>4.2862612707075405</v>
          </cell>
          <cell r="F55">
            <v>3.1553997993469238</v>
          </cell>
          <cell r="G55">
            <v>0.73616599643867642</v>
          </cell>
          <cell r="H55">
            <v>0.83989280462265015</v>
          </cell>
          <cell r="I55" t="str">
            <v>km/kWh</v>
          </cell>
          <cell r="J55" t="str">
            <v>Electricity 2022 RIGID TRUCK - FULL Electric 290 kW LONG HAUL 28000 kg 119.1 kWh /100km 74%</v>
          </cell>
          <cell r="M55">
            <v>28000</v>
          </cell>
        </row>
        <row r="56">
          <cell r="A56" t="str">
            <v>2022 TRUCK WITH TRAILER - EMPTY</v>
          </cell>
          <cell r="B56" t="str">
            <v>URBAN DELIVERY</v>
          </cell>
          <cell r="C56" t="str">
            <v>Electric 290 kW</v>
          </cell>
          <cell r="D56" t="str">
            <v>Electricity</v>
          </cell>
          <cell r="E56">
            <v>2.9132879803456451</v>
          </cell>
          <cell r="F56">
            <v>1.5368446111679077</v>
          </cell>
          <cell r="G56">
            <v>0.5275292458336267</v>
          </cell>
          <cell r="H56">
            <v>1.2357171773910522</v>
          </cell>
          <cell r="I56" t="str">
            <v>km/kWh</v>
          </cell>
          <cell r="J56" t="str">
            <v>Electricity 2022 TRUCK WITH TRAILER - EMPTY Electric 290 kW URBAN DELIVERY 15196.73931275 kg 80.9 kWh /100km 53%</v>
          </cell>
          <cell r="M56">
            <v>15196.73931275</v>
          </cell>
        </row>
        <row r="57">
          <cell r="A57" t="str">
            <v>2022 TRUCK WITH TRAILER - EMPTY</v>
          </cell>
          <cell r="B57" t="str">
            <v>REGIONAL DELIVERY</v>
          </cell>
          <cell r="C57" t="str">
            <v>Electric 290 kW</v>
          </cell>
          <cell r="D57" t="str">
            <v>Electricity</v>
          </cell>
          <cell r="E57">
            <v>3.5467547575377227</v>
          </cell>
          <cell r="F57">
            <v>2.3646531701087952</v>
          </cell>
          <cell r="G57">
            <v>0.66670895840298172</v>
          </cell>
          <cell r="H57">
            <v>1.0150123834609985</v>
          </cell>
          <cell r="I57" t="str">
            <v>km/kWh</v>
          </cell>
          <cell r="J57" t="str">
            <v>Electricity 2022 TRUCK WITH TRAILER - EMPTY Electric 290 kW REGIONAL DELIVERY 15196.73931275 kg 98.5 kWh /100km 67%</v>
          </cell>
          <cell r="M57">
            <v>15196.73931275</v>
          </cell>
        </row>
        <row r="58">
          <cell r="A58" t="str">
            <v>2022 TRUCK WITH TRAILER - EMPTY</v>
          </cell>
          <cell r="B58" t="str">
            <v>LONG HAUL</v>
          </cell>
          <cell r="C58" t="str">
            <v>Electric 290 kW</v>
          </cell>
          <cell r="D58" t="str">
            <v>Electricity</v>
          </cell>
          <cell r="E58">
            <v>3.9179894280802365</v>
          </cell>
          <cell r="F58">
            <v>2.8960788249969482</v>
          </cell>
          <cell r="G58">
            <v>0.73917474208601652</v>
          </cell>
          <cell r="H58">
            <v>0.91883862018585205</v>
          </cell>
          <cell r="I58" t="str">
            <v>km/kWh</v>
          </cell>
          <cell r="J58" t="str">
            <v>Electricity 2022 TRUCK WITH TRAILER - EMPTY Electric 290 kW LONG HAUL 15196.73931275 kg 108.8 kWh /100km 74%</v>
          </cell>
          <cell r="M58">
            <v>15196.73931275</v>
          </cell>
        </row>
        <row r="59">
          <cell r="A59" t="str">
            <v>2022 TRUCK WITH TRAILER - TYPICAL</v>
          </cell>
          <cell r="B59" t="str">
            <v>URBAN DELIVERY</v>
          </cell>
          <cell r="C59" t="str">
            <v>Electric 290 kW</v>
          </cell>
          <cell r="D59" t="str">
            <v>Electricity</v>
          </cell>
          <cell r="E59">
            <v>6.9348528671180283</v>
          </cell>
          <cell r="F59">
            <v>2.6430374979972839</v>
          </cell>
          <cell r="G59">
            <v>0.38112380300516341</v>
          </cell>
          <cell r="H59">
            <v>0.51911699771881104</v>
          </cell>
          <cell r="I59" t="str">
            <v>km/kWh</v>
          </cell>
          <cell r="J59" t="str">
            <v>Electricity 2022 TRUCK WITH TRAILER - TYPICAL Electric 290 kW URBAN DELIVERY 39380.5816010463 kg 192.6 kWh /100km 38%</v>
          </cell>
          <cell r="M59">
            <v>39380.581601046251</v>
          </cell>
        </row>
        <row r="60">
          <cell r="A60" t="str">
            <v>2022 TRUCK WITH TRAILER - TYPICAL</v>
          </cell>
          <cell r="B60" t="str">
            <v>REGIONAL DELIVERY</v>
          </cell>
          <cell r="C60" t="str">
            <v>Electric 290 kW</v>
          </cell>
          <cell r="D60" t="str">
            <v>Electricity</v>
          </cell>
          <cell r="E60">
            <v>5.9467290713418715</v>
          </cell>
          <cell r="F60">
            <v>3.5328643321990967</v>
          </cell>
          <cell r="G60">
            <v>0.59408530131706683</v>
          </cell>
          <cell r="H60">
            <v>0.60537481307983398</v>
          </cell>
          <cell r="I60" t="str">
            <v>km/kWh</v>
          </cell>
          <cell r="J60" t="str">
            <v>Electricity 2022 TRUCK WITH TRAILER - TYPICAL Electric 290 kW REGIONAL DELIVERY 39380.5816010463 kg 165.2 kWh /100km 59%</v>
          </cell>
          <cell r="M60">
            <v>39380.581601046251</v>
          </cell>
        </row>
        <row r="61">
          <cell r="A61" t="str">
            <v>2022 TRUCK WITH TRAILER - TYPICAL</v>
          </cell>
          <cell r="B61" t="str">
            <v>LONG HAUL</v>
          </cell>
          <cell r="C61" t="str">
            <v>Electric 290 kW</v>
          </cell>
          <cell r="D61" t="str">
            <v>Electricity</v>
          </cell>
          <cell r="E61">
            <v>5.4654050086684771</v>
          </cell>
          <cell r="F61">
            <v>4.0819934606552124</v>
          </cell>
          <cell r="G61">
            <v>0.74687849375863513</v>
          </cell>
          <cell r="H61">
            <v>0.65868860483169556</v>
          </cell>
          <cell r="I61" t="str">
            <v>km/kWh</v>
          </cell>
          <cell r="J61" t="str">
            <v>Electricity 2022 TRUCK WITH TRAILER - TYPICAL Electric 290 kW LONG HAUL 39380.5816010463 kg 151.8 kWh /100km 75%</v>
          </cell>
          <cell r="M61">
            <v>39380.581601046251</v>
          </cell>
        </row>
        <row r="62">
          <cell r="A62" t="str">
            <v>2022 TRUCK WITH TRAILER - FULL</v>
          </cell>
          <cell r="B62" t="str">
            <v>URBAN DELIVERY</v>
          </cell>
          <cell r="C62" t="str">
            <v>Electric 290 kW</v>
          </cell>
          <cell r="D62" t="str">
            <v>Electricity</v>
          </cell>
          <cell r="E62">
            <v>9.8002614842749622</v>
          </cell>
          <cell r="F62">
            <v>3.4799278974533081</v>
          </cell>
          <cell r="G62">
            <v>0.35508520900560014</v>
          </cell>
          <cell r="H62">
            <v>0.36733713746070862</v>
          </cell>
          <cell r="I62" t="str">
            <v>km/kWh</v>
          </cell>
          <cell r="J62" t="str">
            <v>Electricity 2022 TRUCK WITH TRAILER - FULL Electric 290 kW URBAN DELIVERY 58000 kg 272.2 kWh /100km 36%</v>
          </cell>
          <cell r="M62">
            <v>58000</v>
          </cell>
        </row>
        <row r="63">
          <cell r="A63" t="str">
            <v>2022 TRUCK WITH TRAILER - FULL</v>
          </cell>
          <cell r="B63" t="str">
            <v>REGIONAL DELIVERY</v>
          </cell>
          <cell r="C63" t="str">
            <v>Electric 290 kW</v>
          </cell>
          <cell r="D63" t="str">
            <v>Electricity</v>
          </cell>
          <cell r="E63">
            <v>7.7755181159546236</v>
          </cell>
          <cell r="F63">
            <v>4.4148313999176025</v>
          </cell>
          <cell r="G63">
            <v>0.56778613773129649</v>
          </cell>
          <cell r="H63">
            <v>0.46299165487289429</v>
          </cell>
          <cell r="I63" t="str">
            <v>km/kWh</v>
          </cell>
          <cell r="J63" t="str">
            <v>Electricity 2022 TRUCK WITH TRAILER - FULL Electric 290 kW REGIONAL DELIVERY 58000 kg 216.0 kWh /100km 57%</v>
          </cell>
          <cell r="M63">
            <v>58000</v>
          </cell>
        </row>
        <row r="64">
          <cell r="A64" t="str">
            <v>2022 TRUCK WITH TRAILER - FULL</v>
          </cell>
          <cell r="B64" t="str">
            <v>LONG HAUL</v>
          </cell>
          <cell r="C64" t="str">
            <v>Electric 290 kW</v>
          </cell>
          <cell r="D64" t="str">
            <v>Electricity</v>
          </cell>
          <cell r="E64">
            <v>6.6682746431911992</v>
          </cell>
          <cell r="F64">
            <v>4.9936258792877197</v>
          </cell>
          <cell r="G64">
            <v>0.74886325871214388</v>
          </cell>
          <cell r="H64">
            <v>0.53986978530883789</v>
          </cell>
          <cell r="I64" t="str">
            <v>km/kWh</v>
          </cell>
          <cell r="J64" t="str">
            <v>Electricity 2022 TRUCK WITH TRAILER - FULL Electric 290 kW LONG HAUL 58000 kg 185.2 kWh /100km 75%</v>
          </cell>
          <cell r="M64">
            <v>58000</v>
          </cell>
        </row>
        <row r="65">
          <cell r="A65" t="str">
            <v>2022 SEMI TRUCK - EMPTY</v>
          </cell>
          <cell r="B65" t="str">
            <v>URBAN DELIVERY</v>
          </cell>
          <cell r="C65" t="str">
            <v>Electric 290 kW</v>
          </cell>
          <cell r="D65" t="str">
            <v>Electricity</v>
          </cell>
          <cell r="E65">
            <v>2.9056210929753874</v>
          </cell>
          <cell r="F65">
            <v>1.4625987410545349</v>
          </cell>
          <cell r="G65">
            <v>0.50336870990870253</v>
          </cell>
          <cell r="H65">
            <v>1.2389777898788452</v>
          </cell>
          <cell r="I65" t="str">
            <v>km/kWh</v>
          </cell>
          <cell r="J65" t="str">
            <v>Electricity 2022 SEMI TRUCK - EMPTY Electric 290 kW URBAN DELIVERY 16000 kg 80.7 kWh /100km 50%</v>
          </cell>
          <cell r="M65">
            <v>16000</v>
          </cell>
        </row>
        <row r="66">
          <cell r="A66" t="str">
            <v>2022 SEMI TRUCK - EMPTY</v>
          </cell>
          <cell r="B66" t="str">
            <v>REGIONAL DELIVERY</v>
          </cell>
          <cell r="C66" t="str">
            <v>Electric 290 kW</v>
          </cell>
          <cell r="D66" t="str">
            <v>Electricity</v>
          </cell>
          <cell r="E66">
            <v>3.3435635188176409</v>
          </cell>
          <cell r="F66">
            <v>2.1726433038711548</v>
          </cell>
          <cell r="G66">
            <v>0.64979872272306949</v>
          </cell>
          <cell r="H66">
            <v>1.0766955614089966</v>
          </cell>
          <cell r="I66" t="str">
            <v>km/kWh</v>
          </cell>
          <cell r="J66" t="str">
            <v>Electricity 2022 SEMI TRUCK - EMPTY Electric 290 kW REGIONAL DELIVERY 16000 kg 92.9 kWh /100km 65%</v>
          </cell>
          <cell r="M66">
            <v>16000</v>
          </cell>
        </row>
        <row r="67">
          <cell r="A67" t="str">
            <v>2022 SEMI TRUCK - EMPTY</v>
          </cell>
          <cell r="B67" t="str">
            <v>LONG HAUL</v>
          </cell>
          <cell r="C67" t="str">
            <v>Electric 290 kW</v>
          </cell>
          <cell r="D67" t="str">
            <v>Electricity</v>
          </cell>
          <cell r="E67">
            <v>3.5955710130598608</v>
          </cell>
          <cell r="F67">
            <v>2.6282345652580261</v>
          </cell>
          <cell r="G67">
            <v>0.73096444367577007</v>
          </cell>
          <cell r="H67">
            <v>1.0012317895889282</v>
          </cell>
          <cell r="I67" t="str">
            <v>km/kWh</v>
          </cell>
          <cell r="J67" t="str">
            <v>Electricity 2022 SEMI TRUCK - EMPTY Electric 290 kW LONG HAUL 16000 kg 99.9 kWh /100km 73%</v>
          </cell>
          <cell r="M67">
            <v>16000</v>
          </cell>
        </row>
        <row r="68">
          <cell r="A68" t="str">
            <v>2022 SEMI TRUCK - TYPICAL</v>
          </cell>
          <cell r="B68" t="str">
            <v>URBAN DELIVERY</v>
          </cell>
          <cell r="C68" t="str">
            <v>Electric 290 kW</v>
          </cell>
          <cell r="D68" t="str">
            <v>Electricity</v>
          </cell>
          <cell r="E68">
            <v>6.3160147707669996</v>
          </cell>
          <cell r="F68">
            <v>2.4032187461853027</v>
          </cell>
          <cell r="G68">
            <v>0.38049606174265843</v>
          </cell>
          <cell r="H68">
            <v>0.56997966766357422</v>
          </cell>
          <cell r="I68" t="str">
            <v>km/kWh</v>
          </cell>
          <cell r="J68" t="str">
            <v>Electricity 2022 SEMI TRUCK - TYPICAL Electric 290 kW URBAN DELIVERY 36340 kg 175.4 kWh /100km 38%</v>
          </cell>
          <cell r="M68">
            <v>36340</v>
          </cell>
        </row>
        <row r="69">
          <cell r="A69" t="str">
            <v>2022 SEMI TRUCK - TYPICAL</v>
          </cell>
          <cell r="B69" t="str">
            <v>REGIONAL DELIVERY</v>
          </cell>
          <cell r="C69" t="str">
            <v>Electric 290 kW</v>
          </cell>
          <cell r="D69" t="str">
            <v>Electricity</v>
          </cell>
          <cell r="E69">
            <v>5.3698694891313847</v>
          </cell>
          <cell r="F69">
            <v>3.1590157747268677</v>
          </cell>
          <cell r="G69">
            <v>0.58828539150173298</v>
          </cell>
          <cell r="H69">
            <v>0.67040735483169556</v>
          </cell>
          <cell r="I69" t="str">
            <v>km/kWh</v>
          </cell>
          <cell r="J69" t="str">
            <v>Electricity 2022 SEMI TRUCK - TYPICAL Electric 290 kW REGIONAL DELIVERY 36340 kg 149.2 kWh /100km 59%</v>
          </cell>
          <cell r="M69">
            <v>36340</v>
          </cell>
        </row>
        <row r="70">
          <cell r="A70" t="str">
            <v>2022 SEMI TRUCK - TYPICAL</v>
          </cell>
          <cell r="B70" t="str">
            <v>LONG HAUL</v>
          </cell>
          <cell r="C70" t="str">
            <v>Electric 290 kW</v>
          </cell>
          <cell r="D70" t="str">
            <v>Electricity</v>
          </cell>
          <cell r="E70">
            <v>4.9054963947861276</v>
          </cell>
          <cell r="F70">
            <v>3.6258132457733154</v>
          </cell>
          <cell r="G70">
            <v>0.73913279186731429</v>
          </cell>
          <cell r="H70">
            <v>0.73387068510055542</v>
          </cell>
          <cell r="I70" t="str">
            <v>km/kWh</v>
          </cell>
          <cell r="J70" t="str">
            <v>Electricity 2022 SEMI TRUCK - TYPICAL Electric 290 kW LONG HAUL 36340 kg 136.3 kWh /100km 74%</v>
          </cell>
          <cell r="M70">
            <v>36340</v>
          </cell>
        </row>
        <row r="71">
          <cell r="A71" t="str">
            <v>2022 SEMI TRUCK - FULL</v>
          </cell>
          <cell r="B71" t="str">
            <v>URBAN DELIVERY</v>
          </cell>
          <cell r="C71" t="str">
            <v>Electric 290 kW</v>
          </cell>
          <cell r="D71" t="str">
            <v>Electricity</v>
          </cell>
          <cell r="E71">
            <v>8.8718685368330021</v>
          </cell>
          <cell r="F71">
            <v>3.1176701784133911</v>
          </cell>
          <cell r="G71">
            <v>0.3514107727667376</v>
          </cell>
          <cell r="H71">
            <v>0.4057769775390625</v>
          </cell>
          <cell r="I71" t="str">
            <v>km/kWh</v>
          </cell>
          <cell r="J71" t="str">
            <v>Electricity 2022 SEMI TRUCK - FULL Electric 290 kW URBAN DELIVERY 52000 kg 246.4 kWh /100km 35%</v>
          </cell>
          <cell r="M71">
            <v>52000</v>
          </cell>
        </row>
        <row r="72">
          <cell r="A72" t="str">
            <v>2022 SEMI TRUCK - FULL</v>
          </cell>
          <cell r="B72" t="str">
            <v>REGIONAL DELIVERY</v>
          </cell>
          <cell r="C72" t="str">
            <v>Electric 290 kW</v>
          </cell>
          <cell r="D72" t="str">
            <v>Electricity</v>
          </cell>
          <cell r="E72">
            <v>6.944514529411177</v>
          </cell>
          <cell r="F72">
            <v>3.9069341421127319</v>
          </cell>
          <cell r="G72">
            <v>0.56259283864497867</v>
          </cell>
          <cell r="H72">
            <v>0.51839476823806763</v>
          </cell>
          <cell r="I72" t="str">
            <v>km/kWh</v>
          </cell>
          <cell r="J72" t="str">
            <v>Electricity 2022 SEMI TRUCK - FULL Electric 290 kW REGIONAL DELIVERY 52000 kg 192.9 kWh /100km 56%</v>
          </cell>
          <cell r="M72">
            <v>52000</v>
          </cell>
        </row>
        <row r="73">
          <cell r="A73" t="str">
            <v>2022 SEMI TRUCK - FULL</v>
          </cell>
          <cell r="B73" t="str">
            <v>LONG HAUL</v>
          </cell>
          <cell r="C73" t="str">
            <v>Electric 290 kW</v>
          </cell>
          <cell r="D73" t="str">
            <v>Electricity</v>
          </cell>
          <cell r="E73">
            <v>5.9233459630359064</v>
          </cell>
          <cell r="F73">
            <v>4.3930422067642212</v>
          </cell>
          <cell r="G73">
            <v>0.74164876307725325</v>
          </cell>
          <cell r="H73">
            <v>0.6077646017074585</v>
          </cell>
          <cell r="I73" t="str">
            <v>km/kWh</v>
          </cell>
          <cell r="J73" t="str">
            <v>Electricity 2022 SEMI TRUCK - FULL Electric 290 kW LONG HAUL 52000 kg 164.5 kWh /100km 74%</v>
          </cell>
          <cell r="M73">
            <v>52000</v>
          </cell>
        </row>
        <row r="74">
          <cell r="A74" t="str">
            <v>2022 CITY BUS - EMPTY</v>
          </cell>
          <cell r="B74" t="str">
            <v>CITY ROUTE</v>
          </cell>
          <cell r="C74" t="str">
            <v>Electric 290 kW</v>
          </cell>
          <cell r="D74" t="str">
            <v>Electricity</v>
          </cell>
          <cell r="E74">
            <v>3.4921613155018991</v>
          </cell>
          <cell r="F74">
            <v>1.2054142355918884</v>
          </cell>
          <cell r="G74">
            <v>0.3451771343554455</v>
          </cell>
          <cell r="H74">
            <v>1.0308802127838135</v>
          </cell>
          <cell r="I74" t="str">
            <v>km/kWh</v>
          </cell>
          <cell r="J74" t="str">
            <v>Electricity 2022 CITY BUS - EMPTY Electric 290 kW CITY ROUTE 12550 kg 97.0 kWh /100km 35%</v>
          </cell>
          <cell r="M74">
            <v>12550</v>
          </cell>
        </row>
        <row r="75">
          <cell r="A75" t="str">
            <v>2022 CITY BUS - EMPTY</v>
          </cell>
          <cell r="B75" t="str">
            <v>RURAL ROUTE</v>
          </cell>
          <cell r="C75" t="str">
            <v>Electric 290 kW</v>
          </cell>
          <cell r="D75" t="str">
            <v>Electricity</v>
          </cell>
          <cell r="E75">
            <v>3.1750432403852109</v>
          </cell>
          <cell r="F75">
            <v>2.1193692684173584</v>
          </cell>
          <cell r="G75">
            <v>0.66750878900163479</v>
          </cell>
          <cell r="H75">
            <v>1.1338428258895874</v>
          </cell>
          <cell r="I75" t="str">
            <v>km/kWh</v>
          </cell>
          <cell r="J75" t="str">
            <v>Electricity 2022 CITY BUS - EMPTY Electric 290 kW RURAL ROUTE 12550 kg 88.2 kWh /100km 67%</v>
          </cell>
          <cell r="M75">
            <v>12550</v>
          </cell>
        </row>
        <row r="76">
          <cell r="A76" t="str">
            <v>2022 CITY BUS - EMPTY</v>
          </cell>
          <cell r="B76" t="str">
            <v>MOTORWAY</v>
          </cell>
          <cell r="C76" t="str">
            <v>Electric 290 kW</v>
          </cell>
          <cell r="D76" t="str">
            <v>Electricity</v>
          </cell>
          <cell r="E76">
            <v>3.5745483164319793</v>
          </cell>
          <cell r="F76">
            <v>2.6126183271408081</v>
          </cell>
          <cell r="G76">
            <v>0.73089467419722987</v>
          </cell>
          <cell r="H76">
            <v>1.0071202516555786</v>
          </cell>
          <cell r="I76" t="str">
            <v>km/kWh</v>
          </cell>
          <cell r="J76" t="str">
            <v>Electricity 2022 CITY BUS - EMPTY Electric 290 kW MOTORWAY 12550 kg 99.3 kWh /100km 73%</v>
          </cell>
          <cell r="M76">
            <v>12550</v>
          </cell>
        </row>
        <row r="77">
          <cell r="A77" t="str">
            <v>2022 CITY BUS - TYPICAL</v>
          </cell>
          <cell r="B77" t="str">
            <v>CITY ROUTE</v>
          </cell>
          <cell r="C77" t="str">
            <v>Electric 290 kW</v>
          </cell>
          <cell r="D77" t="str">
            <v>Electricity</v>
          </cell>
          <cell r="E77">
            <v>3.6424586188673254</v>
          </cell>
          <cell r="F77">
            <v>1.2326709032058716</v>
          </cell>
          <cell r="G77">
            <v>0.33841727036261793</v>
          </cell>
          <cell r="H77">
            <v>0.98834341764450073</v>
          </cell>
          <cell r="I77" t="str">
            <v>km/kWh</v>
          </cell>
          <cell r="J77" t="str">
            <v>Electricity 2022 CITY BUS - TYPICAL Electric 290 kW CITY ROUTE 13124 kg 101.2 kWh /100km 34%</v>
          </cell>
          <cell r="M77">
            <v>13124</v>
          </cell>
        </row>
        <row r="78">
          <cell r="A78" t="str">
            <v>2022 CITY BUS - TYPICAL</v>
          </cell>
          <cell r="B78" t="str">
            <v>RURAL ROUTE</v>
          </cell>
          <cell r="C78" t="str">
            <v>Electric 290 kW</v>
          </cell>
          <cell r="D78" t="str">
            <v>Electricity</v>
          </cell>
          <cell r="E78">
            <v>3.2250804321410746</v>
          </cell>
          <cell r="F78">
            <v>2.1475023031234741</v>
          </cell>
          <cell r="G78">
            <v>0.66587557994570223</v>
          </cell>
          <cell r="H78">
            <v>1.1162512302398682</v>
          </cell>
          <cell r="I78" t="str">
            <v>km/kWh</v>
          </cell>
          <cell r="J78" t="str">
            <v>Electricity 2022 CITY BUS - TYPICAL Electric 290 kW RURAL ROUTE 13124 kg 89.6 kWh /100km 67%</v>
          </cell>
          <cell r="M78">
            <v>13124</v>
          </cell>
        </row>
        <row r="79">
          <cell r="A79" t="str">
            <v>2022 CITY BUS - TYPICAL</v>
          </cell>
          <cell r="B79" t="str">
            <v>MOTORWAY</v>
          </cell>
          <cell r="C79" t="str">
            <v>Electric 290 kW</v>
          </cell>
          <cell r="D79" t="str">
            <v>Electricity</v>
          </cell>
          <cell r="E79">
            <v>3.6085744751364777</v>
          </cell>
          <cell r="F79">
            <v>2.6407755613327026</v>
          </cell>
          <cell r="G79">
            <v>0.73180575308282292</v>
          </cell>
          <cell r="H79">
            <v>0.99762386083602905</v>
          </cell>
          <cell r="I79" t="str">
            <v>km/kWh</v>
          </cell>
          <cell r="J79" t="str">
            <v>Electricity 2022 CITY BUS - TYPICAL Electric 290 kW MOTORWAY 13124 kg 100.2 kWh /100km 73%</v>
          </cell>
          <cell r="M79">
            <v>13124</v>
          </cell>
        </row>
        <row r="80">
          <cell r="A80" t="str">
            <v>2022 CITY BUS - FULL</v>
          </cell>
          <cell r="B80" t="str">
            <v>CITY ROUTE</v>
          </cell>
          <cell r="C80" t="str">
            <v>Electric 290 kW</v>
          </cell>
          <cell r="D80" t="str">
            <v>Electricity</v>
          </cell>
          <cell r="E80">
            <v>4.9683873793799265</v>
          </cell>
          <cell r="F80">
            <v>1.4611959457397461</v>
          </cell>
          <cell r="G80">
            <v>0.29409863486170212</v>
          </cell>
          <cell r="H80">
            <v>0.72458118200302124</v>
          </cell>
          <cell r="I80" t="str">
            <v>km/kWh</v>
          </cell>
          <cell r="J80" t="str">
            <v>Electricity 2022 CITY BUS - FULL Electric 290 kW CITY ROUTE 18000 kg 138.0 kWh /100km 29%</v>
          </cell>
          <cell r="M80">
            <v>18000</v>
          </cell>
        </row>
        <row r="81">
          <cell r="A81" t="str">
            <v>2022 CITY BUS - FULL</v>
          </cell>
          <cell r="B81" t="str">
            <v>RURAL ROUTE</v>
          </cell>
          <cell r="C81" t="str">
            <v>Electric 290 kW</v>
          </cell>
          <cell r="D81" t="str">
            <v>Electricity</v>
          </cell>
          <cell r="E81">
            <v>3.6643303715573405</v>
          </cell>
          <cell r="F81">
            <v>2.3858749866485596</v>
          </cell>
          <cell r="G81">
            <v>0.65110804559758151</v>
          </cell>
          <cell r="H81">
            <v>0.982444167137146</v>
          </cell>
          <cell r="I81" t="str">
            <v>km/kWh</v>
          </cell>
          <cell r="J81" t="str">
            <v>Electricity 2022 CITY BUS - FULL Electric 290 kW RURAL ROUTE 18000 kg 101.8 kWh /100km 65%</v>
          </cell>
          <cell r="M81">
            <v>18000</v>
          </cell>
        </row>
        <row r="82">
          <cell r="A82" t="str">
            <v>2022 CITY BUS - FULL</v>
          </cell>
          <cell r="B82" t="str">
            <v>MOTORWAY</v>
          </cell>
          <cell r="C82" t="str">
            <v>Electric 290 kW</v>
          </cell>
          <cell r="D82" t="str">
            <v>Electricity</v>
          </cell>
          <cell r="E82">
            <v>3.9032230392481573</v>
          </cell>
          <cell r="F82">
            <v>2.8799553513526917</v>
          </cell>
          <cell r="G82">
            <v>0.73784032385385578</v>
          </cell>
          <cell r="H82">
            <v>0.92231470346450806</v>
          </cell>
          <cell r="I82" t="str">
            <v>km/kWh</v>
          </cell>
          <cell r="J82" t="str">
            <v>Electricity 2022 CITY BUS - FULL Electric 290 kW MOTORWAY 18000 kg 108.4 kWh /100km 74%</v>
          </cell>
          <cell r="M82">
            <v>18000</v>
          </cell>
        </row>
        <row r="83">
          <cell r="A83" t="str">
            <v>2022 TOURIST BUS - EMPTY</v>
          </cell>
          <cell r="B83" t="str">
            <v>CITY ROUTE</v>
          </cell>
          <cell r="C83" t="str">
            <v>Electric 290 kW</v>
          </cell>
          <cell r="D83" t="str">
            <v>Electricity</v>
          </cell>
          <cell r="E83">
            <v>3.6385272941155633</v>
          </cell>
          <cell r="F83">
            <v>1.1599404811859131</v>
          </cell>
          <cell r="G83">
            <v>0.31879394805195932</v>
          </cell>
          <cell r="H83">
            <v>0.98941129446029663</v>
          </cell>
          <cell r="I83" t="str">
            <v>km/kWh</v>
          </cell>
          <cell r="J83" t="str">
            <v>Electricity 2022 TOURIST BUS - EMPTY Electric 290 kW CITY ROUTE 13500 kg 101.1 kWh /100km 32%</v>
          </cell>
          <cell r="M83">
            <v>13500</v>
          </cell>
        </row>
        <row r="84">
          <cell r="A84" t="str">
            <v>2022 TOURIST BUS - EMPTY</v>
          </cell>
          <cell r="B84" t="str">
            <v>RURAL ROUTE</v>
          </cell>
          <cell r="C84" t="str">
            <v>Electric 290 kW</v>
          </cell>
          <cell r="D84" t="str">
            <v>Electricity</v>
          </cell>
          <cell r="E84">
            <v>2.9813044038400882</v>
          </cell>
          <cell r="F84">
            <v>1.9345880746841431</v>
          </cell>
          <cell r="G84">
            <v>0.64890659007925677</v>
          </cell>
          <cell r="H84">
            <v>1.2075251340866089</v>
          </cell>
          <cell r="I84" t="str">
            <v>km/kWh</v>
          </cell>
          <cell r="J84" t="str">
            <v>Electricity 2022 TOURIST BUS - EMPTY Electric 290 kW RURAL ROUTE 13500 kg 82.8 kWh /100km 65%</v>
          </cell>
          <cell r="M84">
            <v>13500</v>
          </cell>
        </row>
        <row r="85">
          <cell r="A85" t="str">
            <v>2022 TOURIST BUS - EMPTY</v>
          </cell>
          <cell r="B85" t="str">
            <v>MOTORWAY</v>
          </cell>
          <cell r="C85" t="str">
            <v>Electric 290 kW</v>
          </cell>
          <cell r="D85" t="str">
            <v>Electricity</v>
          </cell>
          <cell r="E85">
            <v>3.25859697380583</v>
          </cell>
          <cell r="F85">
            <v>2.351988673210144</v>
          </cell>
          <cell r="G85">
            <v>0.72177955485644907</v>
          </cell>
          <cell r="H85">
            <v>1.1047699451446533</v>
          </cell>
          <cell r="I85" t="str">
            <v>km/kWh</v>
          </cell>
          <cell r="J85" t="str">
            <v>Electricity 2022 TOURIST BUS - EMPTY Electric 290 kW MOTORWAY 13500 kg 90.5 kWh /100km 72%</v>
          </cell>
          <cell r="M85">
            <v>13500</v>
          </cell>
        </row>
        <row r="86">
          <cell r="A86" t="str">
            <v>2022 TOURIST BUS - TYPICAL</v>
          </cell>
          <cell r="B86" t="str">
            <v>CITY ROUTE</v>
          </cell>
          <cell r="C86" t="str">
            <v>Electric 290 kW</v>
          </cell>
          <cell r="D86" t="str">
            <v>Electricity</v>
          </cell>
          <cell r="E86">
            <v>3.9612657612335327</v>
          </cell>
          <cell r="F86">
            <v>1.2173406183719635</v>
          </cell>
          <cell r="G86">
            <v>0.30731101919122067</v>
          </cell>
          <cell r="H86">
            <v>0.90880042314529419</v>
          </cell>
          <cell r="I86" t="str">
            <v>km/kWh</v>
          </cell>
          <cell r="J86" t="str">
            <v>Electricity 2022 TOURIST BUS - TYPICAL Electric 290 kW CITY ROUTE 14711 kg 110.0 kWh /100km 31%</v>
          </cell>
          <cell r="M86">
            <v>14711</v>
          </cell>
        </row>
        <row r="87">
          <cell r="A87" t="str">
            <v>2022 TOURIST BUS - TYPICAL</v>
          </cell>
          <cell r="B87" t="str">
            <v>RURAL ROUTE</v>
          </cell>
          <cell r="C87" t="str">
            <v>Electric 290 kW</v>
          </cell>
          <cell r="D87" t="str">
            <v>Electricity</v>
          </cell>
          <cell r="E87">
            <v>3.0890598407751142</v>
          </cell>
          <cell r="F87">
            <v>1.9939061403274536</v>
          </cell>
          <cell r="G87">
            <v>0.64547345894961294</v>
          </cell>
          <cell r="H87">
            <v>1.1654031276702881</v>
          </cell>
          <cell r="I87" t="str">
            <v>km/kWh</v>
          </cell>
          <cell r="J87" t="str">
            <v>Electricity 2022 TOURIST BUS - TYPICAL Electric 290 kW RURAL ROUTE 14711 kg 85.8 kWh /100km 65%</v>
          </cell>
          <cell r="M87">
            <v>14711</v>
          </cell>
        </row>
        <row r="88">
          <cell r="A88" t="str">
            <v>2022 TOURIST BUS - TYPICAL</v>
          </cell>
          <cell r="B88" t="str">
            <v>MOTORWAY</v>
          </cell>
          <cell r="C88" t="str">
            <v>Electric 290 kW</v>
          </cell>
          <cell r="D88" t="str">
            <v>Electricity</v>
          </cell>
          <cell r="E88">
            <v>3.3314423786236032</v>
          </cell>
          <cell r="F88">
            <v>2.4113911986351013</v>
          </cell>
          <cell r="G88">
            <v>0.72382797736738158</v>
          </cell>
          <cell r="H88">
            <v>1.0806130170822144</v>
          </cell>
          <cell r="I88" t="str">
            <v>km/kWh</v>
          </cell>
          <cell r="J88" t="str">
            <v>Electricity 2022 TOURIST BUS - TYPICAL Electric 290 kW MOTORWAY 14711 kg 92.5 kWh /100km 72%</v>
          </cell>
          <cell r="M88">
            <v>14711</v>
          </cell>
        </row>
        <row r="89">
          <cell r="A89" t="str">
            <v>2022 TOURIST BUS - FULL</v>
          </cell>
          <cell r="B89" t="str">
            <v>CITY ROUTE</v>
          </cell>
          <cell r="C89" t="str">
            <v>Electric 290 kW</v>
          </cell>
          <cell r="D89" t="str">
            <v>Electricity</v>
          </cell>
          <cell r="E89">
            <v>4.8710049848824424</v>
          </cell>
          <cell r="F89">
            <v>1.3721795082092285</v>
          </cell>
          <cell r="G89">
            <v>0.28170357297270243</v>
          </cell>
          <cell r="H89">
            <v>0.7390671968460083</v>
          </cell>
          <cell r="I89" t="str">
            <v>km/kWh</v>
          </cell>
          <cell r="J89" t="str">
            <v>Electricity 2022 TOURIST BUS - FULL Electric 290 kW CITY ROUTE 18000 kg 135.3 kWh /100km 28%</v>
          </cell>
          <cell r="M89">
            <v>18000</v>
          </cell>
        </row>
        <row r="90">
          <cell r="A90" t="str">
            <v>2022 TOURIST BUS - FULL</v>
          </cell>
          <cell r="B90" t="str">
            <v>RURAL ROUTE</v>
          </cell>
          <cell r="C90" t="str">
            <v>Electric 290 kW</v>
          </cell>
          <cell r="D90" t="str">
            <v>Electricity</v>
          </cell>
          <cell r="E90">
            <v>3.3901477659974306</v>
          </cell>
          <cell r="F90">
            <v>2.1547120809555054</v>
          </cell>
          <cell r="G90">
            <v>0.6355805792794279</v>
          </cell>
          <cell r="H90">
            <v>1.0619006156921387</v>
          </cell>
          <cell r="I90" t="str">
            <v>km/kWh</v>
          </cell>
          <cell r="J90" t="str">
            <v>Electricity 2022 TOURIST BUS - FULL Electric 290 kW RURAL ROUTE 18000 kg 94.2 kWh /100km 64%</v>
          </cell>
          <cell r="M90">
            <v>18000</v>
          </cell>
        </row>
        <row r="91">
          <cell r="A91" t="str">
            <v>2022 TOURIST BUS - FULL</v>
          </cell>
          <cell r="B91" t="str">
            <v>MOTORWAY</v>
          </cell>
          <cell r="C91" t="str">
            <v>Electric 290 kW</v>
          </cell>
          <cell r="D91" t="str">
            <v>Electricity</v>
          </cell>
          <cell r="E91">
            <v>3.5347082872606137</v>
          </cell>
          <cell r="F91">
            <v>2.572721540927887</v>
          </cell>
          <cell r="G91">
            <v>0.72784550572396367</v>
          </cell>
          <cell r="H91">
            <v>1.0184715986251831</v>
          </cell>
          <cell r="I91" t="str">
            <v>km/kWh</v>
          </cell>
          <cell r="J91" t="str">
            <v>Electricity 2022 TOURIST BUS - FULL Electric 290 kW MOTORWAY 18000 kg 98.2 kWh /100km 73%</v>
          </cell>
          <cell r="M91">
            <v>18000</v>
          </cell>
        </row>
        <row r="92">
          <cell r="A92" t="str">
            <v>2022 RIGID TRUCK - EMPTY</v>
          </cell>
          <cell r="B92" t="str">
            <v>URBAN DELIVERY</v>
          </cell>
          <cell r="C92" t="str">
            <v>Fuel Cell 290 kW</v>
          </cell>
          <cell r="D92" t="str">
            <v>Hydrogen</v>
          </cell>
          <cell r="E92">
            <v>4.0157504829055313</v>
          </cell>
          <cell r="F92">
            <v>1.1398893892765045</v>
          </cell>
          <cell r="G92">
            <v>0.28385463542340311</v>
          </cell>
          <cell r="H92">
            <v>29.583511352539063</v>
          </cell>
          <cell r="I92" t="str">
            <v>km/kg</v>
          </cell>
          <cell r="J92" t="str">
            <v>Hydrogen 2022 RIGID TRUCK - EMPTY Fuel Cell 290 kW URBAN DELIVERY 9827 kg 3.4 kg /100km 28%</v>
          </cell>
          <cell r="M92">
            <v>9827</v>
          </cell>
        </row>
        <row r="93">
          <cell r="A93" t="str">
            <v>2022 RIGID TRUCK - EMPTY</v>
          </cell>
          <cell r="B93" t="str">
            <v>REGIONAL DELIVERY</v>
          </cell>
          <cell r="C93" t="str">
            <v>Fuel Cell 290 kW</v>
          </cell>
          <cell r="D93" t="str">
            <v>Hydrogen</v>
          </cell>
          <cell r="E93">
            <v>4.8982906152962338</v>
          </cell>
          <cell r="F93">
            <v>1.8238623142242432</v>
          </cell>
          <cell r="G93">
            <v>0.37234669346256039</v>
          </cell>
          <cell r="H93">
            <v>24.253358840942383</v>
          </cell>
          <cell r="I93" t="str">
            <v>km/kg</v>
          </cell>
          <cell r="J93" t="str">
            <v>Hydrogen 2022 RIGID TRUCK - EMPTY Fuel Cell 290 kW REGIONAL DELIVERY 9827 kg 4.1 kg /100km 37%</v>
          </cell>
          <cell r="M93">
            <v>9827</v>
          </cell>
        </row>
        <row r="94">
          <cell r="A94" t="str">
            <v>2022 RIGID TRUCK - EMPTY</v>
          </cell>
          <cell r="B94" t="str">
            <v>LONG HAUL</v>
          </cell>
          <cell r="C94" t="str">
            <v>Fuel Cell 290 kW</v>
          </cell>
          <cell r="D94" t="str">
            <v>Hydrogen</v>
          </cell>
          <cell r="E94">
            <v>5.4963602926901585</v>
          </cell>
          <cell r="F94">
            <v>2.263980358839035</v>
          </cell>
          <cell r="G94">
            <v>0.41190537706379948</v>
          </cell>
          <cell r="H94">
            <v>21.614303588867188</v>
          </cell>
          <cell r="I94" t="str">
            <v>km/kg</v>
          </cell>
          <cell r="J94" t="str">
            <v>Hydrogen 2022 RIGID TRUCK - EMPTY Fuel Cell 290 kW LONG HAUL 9827 kg 4.6 kg /100km 41%</v>
          </cell>
          <cell r="M94">
            <v>9827</v>
          </cell>
        </row>
        <row r="95">
          <cell r="A95" t="str">
            <v>2022 RIGID TRUCK - TYPICAL</v>
          </cell>
          <cell r="B95" t="str">
            <v>URBAN DELIVERY</v>
          </cell>
          <cell r="C95" t="str">
            <v>Fuel Cell 290 kW</v>
          </cell>
          <cell r="D95" t="str">
            <v>Hydrogen</v>
          </cell>
          <cell r="E95">
            <v>6.8481271098929906</v>
          </cell>
          <cell r="F95">
            <v>1.6339920163154602</v>
          </cell>
          <cell r="G95">
            <v>0.23860421836431028</v>
          </cell>
          <cell r="H95">
            <v>17.347808837890625</v>
          </cell>
          <cell r="I95" t="str">
            <v>km/kg</v>
          </cell>
          <cell r="J95" t="str">
            <v>Hydrogen 2022 RIGID TRUCK - TYPICAL Fuel Cell 290 kW URBAN DELIVERY 20094.745 kg 5.8 kg /100km 24%</v>
          </cell>
          <cell r="M95">
            <v>20094.744999999999</v>
          </cell>
        </row>
        <row r="96">
          <cell r="A96" t="str">
            <v>2022 RIGID TRUCK - TYPICAL</v>
          </cell>
          <cell r="B96" t="str">
            <v>REGIONAL DELIVERY</v>
          </cell>
          <cell r="C96" t="str">
            <v>Fuel Cell 290 kW</v>
          </cell>
          <cell r="D96" t="str">
            <v>Hydrogen</v>
          </cell>
          <cell r="E96">
            <v>6.6515564869677988</v>
          </cell>
          <cell r="F96">
            <v>2.3262148499488831</v>
          </cell>
          <cell r="G96">
            <v>0.34972488837861759</v>
          </cell>
          <cell r="H96">
            <v>17.860481262207031</v>
          </cell>
          <cell r="I96" t="str">
            <v>km/kg</v>
          </cell>
          <cell r="J96" t="str">
            <v>Hydrogen 2022 RIGID TRUCK - TYPICAL Fuel Cell 290 kW REGIONAL DELIVERY 20094.745 kg 5.6 kg /100km 35%</v>
          </cell>
          <cell r="M96">
            <v>20094.744999999999</v>
          </cell>
        </row>
        <row r="97">
          <cell r="A97" t="str">
            <v>2022 RIGID TRUCK - TYPICAL</v>
          </cell>
          <cell r="B97" t="str">
            <v>LONG HAUL</v>
          </cell>
          <cell r="C97" t="str">
            <v>Fuel Cell 290 kW</v>
          </cell>
          <cell r="D97" t="str">
            <v>Hydrogen</v>
          </cell>
          <cell r="E97">
            <v>6.6198528581823011</v>
          </cell>
          <cell r="F97">
            <v>2.7676565051078796</v>
          </cell>
          <cell r="G97">
            <v>0.41808429347292636</v>
          </cell>
          <cell r="H97">
            <v>17.946018218994141</v>
          </cell>
          <cell r="I97" t="str">
            <v>km/kg</v>
          </cell>
          <cell r="J97" t="str">
            <v>Hydrogen 2022 RIGID TRUCK - TYPICAL Fuel Cell 290 kW LONG HAUL 20094.745 kg 5.6 kg /100km 42%</v>
          </cell>
          <cell r="M97">
            <v>20094.744999999999</v>
          </cell>
        </row>
        <row r="98">
          <cell r="A98" t="str">
            <v>2022 RIGID TRUCK - FULL</v>
          </cell>
          <cell r="B98" t="str">
            <v>URBAN DELIVERY</v>
          </cell>
          <cell r="C98" t="str">
            <v>Fuel Cell 290 kW</v>
          </cell>
          <cell r="D98" t="str">
            <v>Hydrogen</v>
          </cell>
          <cell r="E98">
            <v>9.2410449217728523</v>
          </cell>
          <cell r="F98">
            <v>1.9996832609176636</v>
          </cell>
          <cell r="G98">
            <v>0.21639146631634743</v>
          </cell>
          <cell r="H98">
            <v>12.85568904876709</v>
          </cell>
          <cell r="I98" t="str">
            <v>km/kg</v>
          </cell>
          <cell r="J98" t="str">
            <v>Hydrogen 2022 RIGID TRUCK - FULL Fuel Cell 290 kW URBAN DELIVERY 28000 kg 7.8 kg /100km 22%</v>
          </cell>
          <cell r="M98">
            <v>28000</v>
          </cell>
        </row>
        <row r="99">
          <cell r="A99" t="str">
            <v>2022 RIGID TRUCK - FULL</v>
          </cell>
          <cell r="B99" t="str">
            <v>REGIONAL DELIVERY</v>
          </cell>
          <cell r="C99" t="str">
            <v>Fuel Cell 290 kW</v>
          </cell>
          <cell r="D99" t="str">
            <v>Hydrogen</v>
          </cell>
          <cell r="E99">
            <v>8.1232522554639868</v>
          </cell>
          <cell r="F99">
            <v>2.7101609706878662</v>
          </cell>
          <cell r="G99">
            <v>0.33363003947894343</v>
          </cell>
          <cell r="H99">
            <v>14.62468433380127</v>
          </cell>
          <cell r="I99" t="str">
            <v>km/kg</v>
          </cell>
          <cell r="J99" t="str">
            <v>Hydrogen 2022 RIGID TRUCK - FULL Fuel Cell 290 kW REGIONAL DELIVERY 28000 kg 6.8 kg /100km 33%</v>
          </cell>
          <cell r="M99">
            <v>28000</v>
          </cell>
        </row>
        <row r="100">
          <cell r="A100" t="str">
            <v>2022 RIGID TRUCK - FULL</v>
          </cell>
          <cell r="B100" t="str">
            <v>LONG HAUL</v>
          </cell>
          <cell r="C100" t="str">
            <v>Fuel Cell 290 kW</v>
          </cell>
          <cell r="D100" t="str">
            <v>Hydrogen</v>
          </cell>
          <cell r="E100">
            <v>7.5652743524816239</v>
          </cell>
          <cell r="F100">
            <v>3.1553997993469238</v>
          </cell>
          <cell r="G100">
            <v>0.41708993650862952</v>
          </cell>
          <cell r="H100">
            <v>15.703330039978027</v>
          </cell>
          <cell r="I100" t="str">
            <v>km/kg</v>
          </cell>
          <cell r="J100" t="str">
            <v>Hydrogen 2022 RIGID TRUCK - FULL Fuel Cell 290 kW LONG HAUL 28000 kg 6.4 kg /100km 42%</v>
          </cell>
          <cell r="M100">
            <v>28000</v>
          </cell>
        </row>
        <row r="101">
          <cell r="A101" t="str">
            <v>2022 TRUCK WITH TRAILER - EMPTY</v>
          </cell>
          <cell r="B101" t="str">
            <v>URBAN DELIVERY</v>
          </cell>
          <cell r="C101" t="str">
            <v>Fuel Cell 290 kW</v>
          </cell>
          <cell r="D101" t="str">
            <v>Hydrogen</v>
          </cell>
          <cell r="E101">
            <v>5.5134346331503528</v>
          </cell>
          <cell r="F101">
            <v>1.5092143416404724</v>
          </cell>
          <cell r="G101">
            <v>0.27373396839895314</v>
          </cell>
          <cell r="H101">
            <v>21.547367095947266</v>
          </cell>
          <cell r="I101" t="str">
            <v>km/kg</v>
          </cell>
          <cell r="J101" t="str">
            <v>Hydrogen 2022 TRUCK WITH TRAILER - EMPTY Fuel Cell 290 kW URBAN DELIVERY 14623.73931275 kg 4.6 kg /100km 27%</v>
          </cell>
          <cell r="M101">
            <v>14623.73931275</v>
          </cell>
        </row>
        <row r="102">
          <cell r="A102" t="str">
            <v>2022 TRUCK WITH TRAILER - EMPTY</v>
          </cell>
          <cell r="B102" t="str">
            <v>REGIONAL DELIVERY</v>
          </cell>
          <cell r="C102" t="str">
            <v>Fuel Cell 290 kW</v>
          </cell>
          <cell r="D102" t="str">
            <v>Hydrogen</v>
          </cell>
          <cell r="E102">
            <v>6.2549617730331146</v>
          </cell>
          <cell r="F102">
            <v>2.3366232514381409</v>
          </cell>
          <cell r="G102">
            <v>0.37356315453628758</v>
          </cell>
          <cell r="H102">
            <v>18.992921829223633</v>
          </cell>
          <cell r="I102" t="str">
            <v>km/kg</v>
          </cell>
          <cell r="J102" t="str">
            <v>Hydrogen 2022 TRUCK WITH TRAILER - EMPTY Fuel Cell 290 kW REGIONAL DELIVERY 14623.73931275 kg 5.3 kg /100km 37%</v>
          </cell>
          <cell r="M102">
            <v>14623.73931275</v>
          </cell>
        </row>
        <row r="103">
          <cell r="A103" t="str">
            <v>2022 TRUCK WITH TRAILER - EMPTY</v>
          </cell>
          <cell r="B103" t="str">
            <v>LONG HAUL</v>
          </cell>
          <cell r="C103" t="str">
            <v>Fuel Cell 290 kW</v>
          </cell>
          <cell r="D103" t="str">
            <v>Hydrogen</v>
          </cell>
          <cell r="E103">
            <v>6.7694797344090523</v>
          </cell>
          <cell r="F103">
            <v>2.8679699897766113</v>
          </cell>
          <cell r="G103">
            <v>0.42366180301845208</v>
          </cell>
          <cell r="H103">
            <v>17.549354553222656</v>
          </cell>
          <cell r="I103" t="str">
            <v>km/kg</v>
          </cell>
          <cell r="J103" t="str">
            <v>Hydrogen 2022 TRUCK WITH TRAILER - EMPTY Fuel Cell 290 kW LONG HAUL 14623.73931275 kg 5.7 kg /100km 42%</v>
          </cell>
          <cell r="M103">
            <v>14623.73931275</v>
          </cell>
        </row>
        <row r="104">
          <cell r="A104" t="str">
            <v>2022 TRUCK WITH TRAILER - TYPICAL</v>
          </cell>
          <cell r="B104" t="str">
            <v>URBAN DELIVERY</v>
          </cell>
          <cell r="C104" t="str">
            <v>Fuel Cell 290 kW</v>
          </cell>
          <cell r="D104" t="str">
            <v>Hydrogen</v>
          </cell>
          <cell r="E104">
            <v>12.782996890418419</v>
          </cell>
          <cell r="F104">
            <v>2.6317611336708069</v>
          </cell>
          <cell r="G104">
            <v>0.20587982272321925</v>
          </cell>
          <cell r="H104">
            <v>9.2935953140258789</v>
          </cell>
          <cell r="I104" t="str">
            <v>km/kg</v>
          </cell>
          <cell r="J104" t="str">
            <v>Hydrogen 2022 TRUCK WITH TRAILER - TYPICAL Fuel Cell 290 kW URBAN DELIVERY 39131.3266010463 kg 10.8 kg /100km 21%</v>
          </cell>
          <cell r="M104">
            <v>39131.326601046254</v>
          </cell>
        </row>
        <row r="105">
          <cell r="A105" t="str">
            <v>2022 TRUCK WITH TRAILER - TYPICAL</v>
          </cell>
          <cell r="B105" t="str">
            <v>REGIONAL DELIVERY</v>
          </cell>
          <cell r="C105" t="str">
            <v>Fuel Cell 290 kW</v>
          </cell>
          <cell r="D105" t="str">
            <v>Hydrogen</v>
          </cell>
          <cell r="E105">
            <v>10.752666897422639</v>
          </cell>
          <cell r="F105">
            <v>3.5209494829177856</v>
          </cell>
          <cell r="G105">
            <v>0.32744894978209915</v>
          </cell>
          <cell r="H105">
            <v>11.048421859741211</v>
          </cell>
          <cell r="I105" t="str">
            <v>km/kg</v>
          </cell>
          <cell r="J105" t="str">
            <v>Hydrogen 2022 TRUCK WITH TRAILER - TYPICAL Fuel Cell 290 kW REGIONAL DELIVERY 39131.3266010463 kg 9.1 kg /100km 33%</v>
          </cell>
          <cell r="M105">
            <v>39131.326601046254</v>
          </cell>
        </row>
        <row r="106">
          <cell r="A106" t="str">
            <v>2022 TRUCK WITH TRAILER - TYPICAL</v>
          </cell>
          <cell r="B106" t="str">
            <v>LONG HAUL</v>
          </cell>
          <cell r="C106" t="str">
            <v>Fuel Cell 290 kW</v>
          </cell>
          <cell r="D106" t="str">
            <v>Hydrogen</v>
          </cell>
          <cell r="E106">
            <v>9.6497848430675166</v>
          </cell>
          <cell r="F106">
            <v>4.0697423219680786</v>
          </cell>
          <cell r="G106">
            <v>0.42174435887985778</v>
          </cell>
          <cell r="H106">
            <v>12.311155319213867</v>
          </cell>
          <cell r="I106" t="str">
            <v>km/kg</v>
          </cell>
          <cell r="J106" t="str">
            <v>Hydrogen 2022 TRUCK WITH TRAILER - TYPICAL Fuel Cell 290 kW LONG HAUL 39131.3266010463 kg 8.1 kg /100km 42%</v>
          </cell>
          <cell r="M106">
            <v>39131.326601046254</v>
          </cell>
        </row>
        <row r="107">
          <cell r="A107" t="str">
            <v>2022 TRUCK WITH TRAILER - FULL</v>
          </cell>
          <cell r="B107" t="str">
            <v>URBAN DELIVERY</v>
          </cell>
          <cell r="C107" t="str">
            <v>Fuel Cell 290 kW</v>
          </cell>
          <cell r="D107" t="str">
            <v>Hydrogen</v>
          </cell>
          <cell r="E107">
            <v>17.774226843398505</v>
          </cell>
          <cell r="F107">
            <v>3.4799278974533081</v>
          </cell>
          <cell r="G107">
            <v>0.19578505034922417</v>
          </cell>
          <cell r="H107">
            <v>6.6838350296020508</v>
          </cell>
          <cell r="I107" t="str">
            <v>km/kg</v>
          </cell>
          <cell r="J107" t="str">
            <v>Hydrogen 2022 TRUCK WITH TRAILER - FULL Fuel Cell 290 kW URBAN DELIVERY 58000 kg 15.0 kg /100km 20%</v>
          </cell>
          <cell r="M107">
            <v>58000</v>
          </cell>
        </row>
        <row r="108">
          <cell r="A108" t="str">
            <v>2022 TRUCK WITH TRAILER - FULL</v>
          </cell>
          <cell r="B108" t="str">
            <v>REGIONAL DELIVERY</v>
          </cell>
          <cell r="C108" t="str">
            <v>Fuel Cell 290 kW</v>
          </cell>
          <cell r="D108" t="str">
            <v>Hydrogen</v>
          </cell>
          <cell r="E108">
            <v>14.05366177414764</v>
          </cell>
          <cell r="F108">
            <v>4.4148313999176025</v>
          </cell>
          <cell r="G108">
            <v>0.3141410025989731</v>
          </cell>
          <cell r="H108">
            <v>8.453312873840332</v>
          </cell>
          <cell r="I108" t="str">
            <v>km/kg</v>
          </cell>
          <cell r="J108" t="str">
            <v>Hydrogen 2022 TRUCK WITH TRAILER - FULL Fuel Cell 290 kW REGIONAL DELIVERY 58000 kg 11.8 kg /100km 31%</v>
          </cell>
          <cell r="M108">
            <v>58000</v>
          </cell>
        </row>
        <row r="109">
          <cell r="A109" t="str">
            <v>2022 TRUCK WITH TRAILER - FULL</v>
          </cell>
          <cell r="B109" t="str">
            <v>LONG HAUL</v>
          </cell>
          <cell r="C109" t="str">
            <v>Fuel Cell 290 kW</v>
          </cell>
          <cell r="D109" t="str">
            <v>Hydrogen</v>
          </cell>
          <cell r="E109">
            <v>11.89244277856098</v>
          </cell>
          <cell r="F109">
            <v>4.9936258792877197</v>
          </cell>
          <cell r="G109">
            <v>0.41989908820834898</v>
          </cell>
          <cell r="H109">
            <v>9.989537239074707</v>
          </cell>
          <cell r="I109" t="str">
            <v>km/kg</v>
          </cell>
          <cell r="J109" t="str">
            <v>Hydrogen 2022 TRUCK WITH TRAILER - FULL Fuel Cell 290 kW LONG HAUL 58000 kg 10.0 kg /100km 42%</v>
          </cell>
          <cell r="M109">
            <v>58000</v>
          </cell>
        </row>
        <row r="110">
          <cell r="A110" t="str">
            <v>2022 SEMI TRUCK - EMPTY</v>
          </cell>
          <cell r="B110" t="str">
            <v>URBAN DELIVERY</v>
          </cell>
          <cell r="C110" t="str">
            <v>Fuel Cell 290 kW</v>
          </cell>
          <cell r="D110" t="str">
            <v>Hydrogen</v>
          </cell>
          <cell r="E110">
            <v>5.1234303270344803</v>
          </cell>
          <cell r="F110">
            <v>1.365938663482666</v>
          </cell>
          <cell r="G110">
            <v>0.26660627280810356</v>
          </cell>
          <cell r="H110">
            <v>23.187589645385742</v>
          </cell>
          <cell r="I110" t="str">
            <v>km/kg</v>
          </cell>
          <cell r="J110" t="str">
            <v>Hydrogen 2022 SEMI TRUCK - EMPTY Fuel Cell 290 kW URBAN DELIVERY 14000 kg 4.3 kg /100km 27%</v>
          </cell>
          <cell r="M110">
            <v>14000</v>
          </cell>
        </row>
        <row r="111">
          <cell r="A111" t="str">
            <v>2022 SEMI TRUCK - EMPTY</v>
          </cell>
          <cell r="B111" t="str">
            <v>REGIONAL DELIVERY</v>
          </cell>
          <cell r="C111" t="str">
            <v>Fuel Cell 290 kW</v>
          </cell>
          <cell r="D111" t="str">
            <v>Hydrogen</v>
          </cell>
          <cell r="E111">
            <v>5.6775184072609042</v>
          </cell>
          <cell r="F111">
            <v>2.0747497081756592</v>
          </cell>
          <cell r="G111">
            <v>0.36543249345035833</v>
          </cell>
          <cell r="H111">
            <v>20.92463493347168</v>
          </cell>
          <cell r="I111" t="str">
            <v>km/kg</v>
          </cell>
          <cell r="J111" t="str">
            <v>Hydrogen 2022 SEMI TRUCK - EMPTY Fuel Cell 290 kW REGIONAL DELIVERY 14000 kg 4.8 kg /100km 37%</v>
          </cell>
          <cell r="M111">
            <v>14000</v>
          </cell>
        </row>
        <row r="112">
          <cell r="A112" t="str">
            <v>2022 SEMI TRUCK - EMPTY</v>
          </cell>
          <cell r="B112" t="str">
            <v>LONG HAUL</v>
          </cell>
          <cell r="C112" t="str">
            <v>Fuel Cell 290 kW</v>
          </cell>
          <cell r="D112" t="str">
            <v>Hydrogen</v>
          </cell>
          <cell r="E112">
            <v>6.0600366664561856</v>
          </cell>
          <cell r="F112">
            <v>2.5301297903060913</v>
          </cell>
          <cell r="G112">
            <v>0.41751064053968368</v>
          </cell>
          <cell r="H112">
            <v>19.603841781616211</v>
          </cell>
          <cell r="I112" t="str">
            <v>km/kg</v>
          </cell>
          <cell r="J112" t="str">
            <v>Hydrogen 2022 SEMI TRUCK - EMPTY Fuel Cell 290 kW LONG HAUL 14000 kg 5.1 kg /100km 42%</v>
          </cell>
          <cell r="M112">
            <v>14000</v>
          </cell>
        </row>
        <row r="113">
          <cell r="A113" t="str">
            <v>2022 SEMI TRUCK - TYPICAL</v>
          </cell>
          <cell r="B113" t="str">
            <v>URBAN DELIVERY</v>
          </cell>
          <cell r="C113" t="str">
            <v>Fuel Cell 290 kW</v>
          </cell>
          <cell r="D113" t="str">
            <v>Hydrogen</v>
          </cell>
          <cell r="E113">
            <v>11.51426493040927</v>
          </cell>
          <cell r="F113">
            <v>2.3634082078933716</v>
          </cell>
          <cell r="G113">
            <v>0.20525914786375904</v>
          </cell>
          <cell r="H113">
            <v>10.317636489868164</v>
          </cell>
          <cell r="I113" t="str">
            <v>km/kg</v>
          </cell>
          <cell r="J113" t="str">
            <v>Hydrogen 2022 SEMI TRUCK - TYPICAL Fuel Cell 290 kW URBAN DELIVERY 35470 kg 9.7 kg /100km 21%</v>
          </cell>
          <cell r="M113">
            <v>35470</v>
          </cell>
        </row>
        <row r="114">
          <cell r="A114" t="str">
            <v>2022 SEMI TRUCK - TYPICAL</v>
          </cell>
          <cell r="B114" t="str">
            <v>REGIONAL DELIVERY</v>
          </cell>
          <cell r="C114" t="str">
            <v>Fuel Cell 290 kW</v>
          </cell>
          <cell r="D114" t="str">
            <v>Hydrogen</v>
          </cell>
          <cell r="E114">
            <v>9.6260388607488423</v>
          </cell>
          <cell r="F114">
            <v>3.1172147989273071</v>
          </cell>
          <cell r="G114">
            <v>0.32383152031912826</v>
          </cell>
          <cell r="H114">
            <v>12.341525077819824</v>
          </cell>
          <cell r="I114" t="str">
            <v>km/kg</v>
          </cell>
          <cell r="J114" t="str">
            <v>Hydrogen 2022 SEMI TRUCK - TYPICAL Fuel Cell 290 kW REGIONAL DELIVERY 35470 kg 8.1 kg /100km 32%</v>
          </cell>
          <cell r="M114">
            <v>35470</v>
          </cell>
        </row>
        <row r="115">
          <cell r="A115" t="str">
            <v>2022 SEMI TRUCK - TYPICAL</v>
          </cell>
          <cell r="B115" t="str">
            <v>LONG HAUL</v>
          </cell>
          <cell r="C115" t="str">
            <v>Fuel Cell 290 kW</v>
          </cell>
          <cell r="D115" t="str">
            <v>Hydrogen</v>
          </cell>
          <cell r="E115">
            <v>8.6001354251698618</v>
          </cell>
          <cell r="F115">
            <v>3.5831567049026489</v>
          </cell>
          <cell r="G115">
            <v>0.41663956760679471</v>
          </cell>
          <cell r="H115">
            <v>13.813735961914063</v>
          </cell>
          <cell r="I115" t="str">
            <v>km/kg</v>
          </cell>
          <cell r="J115" t="str">
            <v>Hydrogen 2022 SEMI TRUCK - TYPICAL Fuel Cell 290 kW LONG HAUL 35470 kg 7.2 kg /100km 42%</v>
          </cell>
          <cell r="M115">
            <v>35470</v>
          </cell>
        </row>
        <row r="116">
          <cell r="A116" t="str">
            <v>2022 SEMI TRUCK - FULL</v>
          </cell>
          <cell r="B116" t="str">
            <v>URBAN DELIVERY</v>
          </cell>
          <cell r="C116" t="str">
            <v>Fuel Cell 290 kW</v>
          </cell>
          <cell r="D116" t="str">
            <v>Hydrogen</v>
          </cell>
          <cell r="E116">
            <v>16.190117634581974</v>
          </cell>
          <cell r="F116">
            <v>3.1176701784133911</v>
          </cell>
          <cell r="G116">
            <v>0.19256624619910545</v>
          </cell>
          <cell r="H116">
            <v>7.3378095626831055</v>
          </cell>
          <cell r="I116" t="str">
            <v>km/kg</v>
          </cell>
          <cell r="J116" t="str">
            <v>Hydrogen 2022 SEMI TRUCK - FULL Fuel Cell 290 kW URBAN DELIVERY 52000 kg 13.6 kg /100km 19%</v>
          </cell>
          <cell r="M116">
            <v>52000</v>
          </cell>
        </row>
        <row r="117">
          <cell r="A117" t="str">
            <v>2022 SEMI TRUCK - FULL</v>
          </cell>
          <cell r="B117" t="str">
            <v>REGIONAL DELIVERY</v>
          </cell>
          <cell r="C117" t="str">
            <v>Fuel Cell 290 kW</v>
          </cell>
          <cell r="D117" t="str">
            <v>Hydrogen</v>
          </cell>
          <cell r="E117">
            <v>12.618508941182764</v>
          </cell>
          <cell r="F117">
            <v>3.9069341421127319</v>
          </cell>
          <cell r="G117">
            <v>0.3096193187581579</v>
          </cell>
          <cell r="H117">
            <v>9.4147415161132813</v>
          </cell>
          <cell r="I117" t="str">
            <v>km/kg</v>
          </cell>
          <cell r="J117" t="str">
            <v>Hydrogen 2022 SEMI TRUCK - FULL Fuel Cell 290 kW REGIONAL DELIVERY 52000 kg 10.6 kg /100km 31%</v>
          </cell>
          <cell r="M117">
            <v>52000</v>
          </cell>
        </row>
        <row r="118">
          <cell r="A118" t="str">
            <v>2022 SEMI TRUCK - FULL</v>
          </cell>
          <cell r="B118" t="str">
            <v>LONG HAUL</v>
          </cell>
          <cell r="C118" t="str">
            <v>Fuel Cell 290 kW</v>
          </cell>
          <cell r="D118" t="str">
            <v>Hydrogen</v>
          </cell>
          <cell r="E118">
            <v>10.590345905923805</v>
          </cell>
          <cell r="F118">
            <v>4.3930422067642212</v>
          </cell>
          <cell r="G118">
            <v>0.41481574311061303</v>
          </cell>
          <cell r="H118">
            <v>11.217763900756836</v>
          </cell>
          <cell r="I118" t="str">
            <v>km/kg</v>
          </cell>
          <cell r="J118" t="str">
            <v>Hydrogen 2022 SEMI TRUCK - FULL Fuel Cell 290 kW LONG HAUL 52000 kg 8.9 kg /100km 41%</v>
          </cell>
          <cell r="M118">
            <v>52000</v>
          </cell>
        </row>
        <row r="119">
          <cell r="A119" t="str">
            <v>2022 CITY BUS - EMPTY</v>
          </cell>
          <cell r="B119" t="str">
            <v>CITY ROUTE</v>
          </cell>
          <cell r="C119" t="str">
            <v>Fuel Cell 290 kW</v>
          </cell>
          <cell r="D119" t="str">
            <v>Hydrogen</v>
          </cell>
          <cell r="E119">
            <v>6.8931820536089781</v>
          </cell>
          <cell r="F119">
            <v>1.2054142355918884</v>
          </cell>
          <cell r="G119">
            <v>0.17487050627957587</v>
          </cell>
          <cell r="H119">
            <v>17.234420776367188</v>
          </cell>
          <cell r="I119" t="str">
            <v>km/kg</v>
          </cell>
          <cell r="J119" t="str">
            <v>Hydrogen 2022 CITY BUS - EMPTY Fuel Cell 290 kW CITY ROUTE 12550 kg 5.8 kg /100km 17%</v>
          </cell>
          <cell r="M119">
            <v>12550</v>
          </cell>
        </row>
        <row r="120">
          <cell r="A120" t="str">
            <v>2022 CITY BUS - EMPTY</v>
          </cell>
          <cell r="B120" t="str">
            <v>RURAL ROUTE</v>
          </cell>
          <cell r="C120" t="str">
            <v>Fuel Cell 290 kW</v>
          </cell>
          <cell r="D120" t="str">
            <v>Hydrogen</v>
          </cell>
          <cell r="E120">
            <v>5.6721159415221809</v>
          </cell>
          <cell r="F120">
            <v>2.1193692684173584</v>
          </cell>
          <cell r="G120">
            <v>0.37364702877505002</v>
          </cell>
          <cell r="H120">
            <v>20.944564819335938</v>
          </cell>
          <cell r="I120" t="str">
            <v>km/kg</v>
          </cell>
          <cell r="J120" t="str">
            <v>Hydrogen 2022 CITY BUS - EMPTY Fuel Cell 290 kW RURAL ROUTE 12550 kg 4.8 kg /100km 37%</v>
          </cell>
          <cell r="M120">
            <v>12550</v>
          </cell>
        </row>
        <row r="121">
          <cell r="A121" t="str">
            <v>2022 CITY BUS - EMPTY</v>
          </cell>
          <cell r="B121" t="str">
            <v>MOTORWAY</v>
          </cell>
          <cell r="C121" t="str">
            <v>Fuel Cell 290 kW</v>
          </cell>
          <cell r="D121" t="str">
            <v>Hydrogen</v>
          </cell>
          <cell r="E121">
            <v>6.2275275985069634</v>
          </cell>
          <cell r="F121">
            <v>2.6126183271408081</v>
          </cell>
          <cell r="G121">
            <v>0.41952737837198473</v>
          </cell>
          <cell r="H121">
            <v>19.076591491699219</v>
          </cell>
          <cell r="I121" t="str">
            <v>km/kg</v>
          </cell>
          <cell r="J121" t="str">
            <v>Hydrogen 2022 CITY BUS - EMPTY Fuel Cell 290 kW MOTORWAY 12550 kg 5.2 kg /100km 42%</v>
          </cell>
          <cell r="M121">
            <v>12550</v>
          </cell>
        </row>
        <row r="122">
          <cell r="A122" t="str">
            <v>2022 CITY BUS - TYPICAL</v>
          </cell>
          <cell r="B122" t="str">
            <v>CITY ROUTE</v>
          </cell>
          <cell r="C122" t="str">
            <v>Fuel Cell 290 kW</v>
          </cell>
          <cell r="D122" t="str">
            <v>Hydrogen</v>
          </cell>
          <cell r="E122">
            <v>7.1738769188135842</v>
          </cell>
          <cell r="F122">
            <v>1.2326709032058716</v>
          </cell>
          <cell r="G122">
            <v>0.17182771842282049</v>
          </cell>
          <cell r="H122">
            <v>16.560083389282227</v>
          </cell>
          <cell r="I122" t="str">
            <v>km/kg</v>
          </cell>
          <cell r="J122" t="str">
            <v>Hydrogen 2022 CITY BUS - TYPICAL Fuel Cell 290 kW CITY ROUTE 13124 kg 6.0 kg /100km 17%</v>
          </cell>
          <cell r="M122">
            <v>13124</v>
          </cell>
        </row>
        <row r="123">
          <cell r="A123" t="str">
            <v>2022 CITY BUS - TYPICAL</v>
          </cell>
          <cell r="B123" t="str">
            <v>RURAL ROUTE</v>
          </cell>
          <cell r="C123" t="str">
            <v>Fuel Cell 290 kW</v>
          </cell>
          <cell r="D123" t="str">
            <v>Hydrogen</v>
          </cell>
          <cell r="E123">
            <v>5.7672801415583086</v>
          </cell>
          <cell r="F123">
            <v>2.1475023031234741</v>
          </cell>
          <cell r="G123">
            <v>0.37235963060799454</v>
          </cell>
          <cell r="H123">
            <v>20.598964691162109</v>
          </cell>
          <cell r="I123" t="str">
            <v>km/kg</v>
          </cell>
          <cell r="J123" t="str">
            <v>Hydrogen 2022 CITY BUS - TYPICAL Fuel Cell 290 kW RURAL ROUTE 13124 kg 4.9 kg /100km 37%</v>
          </cell>
          <cell r="M123">
            <v>13124</v>
          </cell>
        </row>
        <row r="124">
          <cell r="A124" t="str">
            <v>2022 CITY BUS - TYPICAL</v>
          </cell>
          <cell r="B124" t="str">
            <v>MOTORWAY</v>
          </cell>
          <cell r="C124" t="str">
            <v>Fuel Cell 290 kW</v>
          </cell>
          <cell r="D124" t="str">
            <v>Hydrogen</v>
          </cell>
          <cell r="E124">
            <v>6.2883346993219726</v>
          </cell>
          <cell r="F124">
            <v>2.6407755613327026</v>
          </cell>
          <cell r="G124">
            <v>0.41994831503123381</v>
          </cell>
          <cell r="H124">
            <v>18.892124176025391</v>
          </cell>
          <cell r="I124" t="str">
            <v>km/kg</v>
          </cell>
          <cell r="J124" t="str">
            <v>Hydrogen 2022 CITY BUS - TYPICAL Fuel Cell 290 kW MOTORWAY 13124 kg 5.3 kg /100km 42%</v>
          </cell>
          <cell r="M124">
            <v>13124</v>
          </cell>
        </row>
        <row r="125">
          <cell r="A125" t="str">
            <v>2022 CITY BUS - FULL</v>
          </cell>
          <cell r="B125" t="str">
            <v>CITY ROUTE</v>
          </cell>
          <cell r="C125" t="str">
            <v>Fuel Cell 290 kW</v>
          </cell>
          <cell r="D125" t="str">
            <v>Hydrogen</v>
          </cell>
          <cell r="E125">
            <v>9.6066474442454552</v>
          </cell>
          <cell r="F125">
            <v>1.4611959457397461</v>
          </cell>
          <cell r="G125">
            <v>0.15210258877721461</v>
          </cell>
          <cell r="H125">
            <v>12.366436958312988</v>
          </cell>
          <cell r="I125" t="str">
            <v>km/kg</v>
          </cell>
          <cell r="J125" t="str">
            <v>Hydrogen 2022 CITY BUS - FULL Fuel Cell 290 kW CITY ROUTE 18000 kg 8.1 kg /100km 15%</v>
          </cell>
          <cell r="M125">
            <v>18000</v>
          </cell>
        </row>
        <row r="126">
          <cell r="A126" t="str">
            <v>2022 CITY BUS - FULL</v>
          </cell>
          <cell r="B126" t="str">
            <v>RURAL ROUTE</v>
          </cell>
          <cell r="C126" t="str">
            <v>Fuel Cell 290 kW</v>
          </cell>
          <cell r="D126" t="str">
            <v>Hydrogen</v>
          </cell>
          <cell r="E126">
            <v>6.6019510949032769</v>
          </cell>
          <cell r="F126">
            <v>2.3858749866485596</v>
          </cell>
          <cell r="G126">
            <v>0.3613893760119582</v>
          </cell>
          <cell r="H126">
            <v>17.994680404663086</v>
          </cell>
          <cell r="I126" t="str">
            <v>km/kg</v>
          </cell>
          <cell r="J126" t="str">
            <v>Hydrogen 2022 CITY BUS - FULL Fuel Cell 290 kW RURAL ROUTE 18000 kg 5.6 kg /100km 36%</v>
          </cell>
          <cell r="M126">
            <v>18000</v>
          </cell>
        </row>
        <row r="127">
          <cell r="A127" t="str">
            <v>2022 CITY BUS - FULL</v>
          </cell>
          <cell r="B127" t="str">
            <v>MOTORWAY</v>
          </cell>
          <cell r="C127" t="str">
            <v>Fuel Cell 290 kW</v>
          </cell>
          <cell r="D127" t="str">
            <v>Hydrogen</v>
          </cell>
          <cell r="E127">
            <v>6.8206622256641358</v>
          </cell>
          <cell r="F127">
            <v>2.8799553513526917</v>
          </cell>
          <cell r="G127">
            <v>0.42223984359117961</v>
          </cell>
          <cell r="H127">
            <v>17.41766357421875</v>
          </cell>
          <cell r="I127" t="str">
            <v>km/kg</v>
          </cell>
          <cell r="J127" t="str">
            <v>Hydrogen 2022 CITY BUS - FULL Fuel Cell 290 kW MOTORWAY 18000 kg 5.7 kg /100km 42%</v>
          </cell>
          <cell r="M127">
            <v>18000</v>
          </cell>
        </row>
        <row r="128">
          <cell r="A128" t="str">
            <v>2022 TOURIST BUS - EMPTY</v>
          </cell>
          <cell r="B128" t="str">
            <v>CITY ROUTE</v>
          </cell>
          <cell r="C128" t="str">
            <v>Fuel Cell 290 kW</v>
          </cell>
          <cell r="D128" t="str">
            <v>Hydrogen</v>
          </cell>
          <cell r="E128">
            <v>7.1875645171508555</v>
          </cell>
          <cell r="F128">
            <v>1.1599404811859131</v>
          </cell>
          <cell r="G128">
            <v>0.16138157486003513</v>
          </cell>
          <cell r="H128">
            <v>16.528547286987305</v>
          </cell>
          <cell r="I128" t="str">
            <v>km/kg</v>
          </cell>
          <cell r="J128" t="str">
            <v>Hydrogen 2022 TOURIST BUS - EMPTY Fuel Cell 290 kW CITY ROUTE 13500 kg 6.1 kg /100km 16%</v>
          </cell>
          <cell r="M128">
            <v>13500</v>
          </cell>
        </row>
        <row r="129">
          <cell r="A129" t="str">
            <v>2022 TOURIST BUS - EMPTY</v>
          </cell>
          <cell r="B129" t="str">
            <v>RURAL ROUTE</v>
          </cell>
          <cell r="C129" t="str">
            <v>Fuel Cell 290 kW</v>
          </cell>
          <cell r="D129" t="str">
            <v>Hydrogen</v>
          </cell>
          <cell r="E129">
            <v>5.3581413786328191</v>
          </cell>
          <cell r="F129">
            <v>1.9345880746841431</v>
          </cell>
          <cell r="G129">
            <v>0.36105580983713642</v>
          </cell>
          <cell r="H129">
            <v>22.171867370605469</v>
          </cell>
          <cell r="I129" t="str">
            <v>km/kg</v>
          </cell>
          <cell r="J129" t="str">
            <v>Hydrogen 2022 TOURIST BUS - EMPTY Fuel Cell 290 kW RURAL ROUTE 13500 kg 4.5 kg /100km 36%</v>
          </cell>
          <cell r="M129">
            <v>13500</v>
          </cell>
        </row>
        <row r="130">
          <cell r="A130" t="str">
            <v>2022 TOURIST BUS - EMPTY</v>
          </cell>
          <cell r="B130" t="str">
            <v>MOTORWAY</v>
          </cell>
          <cell r="C130" t="str">
            <v>Fuel Cell 290 kW</v>
          </cell>
          <cell r="D130" t="str">
            <v>Hydrogen</v>
          </cell>
          <cell r="E130">
            <v>5.6864161519620131</v>
          </cell>
          <cell r="F130">
            <v>2.351988673210144</v>
          </cell>
          <cell r="G130">
            <v>0.41361529131114072</v>
          </cell>
          <cell r="H130">
            <v>20.89189338684082</v>
          </cell>
          <cell r="I130" t="str">
            <v>km/kg</v>
          </cell>
          <cell r="J130" t="str">
            <v>Hydrogen 2022 TOURIST BUS - EMPTY Fuel Cell 290 kW MOTORWAY 13500 kg 4.8 kg /100km 41%</v>
          </cell>
          <cell r="M130">
            <v>13500</v>
          </cell>
        </row>
        <row r="131">
          <cell r="A131" t="str">
            <v>2022 TOURIST BUS - TYPICAL</v>
          </cell>
          <cell r="B131" t="str">
            <v>CITY ROUTE</v>
          </cell>
          <cell r="C131" t="str">
            <v>Fuel Cell 290 kW</v>
          </cell>
          <cell r="D131" t="str">
            <v>Hydrogen</v>
          </cell>
          <cell r="E131">
            <v>7.784646307445052</v>
          </cell>
          <cell r="F131">
            <v>1.2173406183719635</v>
          </cell>
          <cell r="G131">
            <v>0.15637712624242511</v>
          </cell>
          <cell r="H131">
            <v>15.260808944702148</v>
          </cell>
          <cell r="I131" t="str">
            <v>km/kg</v>
          </cell>
          <cell r="J131" t="str">
            <v>Hydrogen 2022 TOURIST BUS - TYPICAL Fuel Cell 290 kW CITY ROUTE 14711 kg 6.6 kg /100km 16%</v>
          </cell>
          <cell r="M131">
            <v>14711</v>
          </cell>
        </row>
        <row r="132">
          <cell r="A132" t="str">
            <v>2022 TOURIST BUS - TYPICAL</v>
          </cell>
          <cell r="B132" t="str">
            <v>RURAL ROUTE</v>
          </cell>
          <cell r="C132" t="str">
            <v>Fuel Cell 290 kW</v>
          </cell>
          <cell r="D132" t="str">
            <v>Hydrogen</v>
          </cell>
          <cell r="E132">
            <v>5.5637938202236157</v>
          </cell>
          <cell r="F132">
            <v>1.9939061403274536</v>
          </cell>
          <cell r="G132">
            <v>0.35837168032357392</v>
          </cell>
          <cell r="H132">
            <v>21.352336883544922</v>
          </cell>
          <cell r="I132" t="str">
            <v>km/kg</v>
          </cell>
          <cell r="J132" t="str">
            <v>Hydrogen 2022 TOURIST BUS - TYPICAL Fuel Cell 290 kW RURAL ROUTE 14711 kg 4.7 kg /100km 36%</v>
          </cell>
          <cell r="M132">
            <v>14711</v>
          </cell>
        </row>
        <row r="133">
          <cell r="A133" t="str">
            <v>2022 TOURIST BUS - TYPICAL</v>
          </cell>
          <cell r="B133" t="str">
            <v>MOTORWAY</v>
          </cell>
          <cell r="C133" t="str">
            <v>Fuel Cell 290 kW</v>
          </cell>
          <cell r="D133" t="str">
            <v>Hydrogen</v>
          </cell>
          <cell r="E133">
            <v>5.8184223749523936</v>
          </cell>
          <cell r="F133">
            <v>2.4113911986351013</v>
          </cell>
          <cell r="G133">
            <v>0.41444072692554079</v>
          </cell>
          <cell r="H133">
            <v>20.417905807495117</v>
          </cell>
          <cell r="I133" t="str">
            <v>km/kg</v>
          </cell>
          <cell r="J133" t="str">
            <v>Hydrogen 2022 TOURIST BUS - TYPICAL Fuel Cell 290 kW MOTORWAY 14711 kg 4.9 kg /100km 41%</v>
          </cell>
          <cell r="M133">
            <v>14711</v>
          </cell>
        </row>
        <row r="134">
          <cell r="A134" t="str">
            <v>2022 TOURIST BUS - FULL</v>
          </cell>
          <cell r="B134" t="str">
            <v>CITY ROUTE</v>
          </cell>
          <cell r="C134" t="str">
            <v>Fuel Cell 290 kW</v>
          </cell>
          <cell r="D134" t="str">
            <v>Hydrogen</v>
          </cell>
          <cell r="E134">
            <v>10.208124783968934</v>
          </cell>
          <cell r="F134">
            <v>1.4423947036266327</v>
          </cell>
          <cell r="G134">
            <v>0.14129869433921902</v>
          </cell>
          <cell r="H134">
            <v>11.637788772583008</v>
          </cell>
          <cell r="I134" t="str">
            <v>km/kg</v>
          </cell>
          <cell r="J134" t="str">
            <v>Hydrogen 2022 TOURIST BUS - FULL Fuel Cell 290 kW CITY ROUTE 19500 kg 8.6 kg /100km 14%</v>
          </cell>
          <cell r="M134">
            <v>19500</v>
          </cell>
        </row>
        <row r="135">
          <cell r="A135" t="str">
            <v>2022 TOURIST BUS - FULL</v>
          </cell>
          <cell r="B135" t="str">
            <v>RURAL ROUTE</v>
          </cell>
          <cell r="C135" t="str">
            <v>Fuel Cell 290 kW</v>
          </cell>
          <cell r="D135" t="str">
            <v>Hydrogen</v>
          </cell>
          <cell r="E135">
            <v>6.4061915375271656</v>
          </cell>
          <cell r="F135">
            <v>2.2278929948806763</v>
          </cell>
          <cell r="G135">
            <v>0.34777183632893038</v>
          </cell>
          <cell r="H135">
            <v>18.544559478759766</v>
          </cell>
          <cell r="I135" t="str">
            <v>km/kg</v>
          </cell>
          <cell r="J135" t="str">
            <v>Hydrogen 2022 TOURIST BUS - FULL Fuel Cell 290 kW RURAL ROUTE 19500 kg 5.4 kg /100km 35%</v>
          </cell>
          <cell r="M135">
            <v>19500</v>
          </cell>
        </row>
        <row r="136">
          <cell r="A136" t="str">
            <v>2022 TOURIST BUS - FULL</v>
          </cell>
          <cell r="B136" t="str">
            <v>MOTORWAY</v>
          </cell>
          <cell r="C136" t="str">
            <v>Fuel Cell 290 kW</v>
          </cell>
          <cell r="D136" t="str">
            <v>Hydrogen</v>
          </cell>
          <cell r="E136">
            <v>6.362424019924056</v>
          </cell>
          <cell r="F136">
            <v>2.646298348903656</v>
          </cell>
          <cell r="G136">
            <v>0.41592612196494932</v>
          </cell>
          <cell r="H136">
            <v>18.672128677368164</v>
          </cell>
          <cell r="I136" t="str">
            <v>km/kg</v>
          </cell>
          <cell r="J136" t="str">
            <v>Hydrogen 2022 TOURIST BUS - FULL Fuel Cell 290 kW MOTORWAY 19500 kg 5.4 kg /100km 42%</v>
          </cell>
          <cell r="M136">
            <v>19500</v>
          </cell>
        </row>
        <row r="137">
          <cell r="A137" t="str">
            <v>2050 RIGID TRUCK - EMPTY</v>
          </cell>
          <cell r="B137" t="str">
            <v>URBAN DELIVERY</v>
          </cell>
          <cell r="C137" t="str">
            <v>2050 Diesel 735 kW</v>
          </cell>
          <cell r="D137" t="str">
            <v>Diesel</v>
          </cell>
          <cell r="E137">
            <v>3.7970285019029033</v>
          </cell>
          <cell r="F137">
            <v>0.87303620576858521</v>
          </cell>
          <cell r="G137">
            <v>0.22992616603511348</v>
          </cell>
          <cell r="H137">
            <v>9.4810981750488281</v>
          </cell>
          <cell r="I137" t="str">
            <v>km/l</v>
          </cell>
          <cell r="J137" t="str">
            <v>Diesel 2050 RIGID TRUCK - EMPTY 2050 Diesel 735 kW URBAN DELIVERY 9240 kg 10.5 l /100km 23%</v>
          </cell>
          <cell r="M137">
            <v>9240</v>
          </cell>
        </row>
        <row r="138">
          <cell r="A138" t="str">
            <v>2050 RIGID TRUCK - EMPTY</v>
          </cell>
          <cell r="B138" t="str">
            <v>REGIONAL DELIVERY</v>
          </cell>
          <cell r="C138" t="str">
            <v>2050 Diesel 735 kW</v>
          </cell>
          <cell r="D138" t="str">
            <v>Diesel</v>
          </cell>
          <cell r="E138">
            <v>3.8969679438619615</v>
          </cell>
          <cell r="F138">
            <v>1.4036992788314819</v>
          </cell>
          <cell r="G138">
            <v>0.3602029318825733</v>
          </cell>
          <cell r="H138">
            <v>9.2379512786865234</v>
          </cell>
          <cell r="I138" t="str">
            <v>km/l</v>
          </cell>
          <cell r="J138" t="str">
            <v>Diesel 2050 RIGID TRUCK - EMPTY 2050 Diesel 735 kW REGIONAL DELIVERY 9240 kg 10.8 l /100km 36%</v>
          </cell>
          <cell r="M138">
            <v>9240</v>
          </cell>
        </row>
        <row r="139">
          <cell r="A139" t="str">
            <v>2050 RIGID TRUCK - EMPTY</v>
          </cell>
          <cell r="B139" t="str">
            <v>LONG HAUL</v>
          </cell>
          <cell r="C139" t="str">
            <v>2050 Diesel 735 kW</v>
          </cell>
          <cell r="D139" t="str">
            <v>Diesel</v>
          </cell>
          <cell r="E139">
            <v>4.0352518578547505</v>
          </cell>
          <cell r="F139">
            <v>1.745176762342453</v>
          </cell>
          <cell r="G139">
            <v>0.432482735605563</v>
          </cell>
          <cell r="H139">
            <v>8.9213762283325195</v>
          </cell>
          <cell r="I139" t="str">
            <v>km/l</v>
          </cell>
          <cell r="J139" t="str">
            <v>Diesel 2050 RIGID TRUCK - EMPTY 2050 Diesel 735 kW LONG HAUL 9240 kg 11.2 l /100km 43%</v>
          </cell>
          <cell r="M139">
            <v>9240</v>
          </cell>
        </row>
        <row r="140">
          <cell r="A140" t="str">
            <v>2050 RIGID TRUCK - TYPICAL</v>
          </cell>
          <cell r="B140" t="str">
            <v>URBAN DELIVERY</v>
          </cell>
          <cell r="C140" t="str">
            <v>2050 Diesel 735 kW</v>
          </cell>
          <cell r="D140" t="str">
            <v>Diesel</v>
          </cell>
          <cell r="E140">
            <v>6.0566337482279744</v>
          </cell>
          <cell r="F140">
            <v>1.1643644571304321</v>
          </cell>
          <cell r="G140">
            <v>0.1922461396103235</v>
          </cell>
          <cell r="H140">
            <v>5.9438958168029785</v>
          </cell>
          <cell r="I140" t="str">
            <v>km/l</v>
          </cell>
          <cell r="J140" t="str">
            <v>Diesel 2050 RIGID TRUCK - TYPICAL 2050 Diesel 735 kW URBAN DELIVERY 16664.68 kg 16.8 l /100km 19%</v>
          </cell>
          <cell r="M140">
            <v>16664.68</v>
          </cell>
        </row>
        <row r="141">
          <cell r="A141" t="str">
            <v>2050 RIGID TRUCK - TYPICAL</v>
          </cell>
          <cell r="B141" t="str">
            <v>REGIONAL DELIVERY</v>
          </cell>
          <cell r="C141" t="str">
            <v>2050 Diesel 735 kW</v>
          </cell>
          <cell r="D141" t="str">
            <v>Diesel</v>
          </cell>
          <cell r="E141">
            <v>5.2565773995669414</v>
          </cell>
          <cell r="F141">
            <v>1.6950621604919434</v>
          </cell>
          <cell r="G141">
            <v>0.32246498655790545</v>
          </cell>
          <cell r="H141">
            <v>6.8485627174377441</v>
          </cell>
          <cell r="I141" t="str">
            <v>km/l</v>
          </cell>
          <cell r="J141" t="str">
            <v>Diesel 2050 RIGID TRUCK - TYPICAL 2050 Diesel 735 kW REGIONAL DELIVERY 16664.68 kg 14.6 l /100km 32%</v>
          </cell>
          <cell r="M141">
            <v>16664.68</v>
          </cell>
        </row>
        <row r="142">
          <cell r="A142" t="str">
            <v>2050 RIGID TRUCK - TYPICAL</v>
          </cell>
          <cell r="B142" t="str">
            <v>LONG HAUL</v>
          </cell>
          <cell r="C142" t="str">
            <v>2050 Diesel 735 kW</v>
          </cell>
          <cell r="D142" t="str">
            <v>Diesel</v>
          </cell>
          <cell r="E142">
            <v>4.8776913159198445</v>
          </cell>
          <cell r="F142">
            <v>2.0365433692932129</v>
          </cell>
          <cell r="G142">
            <v>0.41752198681501795</v>
          </cell>
          <cell r="H142">
            <v>7.3805408477783203</v>
          </cell>
          <cell r="I142" t="str">
            <v>km/l</v>
          </cell>
          <cell r="J142" t="str">
            <v>Diesel 2050 RIGID TRUCK - TYPICAL 2050 Diesel 735 kW LONG HAUL 16664.68 kg 13.5 l /100km 42%</v>
          </cell>
          <cell r="M142">
            <v>16664.68</v>
          </cell>
        </row>
        <row r="143">
          <cell r="A143" t="str">
            <v>2050 RIGID TRUCK - FULL</v>
          </cell>
          <cell r="B143" t="str">
            <v>URBAN DELIVERY</v>
          </cell>
          <cell r="C143" t="str">
            <v>2050 Diesel 735 kW</v>
          </cell>
          <cell r="D143" t="str">
            <v>Diesel</v>
          </cell>
          <cell r="E143">
            <v>8.9409913890040595</v>
          </cell>
          <cell r="F143">
            <v>1.5306324362754822</v>
          </cell>
          <cell r="G143">
            <v>0.17119269773125012</v>
          </cell>
          <cell r="H143">
            <v>4.0263991355895996</v>
          </cell>
          <cell r="I143" t="str">
            <v>km/l</v>
          </cell>
          <cell r="J143" t="str">
            <v>Diesel 2050 RIGID TRUCK - FULL 2050 Diesel 735 kW URBAN DELIVERY 26000 kg 24.8 l /100km 17%</v>
          </cell>
          <cell r="M143">
            <v>26000</v>
          </cell>
        </row>
        <row r="144">
          <cell r="A144" t="str">
            <v>2050 RIGID TRUCK - FULL</v>
          </cell>
          <cell r="B144" t="str">
            <v>REGIONAL DELIVERY</v>
          </cell>
          <cell r="C144" t="str">
            <v>2050 Diesel 735 kW</v>
          </cell>
          <cell r="D144" t="str">
            <v>Diesel</v>
          </cell>
          <cell r="E144">
            <v>7.1547255037924637</v>
          </cell>
          <cell r="F144">
            <v>2.0613679885864258</v>
          </cell>
          <cell r="G144">
            <v>0.28811279866624773</v>
          </cell>
          <cell r="H144">
            <v>5.031639575958252</v>
          </cell>
          <cell r="I144" t="str">
            <v>km/l</v>
          </cell>
          <cell r="J144" t="str">
            <v>Diesel 2050 RIGID TRUCK - FULL 2050 Diesel 735 kW REGIONAL DELIVERY 26000 kg 19.9 l /100km 29%</v>
          </cell>
          <cell r="M144">
            <v>26000</v>
          </cell>
        </row>
        <row r="145">
          <cell r="A145" t="str">
            <v>2050 RIGID TRUCK - FULL</v>
          </cell>
          <cell r="B145" t="str">
            <v>LONG HAUL</v>
          </cell>
          <cell r="C145" t="str">
            <v>2050 Diesel 735 kW</v>
          </cell>
          <cell r="D145" t="str">
            <v>Diesel</v>
          </cell>
          <cell r="E145">
            <v>6.0490499028073419</v>
          </cell>
          <cell r="F145">
            <v>2.4028520584106445</v>
          </cell>
          <cell r="G145">
            <v>0.39722801051707141</v>
          </cell>
          <cell r="H145">
            <v>5.951347827911377</v>
          </cell>
          <cell r="I145" t="str">
            <v>km/l</v>
          </cell>
          <cell r="J145" t="str">
            <v>Diesel 2050 RIGID TRUCK - FULL 2050 Diesel 735 kW LONG HAUL 26000 kg 16.8 l /100km 40%</v>
          </cell>
          <cell r="M145">
            <v>26000</v>
          </cell>
        </row>
        <row r="146">
          <cell r="A146" t="str">
            <v>2050 TRUCK WITH TRAILER - EMPTY</v>
          </cell>
          <cell r="B146" t="str">
            <v>URBAN DELIVERY</v>
          </cell>
          <cell r="C146" t="str">
            <v>2050 Diesel 735 kW</v>
          </cell>
          <cell r="D146" t="str">
            <v>Diesel</v>
          </cell>
          <cell r="E146">
            <v>5.2327992303160977</v>
          </cell>
          <cell r="F146">
            <v>1.1445613503456116</v>
          </cell>
          <cell r="G146">
            <v>0.21872831346454544</v>
          </cell>
          <cell r="H146">
            <v>6.8796830177307129</v>
          </cell>
          <cell r="I146" t="str">
            <v>km/l</v>
          </cell>
          <cell r="J146" t="str">
            <v>Diesel 2050 TRUCK WITH TRAILER - EMPTY 2050 Diesel 735 kW URBAN DELIVERY 13269.26102271 kg 14.5 l /100km 22%</v>
          </cell>
          <cell r="M146">
            <v>13269.261022709999</v>
          </cell>
        </row>
        <row r="147">
          <cell r="A147" t="str">
            <v>2050 TRUCK WITH TRAILER - EMPTY</v>
          </cell>
          <cell r="B147" t="str">
            <v>REGIONAL DELIVERY</v>
          </cell>
          <cell r="C147" t="str">
            <v>2050 Diesel 735 kW</v>
          </cell>
          <cell r="D147" t="str">
            <v>Diesel</v>
          </cell>
          <cell r="E147">
            <v>5.1062871727326762</v>
          </cell>
          <cell r="F147">
            <v>1.7931610941886902</v>
          </cell>
          <cell r="G147">
            <v>0.35116730288184395</v>
          </cell>
          <cell r="H147">
            <v>7.0501322746276855</v>
          </cell>
          <cell r="I147" t="str">
            <v>km/l</v>
          </cell>
          <cell r="J147" t="str">
            <v>Diesel 2050 TRUCK WITH TRAILER - EMPTY 2050 Diesel 735 kW REGIONAL DELIVERY 13269.26102271 kg 14.2 l /100km 35%</v>
          </cell>
          <cell r="M147">
            <v>13269.261022709999</v>
          </cell>
        </row>
        <row r="148">
          <cell r="A148" t="str">
            <v>2050 TRUCK WITH TRAILER - EMPTY</v>
          </cell>
          <cell r="B148" t="str">
            <v>LONG HAUL</v>
          </cell>
          <cell r="C148" t="str">
            <v>2050 Diesel 735 kW</v>
          </cell>
          <cell r="D148" t="str">
            <v>Diesel</v>
          </cell>
          <cell r="E148">
            <v>5.1144729867185221</v>
          </cell>
          <cell r="F148">
            <v>2.2105235457420349</v>
          </cell>
          <cell r="G148">
            <v>0.43220944787124993</v>
          </cell>
          <cell r="H148">
            <v>7.0388484001159668</v>
          </cell>
          <cell r="I148" t="str">
            <v>km/l</v>
          </cell>
          <cell r="J148" t="str">
            <v>Diesel 2050 TRUCK WITH TRAILER - EMPTY 2050 Diesel 735 kW LONG HAUL 13269.26102271 kg 14.2 l /100km 43%</v>
          </cell>
          <cell r="M148">
            <v>13269.261022709999</v>
          </cell>
        </row>
        <row r="149">
          <cell r="A149" t="str">
            <v>2050 TRUCK WITH TRAILER - TYPICAL</v>
          </cell>
          <cell r="B149" t="str">
            <v>URBAN DELIVERY</v>
          </cell>
          <cell r="C149" t="str">
            <v>2050 Diesel 735 kW</v>
          </cell>
          <cell r="D149" t="str">
            <v>Diesel</v>
          </cell>
          <cell r="E149">
            <v>11.374435995525102</v>
          </cell>
          <cell r="F149">
            <v>1.9274789094924927</v>
          </cell>
          <cell r="G149">
            <v>0.16945709749923388</v>
          </cell>
          <cell r="H149">
            <v>3.164992094039917</v>
          </cell>
          <cell r="I149" t="str">
            <v>km/l</v>
          </cell>
          <cell r="J149" t="str">
            <v>Diesel 2050 TRUCK WITH TRAILER - TYPICAL 2050 Diesel 735 kW URBAN DELIVERY 33223.2865660128 kg 31.6 l /100km 17%</v>
          </cell>
          <cell r="M149">
            <v>33223.28656601283</v>
          </cell>
        </row>
        <row r="150">
          <cell r="A150" t="str">
            <v>2050 TRUCK WITH TRAILER - TYPICAL</v>
          </cell>
          <cell r="B150" t="str">
            <v>REGIONAL DELIVERY</v>
          </cell>
          <cell r="C150" t="str">
            <v>2050 Diesel 735 kW</v>
          </cell>
          <cell r="D150" t="str">
            <v>Diesel</v>
          </cell>
          <cell r="E150">
            <v>9.0190824490603383</v>
          </cell>
          <cell r="F150">
            <v>2.5761605501174927</v>
          </cell>
          <cell r="G150">
            <v>0.28563443838856273</v>
          </cell>
          <cell r="H150">
            <v>3.9915368556976318</v>
          </cell>
          <cell r="I150" t="str">
            <v>km/l</v>
          </cell>
          <cell r="J150" t="str">
            <v>Diesel 2050 TRUCK WITH TRAILER - TYPICAL 2050 Diesel 735 kW REGIONAL DELIVERY 33223.2865660128 kg 25.1 l /100km 29%</v>
          </cell>
          <cell r="M150">
            <v>33223.28656601283</v>
          </cell>
        </row>
        <row r="151">
          <cell r="A151" t="str">
            <v>2050 TRUCK WITH TRAILER - TYPICAL</v>
          </cell>
          <cell r="B151" t="str">
            <v>LONG HAUL</v>
          </cell>
          <cell r="C151" t="str">
            <v>2050 Diesel 735 kW</v>
          </cell>
          <cell r="D151" t="str">
            <v>Diesel</v>
          </cell>
          <cell r="E151">
            <v>7.5526187056318816</v>
          </cell>
          <cell r="F151">
            <v>2.993531346321106</v>
          </cell>
          <cell r="G151">
            <v>0.39635674234274154</v>
          </cell>
          <cell r="H151">
            <v>4.7665586471557617</v>
          </cell>
          <cell r="I151" t="str">
            <v>km/l</v>
          </cell>
          <cell r="J151" t="str">
            <v>Diesel 2050 TRUCK WITH TRAILER - TYPICAL 2050 Diesel 735 kW LONG HAUL 33223.2865660128 kg 21.0 l /100km 40%</v>
          </cell>
          <cell r="M151">
            <v>33223.28656601283</v>
          </cell>
        </row>
        <row r="152">
          <cell r="A152" t="str">
            <v>2050 TRUCK WITH TRAILER - FULL</v>
          </cell>
          <cell r="B152" t="str">
            <v>URBAN DELIVERY</v>
          </cell>
          <cell r="C152" t="str">
            <v>2050 Diesel 735 kW</v>
          </cell>
          <cell r="D152" t="str">
            <v>Diesel</v>
          </cell>
          <cell r="E152">
            <v>19.449474370015587</v>
          </cell>
          <cell r="F152">
            <v>2.9781034588813782</v>
          </cell>
          <cell r="G152">
            <v>0.15311999708704682</v>
          </cell>
          <cell r="H152">
            <v>1.850949764251709</v>
          </cell>
          <cell r="I152" t="str">
            <v>km/l</v>
          </cell>
          <cell r="J152" t="str">
            <v>Diesel 2050 TRUCK WITH TRAILER - FULL 2050 Diesel 735 kW URBAN DELIVERY 60000 kg 54.0 l /100km 15%</v>
          </cell>
          <cell r="M152">
            <v>60000</v>
          </cell>
        </row>
        <row r="153">
          <cell r="A153" t="str">
            <v>2050 TRUCK WITH TRAILER - FULL</v>
          </cell>
          <cell r="B153" t="str">
            <v>REGIONAL DELIVERY</v>
          </cell>
          <cell r="C153" t="str">
            <v>2050 Diesel 735 kW</v>
          </cell>
          <cell r="D153" t="str">
            <v>Diesel</v>
          </cell>
          <cell r="E153">
            <v>14.278036146389759</v>
          </cell>
          <cell r="F153">
            <v>3.6267185211181641</v>
          </cell>
          <cell r="G153">
            <v>0.25400681745963993</v>
          </cell>
          <cell r="H153">
            <v>2.521355152130127</v>
          </cell>
          <cell r="I153" t="str">
            <v>km/l</v>
          </cell>
          <cell r="J153" t="str">
            <v>Diesel 2050 TRUCK WITH TRAILER - FULL 2050 Diesel 735 kW REGIONAL DELIVERY 60000 kg 39.7 l /100km 25%</v>
          </cell>
          <cell r="M153">
            <v>60000</v>
          </cell>
        </row>
        <row r="154">
          <cell r="A154" t="str">
            <v>2050 TRUCK WITH TRAILER - FULL</v>
          </cell>
          <cell r="B154" t="str">
            <v>LONG HAUL</v>
          </cell>
          <cell r="C154" t="str">
            <v>2050 Diesel 735 kW</v>
          </cell>
          <cell r="D154" t="str">
            <v>Diesel</v>
          </cell>
          <cell r="E154">
            <v>11.076528168260884</v>
          </cell>
          <cell r="F154">
            <v>4.0442637205123901</v>
          </cell>
          <cell r="G154">
            <v>0.36512015850787805</v>
          </cell>
          <cell r="H154">
            <v>3.2501158714294434</v>
          </cell>
          <cell r="I154" t="str">
            <v>km/l</v>
          </cell>
          <cell r="J154" t="str">
            <v>Diesel 2050 TRUCK WITH TRAILER - FULL 2050 Diesel 735 kW LONG HAUL 60000 kg 30.8 l /100km 37%</v>
          </cell>
          <cell r="M154">
            <v>60000</v>
          </cell>
        </row>
        <row r="155">
          <cell r="A155" t="str">
            <v>2050 SEMI TRUCK - EMPTY</v>
          </cell>
          <cell r="B155" t="str">
            <v>URBAN DELIVERY</v>
          </cell>
          <cell r="C155" t="str">
            <v>2050 Diesel 735 kW</v>
          </cell>
          <cell r="D155" t="str">
            <v>Diesel</v>
          </cell>
          <cell r="E155">
            <v>4.3468239083550593</v>
          </cell>
          <cell r="F155">
            <v>0.85847184062004089</v>
          </cell>
          <cell r="G155">
            <v>0.197494045933162</v>
          </cell>
          <cell r="H155">
            <v>8.2819089889526367</v>
          </cell>
          <cell r="I155" t="str">
            <v>km/l</v>
          </cell>
          <cell r="J155" t="str">
            <v>Diesel 2050 SEMI TRUCK - EMPTY 2050 Diesel 735 kW URBAN DELIVERY 11760 kg 12.1 l /100km 20%</v>
          </cell>
          <cell r="M155">
            <v>11760</v>
          </cell>
        </row>
        <row r="156">
          <cell r="A156" t="str">
            <v>2050 SEMI TRUCK - EMPTY</v>
          </cell>
          <cell r="B156" t="str">
            <v>REGIONAL DELIVERY</v>
          </cell>
          <cell r="C156" t="str">
            <v>2050 Diesel 735 kW</v>
          </cell>
          <cell r="D156" t="str">
            <v>Diesel</v>
          </cell>
          <cell r="E156">
            <v>3.8768749554529585</v>
          </cell>
          <cell r="F156">
            <v>1.2712283134460449</v>
          </cell>
          <cell r="G156">
            <v>0.327900261951451</v>
          </cell>
          <cell r="H156">
            <v>9.2858295440673828</v>
          </cell>
          <cell r="I156" t="str">
            <v>km/l</v>
          </cell>
          <cell r="J156" t="str">
            <v>Diesel 2050 SEMI TRUCK - EMPTY 2050 Diesel 735 kW REGIONAL DELIVERY 11760 kg 10.8 l /100km 33%</v>
          </cell>
          <cell r="M156">
            <v>11760</v>
          </cell>
        </row>
        <row r="157">
          <cell r="A157" t="str">
            <v>2050 SEMI TRUCK - EMPTY</v>
          </cell>
          <cell r="B157" t="str">
            <v>LONG HAUL</v>
          </cell>
          <cell r="C157" t="str">
            <v>2050 Diesel 735 kW</v>
          </cell>
          <cell r="D157" t="str">
            <v>Diesel</v>
          </cell>
          <cell r="E157">
            <v>3.6732509096344179</v>
          </cell>
          <cell r="F157">
            <v>1.5368246734142303</v>
          </cell>
          <cell r="G157">
            <v>0.41838271090693979</v>
          </cell>
          <cell r="H157">
            <v>9.8005828857421875</v>
          </cell>
          <cell r="I157" t="str">
            <v>km/l</v>
          </cell>
          <cell r="J157" t="str">
            <v>Diesel 2050 SEMI TRUCK - EMPTY 2050 Diesel 735 kW LONG HAUL 11760 kg 10.2 l /100km 42%</v>
          </cell>
          <cell r="M157">
            <v>11760</v>
          </cell>
        </row>
        <row r="158">
          <cell r="A158" t="str">
            <v>2050 SEMI TRUCK - TYPICAL</v>
          </cell>
          <cell r="B158" t="str">
            <v>URBAN DELIVERY</v>
          </cell>
          <cell r="C158" t="str">
            <v>2050 Diesel 735 kW</v>
          </cell>
          <cell r="D158" t="str">
            <v>Diesel</v>
          </cell>
          <cell r="E158">
            <v>12.789475890903642</v>
          </cell>
          <cell r="F158">
            <v>1.9278903603553772</v>
          </cell>
          <cell r="G158">
            <v>0.15074037253759284</v>
          </cell>
          <cell r="H158">
            <v>2.8148143291473389</v>
          </cell>
          <cell r="I158" t="str">
            <v>km/l</v>
          </cell>
          <cell r="J158" t="str">
            <v>Diesel 2050 SEMI TRUCK - TYPICAL 2050 Diesel 735 kW URBAN DELIVERY 39015.6 kg 35.5 l /100km 15%</v>
          </cell>
          <cell r="M158">
            <v>39015.599999999999</v>
          </cell>
        </row>
        <row r="159">
          <cell r="A159" t="str">
            <v>2050 SEMI TRUCK - TYPICAL</v>
          </cell>
          <cell r="B159" t="str">
            <v>REGIONAL DELIVERY</v>
          </cell>
          <cell r="C159" t="str">
            <v>2050 Diesel 735 kW</v>
          </cell>
          <cell r="D159" t="str">
            <v>Diesel</v>
          </cell>
          <cell r="E159">
            <v>9.4314809013924403</v>
          </cell>
          <cell r="F159">
            <v>2.3407531380653381</v>
          </cell>
          <cell r="G159">
            <v>0.24818511138794283</v>
          </cell>
          <cell r="H159">
            <v>3.8170039653778076</v>
          </cell>
          <cell r="I159" t="str">
            <v>km/l</v>
          </cell>
          <cell r="J159" t="str">
            <v>Diesel 2050 SEMI TRUCK - TYPICAL 2050 Diesel 735 kW REGIONAL DELIVERY 39015.6 kg 26.2 l /100km 25%</v>
          </cell>
          <cell r="M159">
            <v>39015.599999999999</v>
          </cell>
        </row>
        <row r="160">
          <cell r="A160" t="str">
            <v>2050 SEMI TRUCK - TYPICAL</v>
          </cell>
          <cell r="B160" t="str">
            <v>LONG HAUL</v>
          </cell>
          <cell r="C160" t="str">
            <v>2050 Diesel 735 kW</v>
          </cell>
          <cell r="D160" t="str">
            <v>Diesel</v>
          </cell>
          <cell r="E160">
            <v>7.2362226573046939</v>
          </cell>
          <cell r="F160">
            <v>2.6063551902770996</v>
          </cell>
          <cell r="G160">
            <v>0.36018172929575104</v>
          </cell>
          <cell r="H160">
            <v>4.9749712944030762</v>
          </cell>
          <cell r="I160" t="str">
            <v>km/l</v>
          </cell>
          <cell r="J160" t="str">
            <v>Diesel 2050 SEMI TRUCK - TYPICAL 2050 Diesel 735 kW LONG HAUL 39015.6 kg 20.1 l /100km 36%</v>
          </cell>
          <cell r="M160">
            <v>39015.599999999999</v>
          </cell>
        </row>
        <row r="161">
          <cell r="A161" t="str">
            <v>2050 SEMI TRUCK - FULL</v>
          </cell>
          <cell r="B161" t="str">
            <v>URBAN DELIVERY</v>
          </cell>
          <cell r="C161" t="str">
            <v>2050 Diesel 735 kW</v>
          </cell>
          <cell r="D161" t="str">
            <v>Diesel</v>
          </cell>
          <cell r="E161">
            <v>19.034318133858346</v>
          </cell>
          <cell r="F161">
            <v>2.7512238621711731</v>
          </cell>
          <cell r="G161">
            <v>0.14454018488202536</v>
          </cell>
          <cell r="H161">
            <v>1.8913207054138184</v>
          </cell>
          <cell r="I161" t="str">
            <v>km/l</v>
          </cell>
          <cell r="J161" t="str">
            <v>Diesel 2050 SEMI TRUCK - FULL 2050 Diesel 735 kW URBAN DELIVERY 60000 kg 52.9 l /100km 14%</v>
          </cell>
          <cell r="M161">
            <v>60000</v>
          </cell>
        </row>
        <row r="162">
          <cell r="A162" t="str">
            <v>2050 SEMI TRUCK - FULL</v>
          </cell>
          <cell r="B162" t="str">
            <v>REGIONAL DELIVERY</v>
          </cell>
          <cell r="C162" t="str">
            <v>2050 Diesel 735 kW</v>
          </cell>
          <cell r="D162" t="str">
            <v>Diesel</v>
          </cell>
          <cell r="E162">
            <v>13.518166338101556</v>
          </cell>
          <cell r="F162">
            <v>3.1640727519989014</v>
          </cell>
          <cell r="G162">
            <v>0.23406079440529007</v>
          </cell>
          <cell r="H162">
            <v>2.6630830764770508</v>
          </cell>
          <cell r="I162" t="str">
            <v>km/l</v>
          </cell>
          <cell r="J162" t="str">
            <v>Diesel 2050 SEMI TRUCK - FULL 2050 Diesel 735 kW REGIONAL DELIVERY 60000 kg 37.6 l /100km 23%</v>
          </cell>
          <cell r="M162">
            <v>60000</v>
          </cell>
        </row>
        <row r="163">
          <cell r="A163" t="str">
            <v>2050 SEMI TRUCK - FULL</v>
          </cell>
          <cell r="B163" t="str">
            <v>LONG HAUL</v>
          </cell>
          <cell r="C163" t="str">
            <v>2050 Diesel 735 kW</v>
          </cell>
          <cell r="D163" t="str">
            <v>Diesel</v>
          </cell>
          <cell r="E163">
            <v>10.040885994888953</v>
          </cell>
          <cell r="F163">
            <v>3.4297680854797363</v>
          </cell>
          <cell r="G163">
            <v>0.34158022381944869</v>
          </cell>
          <cell r="H163">
            <v>3.5853409767150879</v>
          </cell>
          <cell r="I163" t="str">
            <v>km/l</v>
          </cell>
          <cell r="J163" t="str">
            <v>Diesel 2050 SEMI TRUCK - FULL 2050 Diesel 735 kW LONG HAUL 60000 kg 27.9 l /100km 34%</v>
          </cell>
          <cell r="M163">
            <v>60000</v>
          </cell>
        </row>
        <row r="164">
          <cell r="A164" t="str">
            <v>2050 CITY BUS - EMPTY</v>
          </cell>
          <cell r="B164" t="str">
            <v>CITY ROUTE</v>
          </cell>
          <cell r="C164" t="str">
            <v>2050 Diesel 735 kW</v>
          </cell>
          <cell r="D164" t="str">
            <v>Diesel</v>
          </cell>
          <cell r="E164">
            <v>5.5076298547461713</v>
          </cell>
          <cell r="F164">
            <v>0.76092469692230225</v>
          </cell>
          <cell r="G164">
            <v>0.13815828532242039</v>
          </cell>
          <cell r="H164">
            <v>6.5363869667053223</v>
          </cell>
          <cell r="I164" t="str">
            <v>km/l</v>
          </cell>
          <cell r="J164" t="str">
            <v>Diesel 2050 CITY BUS - EMPTY 2050 Diesel 735 kW CITY ROUTE 8825 kg 15.3 l /100km 14%</v>
          </cell>
          <cell r="M164">
            <v>8825</v>
          </cell>
        </row>
        <row r="165">
          <cell r="A165" t="str">
            <v>2050 CITY BUS - EMPTY</v>
          </cell>
          <cell r="B165" t="str">
            <v>RURAL ROUTE</v>
          </cell>
          <cell r="C165" t="str">
            <v>2050 Diesel 735 kW</v>
          </cell>
          <cell r="D165" t="str">
            <v>Diesel</v>
          </cell>
          <cell r="E165">
            <v>3.822318123710557</v>
          </cell>
          <cell r="F165">
            <v>1.3874135613441467</v>
          </cell>
          <cell r="G165">
            <v>0.36297699888917145</v>
          </cell>
          <cell r="H165">
            <v>9.4183683395385742</v>
          </cell>
          <cell r="I165" t="str">
            <v>km/l</v>
          </cell>
          <cell r="J165" t="str">
            <v>Diesel 2050 CITY BUS - EMPTY 2050 Diesel 735 kW RURAL ROUTE 8825 kg 10.6 l /100km 36%</v>
          </cell>
          <cell r="M165">
            <v>8825</v>
          </cell>
        </row>
        <row r="166">
          <cell r="A166" t="str">
            <v>2050 CITY BUS - EMPTY</v>
          </cell>
          <cell r="B166" t="str">
            <v>MOTORWAY</v>
          </cell>
          <cell r="C166" t="str">
            <v>2050 Diesel 735 kW</v>
          </cell>
          <cell r="D166" t="str">
            <v>Diesel</v>
          </cell>
          <cell r="E166">
            <v>3.9932424670115392</v>
          </cell>
          <cell r="F166">
            <v>1.7288905382156372</v>
          </cell>
          <cell r="G166">
            <v>0.43295405988945707</v>
          </cell>
          <cell r="H166">
            <v>9.0152301788330078</v>
          </cell>
          <cell r="I166" t="str">
            <v>km/l</v>
          </cell>
          <cell r="J166" t="str">
            <v>Diesel 2050 CITY BUS - EMPTY 2050 Diesel 735 kW MOTORWAY 8825 kg 11.1 l /100km 43%</v>
          </cell>
          <cell r="M166">
            <v>8825</v>
          </cell>
        </row>
        <row r="167">
          <cell r="A167" t="str">
            <v>2050 CITY BUS - TYPICAL</v>
          </cell>
          <cell r="B167" t="str">
            <v>CITY ROUTE</v>
          </cell>
          <cell r="C167" t="str">
            <v>2050 Diesel 735 kW</v>
          </cell>
          <cell r="D167" t="str">
            <v>Diesel</v>
          </cell>
          <cell r="E167">
            <v>5.9588762209199073</v>
          </cell>
          <cell r="F167">
            <v>0.79388225078582764</v>
          </cell>
          <cell r="G167">
            <v>0.13322684032246457</v>
          </cell>
          <cell r="H167">
            <v>6.041407585144043</v>
          </cell>
          <cell r="I167" t="str">
            <v>km/l</v>
          </cell>
          <cell r="J167" t="str">
            <v>Diesel 2050 CITY BUS - TYPICAL 2050 Diesel 735 kW CITY ROUTE 9665 kg 16.6 l /100km 13%</v>
          </cell>
          <cell r="M167">
            <v>9665</v>
          </cell>
        </row>
        <row r="168">
          <cell r="A168" t="str">
            <v>2050 CITY BUS - TYPICAL</v>
          </cell>
          <cell r="B168" t="str">
            <v>RURAL ROUTE</v>
          </cell>
          <cell r="C168" t="str">
            <v>2050 Diesel 735 kW</v>
          </cell>
          <cell r="D168" t="str">
            <v>Diesel</v>
          </cell>
          <cell r="E168">
            <v>3.9742765679546141</v>
          </cell>
          <cell r="F168">
            <v>1.4203770458698273</v>
          </cell>
          <cell r="G168">
            <v>0.35739260254875344</v>
          </cell>
          <cell r="H168">
            <v>9.0582523345947266</v>
          </cell>
          <cell r="I168" t="str">
            <v>km/l</v>
          </cell>
          <cell r="J168" t="str">
            <v>Diesel 2050 CITY BUS - TYPICAL 2050 Diesel 735 kW RURAL ROUTE 9665 kg 11.0 l /100km 36%</v>
          </cell>
          <cell r="M168">
            <v>9665</v>
          </cell>
        </row>
        <row r="169">
          <cell r="A169" t="str">
            <v>2050 CITY BUS - TYPICAL</v>
          </cell>
          <cell r="B169" t="str">
            <v>MOTORWAY</v>
          </cell>
          <cell r="C169" t="str">
            <v>2050 Diesel 735 kW</v>
          </cell>
          <cell r="D169" t="str">
            <v>Diesel</v>
          </cell>
          <cell r="E169">
            <v>4.0794674447056956</v>
          </cell>
          <cell r="F169">
            <v>1.7618549466133118</v>
          </cell>
          <cell r="G169">
            <v>0.43188356580706017</v>
          </cell>
          <cell r="H169">
            <v>8.824681282043457</v>
          </cell>
          <cell r="I169" t="str">
            <v>km/l</v>
          </cell>
          <cell r="J169" t="str">
            <v>Diesel 2050 CITY BUS - TYPICAL 2050 Diesel 735 kW MOTORWAY 9665 kg 11.3 l /100km 43%</v>
          </cell>
          <cell r="M169">
            <v>9665</v>
          </cell>
        </row>
        <row r="170">
          <cell r="A170" t="str">
            <v>2050 CITY BUS - FULL</v>
          </cell>
          <cell r="B170" t="str">
            <v>CITY ROUTE</v>
          </cell>
          <cell r="C170" t="str">
            <v>2050 Diesel 735 kW</v>
          </cell>
          <cell r="D170" t="str">
            <v>Diesel</v>
          </cell>
          <cell r="E170">
            <v>10.433210671058252</v>
          </cell>
          <cell r="F170">
            <v>1.1205986738204956</v>
          </cell>
          <cell r="G170">
            <v>0.10740688644666581</v>
          </cell>
          <cell r="H170">
            <v>3.4505198001861572</v>
          </cell>
          <cell r="I170" t="str">
            <v>km/l</v>
          </cell>
          <cell r="J170" t="str">
            <v>Diesel 2050 CITY BUS - FULL 2050 Diesel 735 kW CITY ROUTE 18000 kg 29.0 l /100km 11%</v>
          </cell>
          <cell r="M170">
            <v>18000</v>
          </cell>
        </row>
        <row r="171">
          <cell r="A171" t="str">
            <v>2050 CITY BUS - FULL</v>
          </cell>
          <cell r="B171" t="str">
            <v>RURAL ROUTE</v>
          </cell>
          <cell r="C171" t="str">
            <v>2050 Diesel 735 kW</v>
          </cell>
          <cell r="D171" t="str">
            <v>Diesel</v>
          </cell>
          <cell r="E171">
            <v>5.514136455125624</v>
          </cell>
          <cell r="F171">
            <v>1.7474474310874939</v>
          </cell>
          <cell r="G171">
            <v>0.31690318970310705</v>
          </cell>
          <cell r="H171">
            <v>6.5286741256713867</v>
          </cell>
          <cell r="I171" t="str">
            <v>km/l</v>
          </cell>
          <cell r="J171" t="str">
            <v>Diesel 2050 CITY BUS - FULL 2050 Diesel 735 kW RURAL ROUTE 18000 kg 15.3 l /100km 32%</v>
          </cell>
          <cell r="M171">
            <v>18000</v>
          </cell>
        </row>
        <row r="172">
          <cell r="A172" t="str">
            <v>2050 CITY BUS - FULL</v>
          </cell>
          <cell r="B172" t="str">
            <v>MOTORWAY</v>
          </cell>
          <cell r="C172" t="str">
            <v>2050 Diesel 735 kW</v>
          </cell>
          <cell r="D172" t="str">
            <v>Diesel</v>
          </cell>
          <cell r="E172">
            <v>5.0395408270543891</v>
          </cell>
          <cell r="F172">
            <v>2.0889288783073425</v>
          </cell>
          <cell r="G172">
            <v>0.41450777957648199</v>
          </cell>
          <cell r="H172">
            <v>7.1435079574584961</v>
          </cell>
          <cell r="I172" t="str">
            <v>km/l</v>
          </cell>
          <cell r="J172" t="str">
            <v>Diesel 2050 CITY BUS - FULL 2050 Diesel 735 kW MOTORWAY 18000 kg 14.0 l /100km 41%</v>
          </cell>
          <cell r="M172">
            <v>18000</v>
          </cell>
        </row>
        <row r="173">
          <cell r="A173" t="str">
            <v>2050 TOURIST BUS - EMPTY</v>
          </cell>
          <cell r="B173" t="str">
            <v>CITY ROUTE</v>
          </cell>
          <cell r="C173" t="str">
            <v>2050 Diesel 735 kW</v>
          </cell>
          <cell r="D173" t="str">
            <v>Diesel</v>
          </cell>
          <cell r="E173">
            <v>6.6218458237075808</v>
          </cell>
          <cell r="F173">
            <v>0.76181226968765259</v>
          </cell>
          <cell r="G173">
            <v>0.11504530458262963</v>
          </cell>
          <cell r="H173">
            <v>5.4365506172180176</v>
          </cell>
          <cell r="I173" t="str">
            <v>km/l</v>
          </cell>
          <cell r="J173" t="str">
            <v>Diesel 2050 TOURIST BUS - EMPTY 2050 Diesel 735 kW CITY ROUTE 11200 kg 18.4 l /100km 12%</v>
          </cell>
          <cell r="M173">
            <v>11200</v>
          </cell>
        </row>
        <row r="174">
          <cell r="A174" t="str">
            <v>2050 TOURIST BUS - EMPTY</v>
          </cell>
          <cell r="B174" t="str">
            <v>RURAL ROUTE</v>
          </cell>
          <cell r="C174" t="str">
            <v>2050 Diesel 735 kW</v>
          </cell>
          <cell r="D174" t="str">
            <v>Diesel</v>
          </cell>
          <cell r="E174">
            <v>3.7703992671896267</v>
          </cell>
          <cell r="F174">
            <v>1.2492524683475494</v>
          </cell>
          <cell r="G174">
            <v>0.33133161233577124</v>
          </cell>
          <cell r="H174">
            <v>9.548060417175293</v>
          </cell>
          <cell r="I174" t="str">
            <v>km/l</v>
          </cell>
          <cell r="J174" t="str">
            <v>Diesel 2050 TOURIST BUS - EMPTY 2050 Diesel 735 kW RURAL ROUTE 11200 kg 10.5 l /100km 33%</v>
          </cell>
          <cell r="M174">
            <v>11200</v>
          </cell>
        </row>
        <row r="175">
          <cell r="A175" t="str">
            <v>2050 TOURIST BUS - EMPTY</v>
          </cell>
          <cell r="B175" t="str">
            <v>MOTORWAY</v>
          </cell>
          <cell r="C175" t="str">
            <v>2050 Diesel 735 kW</v>
          </cell>
          <cell r="D175" t="str">
            <v>Diesel</v>
          </cell>
          <cell r="E175">
            <v>3.6077575788622478</v>
          </cell>
          <cell r="F175">
            <v>1.5148498117923737</v>
          </cell>
          <cell r="G175">
            <v>0.41988680743624157</v>
          </cell>
          <cell r="H175">
            <v>9.9784975051879883</v>
          </cell>
          <cell r="I175" t="str">
            <v>km/l</v>
          </cell>
          <cell r="J175" t="str">
            <v>Diesel 2050 TOURIST BUS - EMPTY 2050 Diesel 735 kW MOTORWAY 11200 kg 10.0 l /100km 42%</v>
          </cell>
          <cell r="M175">
            <v>11200</v>
          </cell>
        </row>
        <row r="176">
          <cell r="A176" t="str">
            <v>2050 TOURIST BUS - TYPICAL</v>
          </cell>
          <cell r="B176" t="str">
            <v>CITY ROUTE</v>
          </cell>
          <cell r="C176" t="str">
            <v>2050 Diesel 735 kW</v>
          </cell>
          <cell r="D176" t="str">
            <v>Diesel</v>
          </cell>
          <cell r="E176">
            <v>7.5531642515073818</v>
          </cell>
          <cell r="F176">
            <v>0.83041444420814514</v>
          </cell>
          <cell r="G176">
            <v>0.10994259049012732</v>
          </cell>
          <cell r="H176">
            <v>4.7662143707275391</v>
          </cell>
          <cell r="I176" t="str">
            <v>km/l</v>
          </cell>
          <cell r="J176" t="str">
            <v>Diesel 2050 TOURIST BUS - TYPICAL 2050 Diesel 735 kW CITY ROUTE 12950 kg 21.0 l /100km 11%</v>
          </cell>
          <cell r="M176">
            <v>12950</v>
          </cell>
        </row>
        <row r="177">
          <cell r="A177" t="str">
            <v>2050 TOURIST BUS - TYPICAL</v>
          </cell>
          <cell r="B177" t="str">
            <v>RURAL ROUTE</v>
          </cell>
          <cell r="C177" t="str">
            <v>2050 Diesel 735 kW</v>
          </cell>
          <cell r="D177" t="str">
            <v>Diesel</v>
          </cell>
          <cell r="E177">
            <v>4.1054019763577481</v>
          </cell>
          <cell r="F177">
            <v>1.3179236054420471</v>
          </cell>
          <cell r="G177">
            <v>0.32102181784676037</v>
          </cell>
          <cell r="H177">
            <v>8.7689342498779297</v>
          </cell>
          <cell r="I177" t="str">
            <v>km/l</v>
          </cell>
          <cell r="J177" t="str">
            <v>Diesel 2050 TOURIST BUS - TYPICAL 2050 Diesel 735 kW RURAL ROUTE 12950 kg 11.4 l /100km 32%</v>
          </cell>
          <cell r="M177">
            <v>12950</v>
          </cell>
        </row>
        <row r="178">
          <cell r="A178" t="str">
            <v>2050 TOURIST BUS - TYPICAL</v>
          </cell>
          <cell r="B178" t="str">
            <v>MOTORWAY</v>
          </cell>
          <cell r="C178" t="str">
            <v>2050 Diesel 735 kW</v>
          </cell>
          <cell r="D178" t="str">
            <v>Diesel</v>
          </cell>
          <cell r="E178">
            <v>3.817105675482976</v>
          </cell>
          <cell r="F178">
            <v>1.583520770072937</v>
          </cell>
          <cell r="G178">
            <v>0.41484855403500853</v>
          </cell>
          <cell r="H178">
            <v>9.4312295913696289</v>
          </cell>
          <cell r="I178" t="str">
            <v>km/l</v>
          </cell>
          <cell r="J178" t="str">
            <v>Diesel 2050 TOURIST BUS - TYPICAL 2050 Diesel 735 kW MOTORWAY 12950 kg 10.6 l /100km 41%</v>
          </cell>
          <cell r="M178">
            <v>12950</v>
          </cell>
        </row>
        <row r="179">
          <cell r="A179" t="str">
            <v>2050 TOURIST BUS - FULL</v>
          </cell>
          <cell r="B179" t="str">
            <v>CITY ROUTE</v>
          </cell>
          <cell r="C179" t="str">
            <v>2050 Diesel 735 kW</v>
          </cell>
          <cell r="D179" t="str">
            <v>Diesel</v>
          </cell>
          <cell r="E179">
            <v>11.084132261762823</v>
          </cell>
          <cell r="F179">
            <v>1.0871825814247131</v>
          </cell>
          <cell r="G179">
            <v>9.8084591175007091E-2</v>
          </cell>
          <cell r="H179">
            <v>3.2478861808776855</v>
          </cell>
          <cell r="I179" t="str">
            <v>km/l</v>
          </cell>
          <cell r="J179" t="str">
            <v>Diesel 2050 TOURIST BUS - FULL 2050 Diesel 735 kW CITY ROUTE 19500 kg 30.8 l /100km 10%</v>
          </cell>
          <cell r="M179">
            <v>19500</v>
          </cell>
        </row>
        <row r="180">
          <cell r="A180" t="str">
            <v>2050 TOURIST BUS - FULL</v>
          </cell>
          <cell r="B180" t="str">
            <v>RURAL ROUTE</v>
          </cell>
          <cell r="C180" t="str">
            <v>2050 Diesel 735 kW</v>
          </cell>
          <cell r="D180" t="str">
            <v>Diesel</v>
          </cell>
          <cell r="E180">
            <v>5.4320609533622166</v>
          </cell>
          <cell r="F180">
            <v>1.5749465227127075</v>
          </cell>
          <cell r="G180">
            <v>0.28993535533467862</v>
          </cell>
          <cell r="H180">
            <v>6.6273188591003418</v>
          </cell>
          <cell r="I180" t="str">
            <v>km/l</v>
          </cell>
          <cell r="J180" t="str">
            <v>Diesel 2050 TOURIST BUS - FULL 2050 Diesel 735 kW RURAL ROUTE 19500 kg 15.1 l /100km 29%</v>
          </cell>
          <cell r="M180">
            <v>19500</v>
          </cell>
        </row>
        <row r="181">
          <cell r="A181" t="str">
            <v>2050 TOURIST BUS - FULL</v>
          </cell>
          <cell r="B181" t="str">
            <v>MOTORWAY</v>
          </cell>
          <cell r="C181" t="str">
            <v>2050 Diesel 735 kW</v>
          </cell>
          <cell r="D181" t="str">
            <v>Diesel</v>
          </cell>
          <cell r="E181">
            <v>4.6358669818998024</v>
          </cell>
          <cell r="F181">
            <v>1.8405457735061646</v>
          </cell>
          <cell r="G181">
            <v>0.39702299067086244</v>
          </cell>
          <cell r="H181">
            <v>7.7655377388000488</v>
          </cell>
          <cell r="I181" t="str">
            <v>km/l</v>
          </cell>
          <cell r="J181" t="str">
            <v>Diesel 2050 TOURIST BUS - FULL 2050 Diesel 735 kW MOTORWAY 19500 kg 12.9 l /100km 40%</v>
          </cell>
          <cell r="M181">
            <v>19500</v>
          </cell>
        </row>
        <row r="182">
          <cell r="A182" t="str">
            <v>2050 RIGID TRUCK - EMPTY</v>
          </cell>
          <cell r="B182" t="str">
            <v>URBAN DELIVERY</v>
          </cell>
          <cell r="C182" t="str">
            <v>2050 Electric 800 kW</v>
          </cell>
          <cell r="D182" t="str">
            <v>Electricity</v>
          </cell>
          <cell r="E182">
            <v>1.4961465900191195</v>
          </cell>
          <cell r="F182">
            <v>0.85323941707611084</v>
          </cell>
          <cell r="G182">
            <v>0.57029132223280821</v>
          </cell>
          <cell r="H182">
            <v>2.4061813354492188</v>
          </cell>
          <cell r="I182" t="str">
            <v>km/kWh</v>
          </cell>
          <cell r="J182" t="str">
            <v>Electricity 2050 RIGID TRUCK - EMPTY 2050 Electric 800 kW URBAN DELIVERY 8736 kg 41.6 kWh /100km 57%</v>
          </cell>
          <cell r="M182">
            <v>8736</v>
          </cell>
        </row>
        <row r="183">
          <cell r="A183" t="str">
            <v>2050 RIGID TRUCK - EMPTY</v>
          </cell>
          <cell r="B183" t="str">
            <v>REGIONAL DELIVERY</v>
          </cell>
          <cell r="C183" t="str">
            <v>2050 Electric 800 kW</v>
          </cell>
          <cell r="D183" t="str">
            <v>Electricity</v>
          </cell>
          <cell r="E183">
            <v>1.9654721879627068</v>
          </cell>
          <cell r="F183">
            <v>1.3839121460914612</v>
          </cell>
          <cell r="G183">
            <v>0.70411179286436165</v>
          </cell>
          <cell r="H183">
            <v>1.8316209316253662</v>
          </cell>
          <cell r="I183" t="str">
            <v>km/kWh</v>
          </cell>
          <cell r="J183" t="str">
            <v>Electricity 2050 RIGID TRUCK - EMPTY 2050 Electric 800 kW REGIONAL DELIVERY 8736 kg 54.6 kWh /100km 70%</v>
          </cell>
          <cell r="M183">
            <v>8736</v>
          </cell>
        </row>
        <row r="184">
          <cell r="A184" t="str">
            <v>2050 RIGID TRUCK - EMPTY</v>
          </cell>
          <cell r="B184" t="str">
            <v>LONG HAUL</v>
          </cell>
          <cell r="C184" t="str">
            <v>2050 Electric 800 kW</v>
          </cell>
          <cell r="D184" t="str">
            <v>Electricity</v>
          </cell>
          <cell r="E184">
            <v>2.2653506688971867</v>
          </cell>
          <cell r="F184">
            <v>1.7253945469856262</v>
          </cell>
          <cell r="G184">
            <v>0.76164567838213726</v>
          </cell>
          <cell r="H184">
            <v>1.5891579389572144</v>
          </cell>
          <cell r="I184" t="str">
            <v>km/kWh</v>
          </cell>
          <cell r="J184" t="str">
            <v>Electricity 2050 RIGID TRUCK - EMPTY 2050 Electric 800 kW LONG HAUL 8736 kg 62.9 kWh /100km 76%</v>
          </cell>
          <cell r="M184">
            <v>8736</v>
          </cell>
        </row>
        <row r="185">
          <cell r="A185" t="str">
            <v>2050 RIGID TRUCK - TYPICAL</v>
          </cell>
          <cell r="B185" t="str">
            <v>URBAN DELIVERY</v>
          </cell>
          <cell r="C185" t="str">
            <v>2050 Electric 800 kW</v>
          </cell>
          <cell r="D185" t="str">
            <v>Electricity</v>
          </cell>
          <cell r="E185">
            <v>2.2113310051582857</v>
          </cell>
          <cell r="F185">
            <v>1.1880769729614258</v>
          </cell>
          <cell r="G185">
            <v>0.53726781300042592</v>
          </cell>
          <cell r="H185">
            <v>1.6279788017272949</v>
          </cell>
          <cell r="I185" t="str">
            <v>km/kWh</v>
          </cell>
          <cell r="J185" t="str">
            <v>Electricity 2050 RIGID TRUCK - TYPICAL 2050 Electric 800 kW URBAN DELIVERY 17269.952 kg 61.4 kWh /100km 54%</v>
          </cell>
          <cell r="M185">
            <v>17269.951999999997</v>
          </cell>
        </row>
        <row r="186">
          <cell r="A186" t="str">
            <v>2050 RIGID TRUCK - TYPICAL</v>
          </cell>
          <cell r="B186" t="str">
            <v>REGIONAL DELIVERY</v>
          </cell>
          <cell r="C186" t="str">
            <v>2050 Electric 800 kW</v>
          </cell>
          <cell r="D186" t="str">
            <v>Electricity</v>
          </cell>
          <cell r="E186">
            <v>2.5420957200112735</v>
          </cell>
          <cell r="F186">
            <v>1.7187904715538025</v>
          </cell>
          <cell r="G186">
            <v>0.67613129514500747</v>
          </cell>
          <cell r="H186">
            <v>1.4161543846130371</v>
          </cell>
          <cell r="I186" t="str">
            <v>km/kWh</v>
          </cell>
          <cell r="J186" t="str">
            <v>Electricity 2050 RIGID TRUCK - TYPICAL 2050 Electric 800 kW REGIONAL DELIVERY 17269.952 kg 70.6 kWh /100km 68%</v>
          </cell>
          <cell r="M186">
            <v>17269.951999999997</v>
          </cell>
        </row>
        <row r="187">
          <cell r="A187" t="str">
            <v>2050 RIGID TRUCK - TYPICAL</v>
          </cell>
          <cell r="B187" t="str">
            <v>LONG HAUL</v>
          </cell>
          <cell r="C187" t="str">
            <v>2050 Electric 800 kW</v>
          </cell>
          <cell r="D187" t="str">
            <v>Electricity</v>
          </cell>
          <cell r="E187">
            <v>2.6681462239033089</v>
          </cell>
          <cell r="F187">
            <v>2.0602776408195496</v>
          </cell>
          <cell r="G187">
            <v>0.77217568601075748</v>
          </cell>
          <cell r="H187">
            <v>1.349251389503479</v>
          </cell>
          <cell r="I187" t="str">
            <v>km/kWh</v>
          </cell>
          <cell r="J187" t="str">
            <v>Electricity 2050 RIGID TRUCK - TYPICAL 2050 Electric 800 kW LONG HAUL 17269.952 kg 74.1 kWh /100km 77%</v>
          </cell>
          <cell r="M187">
            <v>17269.951999999997</v>
          </cell>
        </row>
        <row r="188">
          <cell r="A188" t="str">
            <v>2050 RIGID TRUCK - FULL</v>
          </cell>
          <cell r="B188" t="str">
            <v>URBAN DELIVERY</v>
          </cell>
          <cell r="C188" t="str">
            <v>2050 Electric 800 kW</v>
          </cell>
          <cell r="D188" t="str">
            <v>Electricity</v>
          </cell>
          <cell r="E188">
            <v>3.1030239261430914</v>
          </cell>
          <cell r="F188">
            <v>1.6090804934501648</v>
          </cell>
          <cell r="G188">
            <v>0.51855239654892826</v>
          </cell>
          <cell r="H188">
            <v>1.160158634185791</v>
          </cell>
          <cell r="I188" t="str">
            <v>km/kWh</v>
          </cell>
          <cell r="J188" t="str">
            <v>Electricity 2050 RIGID TRUCK - FULL 2050 Electric 800 kW URBAN DELIVERY 28000 kg 86.2 kWh /100km 52%</v>
          </cell>
          <cell r="M188">
            <v>28000</v>
          </cell>
        </row>
        <row r="189">
          <cell r="A189" t="str">
            <v>2050 RIGID TRUCK - FULL</v>
          </cell>
          <cell r="B189" t="str">
            <v>REGIONAL DELIVERY</v>
          </cell>
          <cell r="C189" t="str">
            <v>2050 Electric 800 kW</v>
          </cell>
          <cell r="D189" t="str">
            <v>Electricity</v>
          </cell>
          <cell r="E189">
            <v>3.3099338166436936</v>
          </cell>
          <cell r="F189">
            <v>2.1398395299911499</v>
          </cell>
          <cell r="G189">
            <v>0.64649012594486521</v>
          </cell>
          <cell r="H189">
            <v>1.0876350402832031</v>
          </cell>
          <cell r="I189" t="str">
            <v>km/kWh</v>
          </cell>
          <cell r="J189" t="str">
            <v>Electricity 2050 RIGID TRUCK - FULL 2050 Electric 800 kW REGIONAL DELIVERY 28000 kg 91.9 kWh /100km 65%</v>
          </cell>
          <cell r="M189">
            <v>28000</v>
          </cell>
        </row>
        <row r="190">
          <cell r="A190" t="str">
            <v>2050 RIGID TRUCK - FULL</v>
          </cell>
          <cell r="B190" t="str">
            <v>LONG HAUL</v>
          </cell>
          <cell r="C190" t="str">
            <v>2050 Electric 800 kW</v>
          </cell>
          <cell r="D190" t="str">
            <v>Electricity</v>
          </cell>
          <cell r="E190">
            <v>3.2126877756541177</v>
          </cell>
          <cell r="F190">
            <v>2.4813201427459717</v>
          </cell>
          <cell r="G190">
            <v>0.77235023009379233</v>
          </cell>
          <cell r="H190">
            <v>1.1205570697784424</v>
          </cell>
          <cell r="I190" t="str">
            <v>km/kWh</v>
          </cell>
          <cell r="J190" t="str">
            <v>Electricity 2050 RIGID TRUCK - FULL 2050 Electric 800 kW LONG HAUL 28000 kg 89.2 kWh /100km 77%</v>
          </cell>
          <cell r="M190">
            <v>28000</v>
          </cell>
        </row>
        <row r="191">
          <cell r="A191" t="str">
            <v>2050 TRUCK WITH TRAILER - EMPTY</v>
          </cell>
          <cell r="B191" t="str">
            <v>URBAN DELIVERY</v>
          </cell>
          <cell r="C191" t="str">
            <v>2050 Electric 800 kW</v>
          </cell>
          <cell r="D191" t="str">
            <v>Electricity</v>
          </cell>
          <cell r="E191">
            <v>1.9686411560039339</v>
          </cell>
          <cell r="F191">
            <v>1.1247583627700806</v>
          </cell>
          <cell r="G191">
            <v>0.57133742192669723</v>
          </cell>
          <cell r="H191">
            <v>1.8286725282669067</v>
          </cell>
          <cell r="I191" t="str">
            <v>km/kWh</v>
          </cell>
          <cell r="J191" t="str">
            <v>Electricity 2050 TRUCK WITH TRAILER - EMPTY 2050 Electric 800 kW URBAN DELIVERY 12765.26102271 kg 54.7 kWh /100km 57%</v>
          </cell>
          <cell r="M191">
            <v>12765.261022709999</v>
          </cell>
        </row>
        <row r="192">
          <cell r="A192" t="str">
            <v>2050 TRUCK WITH TRAILER - EMPTY</v>
          </cell>
          <cell r="B192" t="str">
            <v>REGIONAL DELIVERY</v>
          </cell>
          <cell r="C192" t="str">
            <v>2050 Electric 800 kW</v>
          </cell>
          <cell r="D192" t="str">
            <v>Electricity</v>
          </cell>
          <cell r="E192">
            <v>2.5007965386492002</v>
          </cell>
          <cell r="F192">
            <v>1.7733700275421143</v>
          </cell>
          <cell r="G192">
            <v>0.70912207376134495</v>
          </cell>
          <cell r="H192">
            <v>1.4395413398742676</v>
          </cell>
          <cell r="I192" t="str">
            <v>km/kWh</v>
          </cell>
          <cell r="J192" t="str">
            <v>Electricity 2050 TRUCK WITH TRAILER - EMPTY 2050 Electric 800 kW REGIONAL DELIVERY 12765.26102271 kg 69.5 kWh /100km 71%</v>
          </cell>
          <cell r="M192">
            <v>12765.261022709999</v>
          </cell>
        </row>
        <row r="193">
          <cell r="A193" t="str">
            <v>2050 TRUCK WITH TRAILER - EMPTY</v>
          </cell>
          <cell r="B193" t="str">
            <v>LONG HAUL</v>
          </cell>
          <cell r="C193" t="str">
            <v>2050 Electric 800 kW</v>
          </cell>
          <cell r="D193" t="str">
            <v>Electricity</v>
          </cell>
          <cell r="E193">
            <v>2.8081200160012409</v>
          </cell>
          <cell r="F193">
            <v>2.1907400488853455</v>
          </cell>
          <cell r="G193">
            <v>0.78014473612312207</v>
          </cell>
          <cell r="H193">
            <v>1.281996488571167</v>
          </cell>
          <cell r="I193" t="str">
            <v>km/kWh</v>
          </cell>
          <cell r="J193" t="str">
            <v>Electricity 2050 TRUCK WITH TRAILER - EMPTY 2050 Electric 800 kW LONG HAUL 12765.26102271 kg 78.0 kWh /100km 78%</v>
          </cell>
          <cell r="M193">
            <v>12765.261022709999</v>
          </cell>
        </row>
        <row r="194">
          <cell r="A194" t="str">
            <v>2050 TRUCK WITH TRAILER - TYPICAL</v>
          </cell>
          <cell r="B194" t="str">
            <v>URBAN DELIVERY</v>
          </cell>
          <cell r="C194" t="str">
            <v>2050 Electric 800 kW</v>
          </cell>
          <cell r="D194" t="str">
            <v>Electricity</v>
          </cell>
          <cell r="E194">
            <v>4.2995993977511766</v>
          </cell>
          <cell r="F194">
            <v>2.2158222794532776</v>
          </cell>
          <cell r="G194">
            <v>0.5153555190774799</v>
          </cell>
          <cell r="H194">
            <v>0.8372873067855835</v>
          </cell>
          <cell r="I194" t="str">
            <v>km/kWh</v>
          </cell>
          <cell r="J194" t="str">
            <v>Electricity 2050 TRUCK WITH TRAILER - TYPICAL 2050 Electric 800 kW URBAN DELIVERY 40582.8885448788 kg 119.4 kWh /100km 52%</v>
          </cell>
          <cell r="M194">
            <v>40582.88854487885</v>
          </cell>
        </row>
        <row r="195">
          <cell r="A195" t="str">
            <v>2050 TRUCK WITH TRAILER - TYPICAL</v>
          </cell>
          <cell r="B195" t="str">
            <v>REGIONAL DELIVERY</v>
          </cell>
          <cell r="C195" t="str">
            <v>2050 Electric 800 kW</v>
          </cell>
          <cell r="D195" t="str">
            <v>Electricity</v>
          </cell>
          <cell r="E195">
            <v>4.4629421231606372</v>
          </cell>
          <cell r="F195">
            <v>2.8647351264953613</v>
          </cell>
          <cell r="G195">
            <v>0.64189385554177159</v>
          </cell>
          <cell r="H195">
            <v>0.80664277076721191</v>
          </cell>
          <cell r="I195" t="str">
            <v>km/kWh</v>
          </cell>
          <cell r="J195" t="str">
            <v>Electricity 2050 TRUCK WITH TRAILER - TYPICAL 2050 Electric 800 kW REGIONAL DELIVERY 40582.8885448788 kg 124.0 kWh /100km 64%</v>
          </cell>
          <cell r="M195">
            <v>40582.88854487885</v>
          </cell>
        </row>
        <row r="196">
          <cell r="A196" t="str">
            <v>2050 TRUCK WITH TRAILER - TYPICAL</v>
          </cell>
          <cell r="B196" t="str">
            <v>LONG HAUL</v>
          </cell>
          <cell r="C196" t="str">
            <v>2050 Electric 800 kW</v>
          </cell>
          <cell r="D196" t="str">
            <v>Electricity</v>
          </cell>
          <cell r="E196">
            <v>4.2176592883090116</v>
          </cell>
          <cell r="F196">
            <v>3.2823300361633301</v>
          </cell>
          <cell r="G196">
            <v>0.77823499049856071</v>
          </cell>
          <cell r="H196">
            <v>0.85355401039123535</v>
          </cell>
          <cell r="I196" t="str">
            <v>km/kWh</v>
          </cell>
          <cell r="J196" t="str">
            <v>Electricity 2050 TRUCK WITH TRAILER - TYPICAL 2050 Electric 800 kW LONG HAUL 40582.8885448788 kg 117.2 kWh /100km 78%</v>
          </cell>
          <cell r="M196">
            <v>40582.88854487885</v>
          </cell>
        </row>
        <row r="197">
          <cell r="A197" t="str">
            <v>2050 TRUCK WITH TRAILER - FULL</v>
          </cell>
          <cell r="B197" t="str">
            <v>URBAN DELIVERY</v>
          </cell>
          <cell r="C197" t="str">
            <v>2050 Electric 800 kW</v>
          </cell>
          <cell r="D197" t="str">
            <v>Electricity</v>
          </cell>
          <cell r="E197">
            <v>6.2778363647948359</v>
          </cell>
          <cell r="F197">
            <v>3.0488393306732178</v>
          </cell>
          <cell r="G197">
            <v>0.48565129027106396</v>
          </cell>
          <cell r="H197">
            <v>0.57344597578048706</v>
          </cell>
          <cell r="I197" t="str">
            <v>km/kWh</v>
          </cell>
          <cell r="J197" t="str">
            <v>Electricity 2050 TRUCK WITH TRAILER - FULL 2050 Electric 800 kW URBAN DELIVERY 62000 kg 174.4 kWh /100km 49%</v>
          </cell>
          <cell r="M197">
            <v>62000</v>
          </cell>
        </row>
        <row r="198">
          <cell r="A198" t="str">
            <v>2050 TRUCK WITH TRAILER - FULL</v>
          </cell>
          <cell r="B198" t="str">
            <v>REGIONAL DELIVERY</v>
          </cell>
          <cell r="C198" t="str">
            <v>2050 Electric 800 kW</v>
          </cell>
          <cell r="D198" t="str">
            <v>Electricity</v>
          </cell>
          <cell r="E198">
            <v>6.0577906096688388</v>
          </cell>
          <cell r="F198">
            <v>3.7035121917724609</v>
          </cell>
          <cell r="G198">
            <v>0.61136352020178542</v>
          </cell>
          <cell r="H198">
            <v>0.5942760705947876</v>
          </cell>
          <cell r="I198" t="str">
            <v>km/kWh</v>
          </cell>
          <cell r="J198" t="str">
            <v>Electricity 2050 TRUCK WITH TRAILER - FULL 2050 Electric 800 kW REGIONAL DELIVERY 62000 kg 168.3 kWh /100km 61%</v>
          </cell>
          <cell r="M198">
            <v>62000</v>
          </cell>
        </row>
        <row r="199">
          <cell r="A199" t="str">
            <v>2050 TRUCK WITH TRAILER - FULL</v>
          </cell>
          <cell r="B199" t="str">
            <v>LONG HAUL</v>
          </cell>
          <cell r="C199" t="str">
            <v>2050 Electric 800 kW</v>
          </cell>
          <cell r="D199" t="str">
            <v>Electricity</v>
          </cell>
          <cell r="E199">
            <v>5.3595535732825468</v>
          </cell>
          <cell r="F199">
            <v>4.1227357387542725</v>
          </cell>
          <cell r="G199">
            <v>0.76923118360196463</v>
          </cell>
          <cell r="H199">
            <v>0.67169773578643799</v>
          </cell>
          <cell r="I199" t="str">
            <v>km/kWh</v>
          </cell>
          <cell r="J199" t="str">
            <v>Electricity 2050 TRUCK WITH TRAILER - FULL 2050 Electric 800 kW LONG HAUL 62000 kg 148.9 kWh /100km 77%</v>
          </cell>
          <cell r="M199">
            <v>62000</v>
          </cell>
        </row>
        <row r="200">
          <cell r="A200" t="str">
            <v>2050 SEMI TRUCK - EMPTY</v>
          </cell>
          <cell r="B200" t="str">
            <v>URBAN DELIVERY</v>
          </cell>
          <cell r="C200" t="str">
            <v>2050 Electric 800 kW</v>
          </cell>
          <cell r="D200" t="str">
            <v>Electricity</v>
          </cell>
          <cell r="E200">
            <v>1.7792954484687591</v>
          </cell>
          <cell r="F200">
            <v>0.93692409992218018</v>
          </cell>
          <cell r="G200">
            <v>0.52657027854957206</v>
          </cell>
          <cell r="H200">
            <v>2.0232727527618408</v>
          </cell>
          <cell r="I200" t="str">
            <v>km/kWh</v>
          </cell>
          <cell r="J200" t="str">
            <v>Electricity 2050 SEMI TRUCK - EMPTY 2050 Electric 800 kW URBAN DELIVERY 13760 kg 49.4 kWh /100km 53%</v>
          </cell>
          <cell r="M200">
            <v>13760</v>
          </cell>
        </row>
        <row r="201">
          <cell r="A201" t="str">
            <v>2050 SEMI TRUCK - EMPTY</v>
          </cell>
          <cell r="B201" t="str">
            <v>REGIONAL DELIVERY</v>
          </cell>
          <cell r="C201" t="str">
            <v>2050 Electric 800 kW</v>
          </cell>
          <cell r="D201" t="str">
            <v>Electricity</v>
          </cell>
          <cell r="E201">
            <v>2.0360862388256757</v>
          </cell>
          <cell r="F201">
            <v>1.349700927734375</v>
          </cell>
          <cell r="G201">
            <v>0.66288986291308694</v>
          </cell>
          <cell r="H201">
            <v>1.768097996711731</v>
          </cell>
          <cell r="I201" t="str">
            <v>km/kWh</v>
          </cell>
          <cell r="J201" t="str">
            <v>Electricity 2050 SEMI TRUCK - EMPTY 2050 Electric 800 kW REGIONAL DELIVERY 13760 kg 56.6 kWh /100km 66%</v>
          </cell>
          <cell r="M201">
            <v>13760</v>
          </cell>
        </row>
        <row r="202">
          <cell r="A202" t="str">
            <v>2050 SEMI TRUCK - EMPTY</v>
          </cell>
          <cell r="B202" t="str">
            <v>LONG HAUL</v>
          </cell>
          <cell r="C202" t="str">
            <v>2050 Electric 800 kW</v>
          </cell>
          <cell r="D202" t="str">
            <v>Electricity</v>
          </cell>
          <cell r="E202">
            <v>2.1393652418300433</v>
          </cell>
          <cell r="F202">
            <v>1.615300714969635</v>
          </cell>
          <cell r="G202">
            <v>0.75503737435122764</v>
          </cell>
          <cell r="H202">
            <v>1.6827421188354492</v>
          </cell>
          <cell r="I202" t="str">
            <v>km/kWh</v>
          </cell>
          <cell r="J202" t="str">
            <v>Electricity 2050 SEMI TRUCK - EMPTY 2050 Electric 800 kW LONG HAUL 13760 kg 59.4 kWh /100km 76%</v>
          </cell>
          <cell r="M202">
            <v>13760</v>
          </cell>
        </row>
        <row r="203">
          <cell r="A203" t="str">
            <v>2050 SEMI TRUCK - TYPICAL</v>
          </cell>
          <cell r="B203" t="str">
            <v>URBAN DELIVERY</v>
          </cell>
          <cell r="C203" t="str">
            <v>2050 Electric 800 kW</v>
          </cell>
          <cell r="D203" t="str">
            <v>Electricity</v>
          </cell>
          <cell r="E203">
            <v>4.0857288761589672</v>
          </cell>
          <cell r="F203">
            <v>2.0060800015926361</v>
          </cell>
          <cell r="G203">
            <v>0.49099684839552327</v>
          </cell>
          <cell r="H203">
            <v>0.88111573457717896</v>
          </cell>
          <cell r="I203" t="str">
            <v>km/kWh</v>
          </cell>
          <cell r="J203" t="str">
            <v>Electricity 2050 SEMI TRUCK - TYPICAL 2050 Electric 800 kW URBAN DELIVERY 41015.6 kg 113.5 kWh /100km 49%</v>
          </cell>
          <cell r="M203">
            <v>41015.599999999999</v>
          </cell>
        </row>
        <row r="204">
          <cell r="A204" t="str">
            <v>2050 SEMI TRUCK - TYPICAL</v>
          </cell>
          <cell r="B204" t="str">
            <v>REGIONAL DELIVERY</v>
          </cell>
          <cell r="C204" t="str">
            <v>2050 Electric 800 kW</v>
          </cell>
          <cell r="D204" t="str">
            <v>Electricity</v>
          </cell>
          <cell r="E204">
            <v>3.9832682359334481</v>
          </cell>
          <cell r="F204">
            <v>2.4190897345542908</v>
          </cell>
          <cell r="G204">
            <v>0.60731278720610582</v>
          </cell>
          <cell r="H204">
            <v>0.90378046035766602</v>
          </cell>
          <cell r="I204" t="str">
            <v>km/kWh</v>
          </cell>
          <cell r="J204" t="str">
            <v>Electricity 2050 SEMI TRUCK - TYPICAL 2050 Electric 800 kW REGIONAL DELIVERY 41015.6 kg 110.6 kWh /100km 61%</v>
          </cell>
          <cell r="M204">
            <v>41015.599999999999</v>
          </cell>
        </row>
        <row r="205">
          <cell r="A205" t="str">
            <v>2050 SEMI TRUCK - TYPICAL</v>
          </cell>
          <cell r="B205" t="str">
            <v>LONG HAUL</v>
          </cell>
          <cell r="C205" t="str">
            <v>2050 Electric 800 kW</v>
          </cell>
          <cell r="D205" t="str">
            <v>Electricity</v>
          </cell>
          <cell r="E205">
            <v>3.5601989439766255</v>
          </cell>
          <cell r="F205">
            <v>2.6848310232162476</v>
          </cell>
          <cell r="G205">
            <v>0.75412387494766775</v>
          </cell>
          <cell r="H205">
            <v>1.0111794471740723</v>
          </cell>
          <cell r="I205" t="str">
            <v>km/kWh</v>
          </cell>
          <cell r="J205" t="str">
            <v>Electricity 2050 SEMI TRUCK - TYPICAL 2050 Electric 800 kW LONG HAUL 41015.6 kg 98.9 kWh /100km 75%</v>
          </cell>
          <cell r="M205">
            <v>41015.599999999999</v>
          </cell>
        </row>
        <row r="206">
          <cell r="A206" t="str">
            <v>2050 SEMI TRUCK - FULL</v>
          </cell>
          <cell r="B206" t="str">
            <v>URBAN DELIVERY</v>
          </cell>
          <cell r="C206" t="str">
            <v>2050 Electric 800 kW</v>
          </cell>
          <cell r="D206" t="str">
            <v>Electricity</v>
          </cell>
          <cell r="E206">
            <v>6.0374377255930654</v>
          </cell>
          <cell r="F206">
            <v>2.8249415159225464</v>
          </cell>
          <cell r="G206">
            <v>0.46790404213155651</v>
          </cell>
          <cell r="H206">
            <v>0.59627944231033325</v>
          </cell>
          <cell r="I206" t="str">
            <v>km/kWh</v>
          </cell>
          <cell r="J206" t="str">
            <v>Electricity 2050 SEMI TRUCK - FULL 2050 Electric 800 kW URBAN DELIVERY 62000 kg 167.7 kWh /100km 47%</v>
          </cell>
          <cell r="M206">
            <v>62000</v>
          </cell>
        </row>
        <row r="207">
          <cell r="A207" t="str">
            <v>2050 SEMI TRUCK - FULL</v>
          </cell>
          <cell r="B207" t="str">
            <v>REGIONAL DELIVERY</v>
          </cell>
          <cell r="C207" t="str">
            <v>2050 Electric 800 kW</v>
          </cell>
          <cell r="D207" t="str">
            <v>Electricity</v>
          </cell>
          <cell r="E207">
            <v>5.5506638274009239</v>
          </cell>
          <cell r="F207">
            <v>3.2415179014205933</v>
          </cell>
          <cell r="G207">
            <v>0.58398742965099026</v>
          </cell>
          <cell r="H207">
            <v>0.64857107400894165</v>
          </cell>
          <cell r="I207" t="str">
            <v>km/kWh</v>
          </cell>
          <cell r="J207" t="str">
            <v>Electricity 2050 SEMI TRUCK - FULL 2050 Electric 800 kW REGIONAL DELIVERY 62000 kg 154.2 kWh /100km 58%</v>
          </cell>
          <cell r="M207">
            <v>62000</v>
          </cell>
        </row>
        <row r="208">
          <cell r="A208" t="str">
            <v>2050 SEMI TRUCK - FULL</v>
          </cell>
          <cell r="B208" t="str">
            <v>LONG HAUL</v>
          </cell>
          <cell r="C208" t="str">
            <v>2050 Electric 800 kW</v>
          </cell>
          <cell r="D208" t="str">
            <v>Electricity</v>
          </cell>
          <cell r="E208">
            <v>4.6792559083200809</v>
          </cell>
          <cell r="F208">
            <v>3.5082435607910156</v>
          </cell>
          <cell r="G208">
            <v>0.7497438972194459</v>
          </cell>
          <cell r="H208">
            <v>0.76935309171676636</v>
          </cell>
          <cell r="I208" t="str">
            <v>km/kWh</v>
          </cell>
          <cell r="J208" t="str">
            <v>Electricity 2050 SEMI TRUCK - FULL 2050 Electric 800 kW LONG HAUL 62000 kg 130.0 kWh /100km 75%</v>
          </cell>
          <cell r="M208">
            <v>62000</v>
          </cell>
        </row>
        <row r="209">
          <cell r="A209" t="str">
            <v>2050 CITY BUS - EMPTY</v>
          </cell>
          <cell r="B209" t="str">
            <v>CITY ROUTE</v>
          </cell>
          <cell r="C209" t="str">
            <v>2050 Electric 800 kW</v>
          </cell>
          <cell r="D209" t="str">
            <v>Electricity</v>
          </cell>
          <cell r="E209">
            <v>1.9911162122901609</v>
          </cell>
          <cell r="F209">
            <v>0.81663200259208679</v>
          </cell>
          <cell r="G209">
            <v>0.41013778982433441</v>
          </cell>
          <cell r="H209">
            <v>1.8080310821533203</v>
          </cell>
          <cell r="I209" t="str">
            <v>km/kWh</v>
          </cell>
          <cell r="J209" t="str">
            <v>Electricity 2050 CITY BUS - EMPTY 2050 Electric 800 kW CITY ROUTE 10250 kg 55.3 kWh /100km 41%</v>
          </cell>
          <cell r="M209">
            <v>10250</v>
          </cell>
        </row>
        <row r="210">
          <cell r="A210" t="str">
            <v>2050 CITY BUS - EMPTY</v>
          </cell>
          <cell r="B210" t="str">
            <v>RURAL ROUTE</v>
          </cell>
          <cell r="C210" t="str">
            <v>2050 Electric 800 kW</v>
          </cell>
          <cell r="D210" t="str">
            <v>Electricity</v>
          </cell>
          <cell r="E210">
            <v>2.0691387353274653</v>
          </cell>
          <cell r="F210">
            <v>1.4433228969573975</v>
          </cell>
          <cell r="G210">
            <v>0.69754766672471324</v>
          </cell>
          <cell r="H210">
            <v>1.7398543357849121</v>
          </cell>
          <cell r="I210" t="str">
            <v>km/kWh</v>
          </cell>
          <cell r="J210" t="str">
            <v>Electricity 2050 CITY BUS - EMPTY 2050 Electric 800 kW RURAL ROUTE 10250 kg 57.5 kWh /100km 70%</v>
          </cell>
          <cell r="M210">
            <v>10250</v>
          </cell>
        </row>
        <row r="211">
          <cell r="A211" t="str">
            <v>2050 CITY BUS - EMPTY</v>
          </cell>
          <cell r="B211" t="str">
            <v>MOTORWAY</v>
          </cell>
          <cell r="C211" t="str">
            <v>2050 Electric 800 kW</v>
          </cell>
          <cell r="D211" t="str">
            <v>Electricity</v>
          </cell>
          <cell r="E211">
            <v>2.3331733897145792</v>
          </cell>
          <cell r="F211">
            <v>1.7848064005374908</v>
          </cell>
          <cell r="G211">
            <v>0.76496946536657917</v>
          </cell>
          <cell r="H211">
            <v>1.542962908744812</v>
          </cell>
          <cell r="I211" t="str">
            <v>km/kWh</v>
          </cell>
          <cell r="J211" t="str">
            <v>Electricity 2050 CITY BUS - EMPTY 2050 Electric 800 kW MOTORWAY 10250 kg 64.8 kWh /100km 76%</v>
          </cell>
          <cell r="M211">
            <v>10250</v>
          </cell>
        </row>
        <row r="212">
          <cell r="A212" t="str">
            <v>2050 CITY BUS - TYPICAL</v>
          </cell>
          <cell r="B212" t="str">
            <v>CITY ROUTE</v>
          </cell>
          <cell r="C212" t="str">
            <v>2050 Electric 800 kW</v>
          </cell>
          <cell r="D212" t="str">
            <v>Electricity</v>
          </cell>
          <cell r="E212">
            <v>2.1003838197426417</v>
          </cell>
          <cell r="F212">
            <v>0.84953615069389343</v>
          </cell>
          <cell r="G212">
            <v>0.40446709915999374</v>
          </cell>
          <cell r="H212">
            <v>1.7139724493026733</v>
          </cell>
          <cell r="I212" t="str">
            <v>km/kWh</v>
          </cell>
          <cell r="J212" t="str">
            <v>Electricity 2050 CITY BUS - TYPICAL 2050 Electric 800 kW CITY ROUTE 11090 kg 58.3 kWh /100km 40%</v>
          </cell>
          <cell r="M212">
            <v>11090</v>
          </cell>
        </row>
        <row r="213">
          <cell r="A213" t="str">
            <v>2050 CITY BUS - TYPICAL</v>
          </cell>
          <cell r="B213" t="str">
            <v>RURAL ROUTE</v>
          </cell>
          <cell r="C213" t="str">
            <v>2050 Electric 800 kW</v>
          </cell>
          <cell r="D213" t="str">
            <v>Electricity</v>
          </cell>
          <cell r="E213">
            <v>2.1236020534653708</v>
          </cell>
          <cell r="F213">
            <v>1.4762859046459198</v>
          </cell>
          <cell r="G213">
            <v>0.69518010789114792</v>
          </cell>
          <cell r="H213">
            <v>1.6952328681945801</v>
          </cell>
          <cell r="I213" t="str">
            <v>km/kWh</v>
          </cell>
          <cell r="J213" t="str">
            <v>Electricity 2050 CITY BUS - TYPICAL 2050 Electric 800 kW RURAL ROUTE 11090 kg 59.0 kWh /100km 70%</v>
          </cell>
          <cell r="M213">
            <v>11090</v>
          </cell>
        </row>
        <row r="214">
          <cell r="A214" t="str">
            <v>2050 CITY BUS - TYPICAL</v>
          </cell>
          <cell r="B214" t="str">
            <v>MOTORWAY</v>
          </cell>
          <cell r="C214" t="str">
            <v>2050 Electric 800 kW</v>
          </cell>
          <cell r="D214" t="str">
            <v>Electricity</v>
          </cell>
          <cell r="E214">
            <v>2.3713467022610923</v>
          </cell>
          <cell r="F214">
            <v>1.8177686333656311</v>
          </cell>
          <cell r="G214">
            <v>0.76655540568250879</v>
          </cell>
          <cell r="H214">
            <v>1.5181246995925903</v>
          </cell>
          <cell r="I214" t="str">
            <v>km/kWh</v>
          </cell>
          <cell r="J214" t="str">
            <v>Electricity 2050 CITY BUS - TYPICAL 2050 Electric 800 kW MOTORWAY 11090 kg 65.9 kWh /100km 77%</v>
          </cell>
          <cell r="M214">
            <v>11090</v>
          </cell>
        </row>
        <row r="215">
          <cell r="A215" t="str">
            <v>2050 CITY BUS - FULL</v>
          </cell>
          <cell r="B215" t="str">
            <v>CITY ROUTE</v>
          </cell>
          <cell r="C215" t="str">
            <v>2050 Electric 800 kW</v>
          </cell>
          <cell r="D215" t="str">
            <v>Electricity</v>
          </cell>
          <cell r="E215">
            <v>3.0626880003212889</v>
          </cell>
          <cell r="F215">
            <v>1.1203869581222534</v>
          </cell>
          <cell r="G215">
            <v>0.36581818259147525</v>
          </cell>
          <cell r="H215">
            <v>1.1754380464553833</v>
          </cell>
          <cell r="I215" t="str">
            <v>km/kWh</v>
          </cell>
          <cell r="J215" t="str">
            <v>Electricity 2050 CITY BUS - FULL 2050 Electric 800 kW CITY ROUTE 18000 kg 85.1 kWh /100km 37%</v>
          </cell>
          <cell r="M215">
            <v>18000</v>
          </cell>
        </row>
        <row r="216">
          <cell r="A216" t="str">
            <v>2050 CITY BUS - FULL</v>
          </cell>
          <cell r="B216" t="str">
            <v>RURAL ROUTE</v>
          </cell>
          <cell r="C216" t="str">
            <v>2050 Electric 800 kW</v>
          </cell>
          <cell r="D216" t="str">
            <v>Electricity</v>
          </cell>
          <cell r="E216">
            <v>2.5928673668730529</v>
          </cell>
          <cell r="F216">
            <v>1.7474362850189209</v>
          </cell>
          <cell r="G216">
            <v>0.67393971143471743</v>
          </cell>
          <cell r="H216">
            <v>1.388424277305603</v>
          </cell>
          <cell r="I216" t="str">
            <v>km/kWh</v>
          </cell>
          <cell r="J216" t="str">
            <v>Electricity 2050 CITY BUS - FULL 2050 Electric 800 kW RURAL ROUTE 18000 kg 72.0 kWh /100km 67%</v>
          </cell>
          <cell r="M216">
            <v>18000</v>
          </cell>
        </row>
        <row r="217">
          <cell r="A217" t="str">
            <v>2050 CITY BUS - FULL</v>
          </cell>
          <cell r="B217" t="str">
            <v>MOTORWAY</v>
          </cell>
          <cell r="C217" t="str">
            <v>2050 Electric 800 kW</v>
          </cell>
          <cell r="D217" t="str">
            <v>Electricity</v>
          </cell>
          <cell r="E217">
            <v>2.7041310118337449</v>
          </cell>
          <cell r="F217">
            <v>2.0889230370521545</v>
          </cell>
          <cell r="G217">
            <v>0.77249328080284063</v>
          </cell>
          <cell r="H217">
            <v>1.331296443939209</v>
          </cell>
          <cell r="I217" t="str">
            <v>km/kWh</v>
          </cell>
          <cell r="J217" t="str">
            <v>Electricity 2050 CITY BUS - FULL 2050 Electric 800 kW MOTORWAY 18000 kg 75.1 kWh /100km 77%</v>
          </cell>
          <cell r="M217">
            <v>18000</v>
          </cell>
        </row>
        <row r="218">
          <cell r="A218" t="str">
            <v>2050 TOURIST BUS - EMPTY</v>
          </cell>
          <cell r="B218" t="str">
            <v>CITY ROUTE</v>
          </cell>
          <cell r="C218" t="str">
            <v>2050 Electric 800 kW</v>
          </cell>
          <cell r="D218" t="str">
            <v>Electricity</v>
          </cell>
          <cell r="E218">
            <v>2.0110297889433477</v>
          </cell>
          <cell r="F218">
            <v>0.76164537668228149</v>
          </cell>
          <cell r="G218">
            <v>0.37873401024182324</v>
          </cell>
          <cell r="H218">
            <v>1.7901276350021362</v>
          </cell>
          <cell r="I218" t="str">
            <v>km/kWh</v>
          </cell>
          <cell r="J218" t="str">
            <v>Electricity 2050 TOURIST BUS - EMPTY 2050 Electric 800 kW CITY ROUTE 11200 kg 55.9 kWh /100km 38%</v>
          </cell>
          <cell r="M218">
            <v>11200</v>
          </cell>
        </row>
        <row r="219">
          <cell r="A219" t="str">
            <v>2050 TOURIST BUS - EMPTY</v>
          </cell>
          <cell r="B219" t="str">
            <v>RURAL ROUTE</v>
          </cell>
          <cell r="C219" t="str">
            <v>2050 Electric 800 kW</v>
          </cell>
          <cell r="D219" t="str">
            <v>Electricity</v>
          </cell>
          <cell r="E219">
            <v>1.8617823698348606</v>
          </cell>
          <cell r="F219">
            <v>1.2492440342903137</v>
          </cell>
          <cell r="G219">
            <v>0.67099358900961192</v>
          </cell>
          <cell r="H219">
            <v>1.9336309432983398</v>
          </cell>
          <cell r="I219" t="str">
            <v>km/kWh</v>
          </cell>
          <cell r="J219" t="str">
            <v>Electricity 2050 TOURIST BUS - EMPTY 2050 Electric 800 kW RURAL ROUTE 11200 kg 51.7 kWh /100km 67%</v>
          </cell>
          <cell r="M219">
            <v>11200</v>
          </cell>
        </row>
        <row r="220">
          <cell r="A220" t="str">
            <v>2050 TOURIST BUS - EMPTY</v>
          </cell>
          <cell r="B220" t="str">
            <v>MOTORWAY</v>
          </cell>
          <cell r="C220" t="str">
            <v>2050 Electric 800 kW</v>
          </cell>
          <cell r="D220" t="str">
            <v>Electricity</v>
          </cell>
          <cell r="E220">
            <v>2.0154925017497662</v>
          </cell>
          <cell r="F220">
            <v>1.5148454010486603</v>
          </cell>
          <cell r="G220">
            <v>0.75160061361356334</v>
          </cell>
          <cell r="H220">
            <v>1.7861639261245728</v>
          </cell>
          <cell r="I220" t="str">
            <v>km/kWh</v>
          </cell>
          <cell r="J220" t="str">
            <v>Electricity 2050 TOURIST BUS - EMPTY 2050 Electric 800 kW MOTORWAY 11200 kg 56.0 kWh /100km 75%</v>
          </cell>
          <cell r="M220">
            <v>11200</v>
          </cell>
        </row>
        <row r="221">
          <cell r="A221" t="str">
            <v>2050 TOURIST BUS - TYPICAL</v>
          </cell>
          <cell r="B221" t="str">
            <v>CITY ROUTE</v>
          </cell>
          <cell r="C221" t="str">
            <v>2050 Electric 800 kW</v>
          </cell>
          <cell r="D221" t="str">
            <v>Electricity</v>
          </cell>
          <cell r="E221">
            <v>2.2410142190434703</v>
          </cell>
          <cell r="F221">
            <v>0.83028307557106018</v>
          </cell>
          <cell r="G221">
            <v>0.37049433623203382</v>
          </cell>
          <cell r="H221">
            <v>1.6064155101776123</v>
          </cell>
          <cell r="I221" t="str">
            <v>km/kWh</v>
          </cell>
          <cell r="J221" t="str">
            <v>Electricity 2050 TOURIST BUS - TYPICAL 2050 Electric 800 kW CITY ROUTE 12950 kg 62.3 kWh /100km 37%</v>
          </cell>
          <cell r="M221">
            <v>12950</v>
          </cell>
        </row>
        <row r="222">
          <cell r="A222" t="str">
            <v>2050 TOURIST BUS - TYPICAL</v>
          </cell>
          <cell r="B222" t="str">
            <v>RURAL ROUTE</v>
          </cell>
          <cell r="C222" t="str">
            <v>2050 Electric 800 kW</v>
          </cell>
          <cell r="D222" t="str">
            <v>Electricity</v>
          </cell>
          <cell r="E222">
            <v>1.9789811274239808</v>
          </cell>
          <cell r="F222">
            <v>1.3179149627685547</v>
          </cell>
          <cell r="G222">
            <v>0.66595630676077788</v>
          </cell>
          <cell r="H222">
            <v>1.8191179037094116</v>
          </cell>
          <cell r="I222" t="str">
            <v>km/kWh</v>
          </cell>
          <cell r="J222" t="str">
            <v>Electricity 2050 TOURIST BUS - TYPICAL 2050 Electric 800 kW RURAL ROUTE 12950 kg 55.0 kWh /100km 67%</v>
          </cell>
          <cell r="M222">
            <v>12950</v>
          </cell>
        </row>
        <row r="223">
          <cell r="A223" t="str">
            <v>2050 TOURIST BUS - TYPICAL</v>
          </cell>
          <cell r="B223" t="str">
            <v>MOTORWAY</v>
          </cell>
          <cell r="C223" t="str">
            <v>2050 Electric 800 kW</v>
          </cell>
          <cell r="D223" t="str">
            <v>Electricity</v>
          </cell>
          <cell r="E223">
            <v>2.0999481392793431</v>
          </cell>
          <cell r="F223">
            <v>1.5835158824920654</v>
          </cell>
          <cell r="G223">
            <v>0.75407380442999605</v>
          </cell>
          <cell r="H223">
            <v>1.7143280506134033</v>
          </cell>
          <cell r="I223" t="str">
            <v>km/kWh</v>
          </cell>
          <cell r="J223" t="str">
            <v>Electricity 2050 TOURIST BUS - TYPICAL 2050 Electric 800 kW MOTORWAY 12950 kg 58.3 kWh /100km 75%</v>
          </cell>
          <cell r="M223">
            <v>12950</v>
          </cell>
        </row>
        <row r="224">
          <cell r="A224" t="str">
            <v>2050 TOURIST BUS - FULL</v>
          </cell>
          <cell r="B224" t="str">
            <v>CITY ROUTE</v>
          </cell>
          <cell r="C224" t="str">
            <v>2050 Electric 800 kW</v>
          </cell>
          <cell r="D224" t="str">
            <v>Electricity</v>
          </cell>
          <cell r="E224">
            <v>2.9617900403042507</v>
          </cell>
          <cell r="F224">
            <v>1.0281851291656494</v>
          </cell>
          <cell r="G224">
            <v>0.34714990433961646</v>
          </cell>
          <cell r="H224">
            <v>1.215481162071228</v>
          </cell>
          <cell r="I224" t="str">
            <v>km/kWh</v>
          </cell>
          <cell r="J224" t="str">
            <v>Electricity 2050 TOURIST BUS - FULL 2050 Electric 800 kW CITY ROUTE 18000 kg 82.3 kWh /100km 35%</v>
          </cell>
          <cell r="M224">
            <v>18000</v>
          </cell>
        </row>
        <row r="225">
          <cell r="A225" t="str">
            <v>2050 TOURIST BUS - FULL</v>
          </cell>
          <cell r="B225" t="str">
            <v>RURAL ROUTE</v>
          </cell>
          <cell r="C225" t="str">
            <v>2050 Electric 800 kW</v>
          </cell>
          <cell r="D225" t="str">
            <v>Electricity</v>
          </cell>
          <cell r="E225">
            <v>2.3283784090104787</v>
          </cell>
          <cell r="F225">
            <v>1.5160781741142273</v>
          </cell>
          <cell r="G225">
            <v>0.65113048989254918</v>
          </cell>
          <cell r="H225">
            <v>1.5461404323577881</v>
          </cell>
          <cell r="I225" t="str">
            <v>km/kWh</v>
          </cell>
          <cell r="J225" t="str">
            <v>Electricity 2050 TOURIST BUS - FULL 2050 Electric 800 kW RURAL ROUTE 18000 kg 64.7 kWh /100km 65%</v>
          </cell>
          <cell r="M225">
            <v>18000</v>
          </cell>
        </row>
        <row r="226">
          <cell r="A226" t="str">
            <v>2050 TOURIST BUS - FULL</v>
          </cell>
          <cell r="B226" t="str">
            <v>MOTORWAY</v>
          </cell>
          <cell r="C226" t="str">
            <v>2050 Electric 800 kW</v>
          </cell>
          <cell r="D226" t="str">
            <v>Electricity</v>
          </cell>
          <cell r="E226">
            <v>2.3499518204838155</v>
          </cell>
          <cell r="F226">
            <v>1.7816804051399231</v>
          </cell>
          <cell r="G226">
            <v>0.75817741862175925</v>
          </cell>
          <cell r="H226">
            <v>1.5319463014602661</v>
          </cell>
          <cell r="I226" t="str">
            <v>km/kWh</v>
          </cell>
          <cell r="J226" t="str">
            <v>Electricity 2050 TOURIST BUS - FULL 2050 Electric 800 kW MOTORWAY 18000 kg 65.3 kWh /100km 76%</v>
          </cell>
          <cell r="M226">
            <v>18000</v>
          </cell>
        </row>
        <row r="227">
          <cell r="A227" t="str">
            <v>2050 RIGID TRUCK - EMPTY</v>
          </cell>
          <cell r="B227" t="str">
            <v>URBAN DELIVERY</v>
          </cell>
          <cell r="C227" t="str">
            <v>2050 Fuel Cell 800 kW</v>
          </cell>
          <cell r="D227" t="str">
            <v>Hydrogen</v>
          </cell>
          <cell r="E227">
            <v>2.8401468467215527</v>
          </cell>
          <cell r="F227">
            <v>0.83436691761016846</v>
          </cell>
          <cell r="G227">
            <v>0.29377597801793154</v>
          </cell>
          <cell r="H227">
            <v>41.828823089599609</v>
          </cell>
          <cell r="I227" t="str">
            <v>km/kg</v>
          </cell>
          <cell r="J227" t="str">
            <v>Hydrogen 2050 RIGID TRUCK - EMPTY 2050 Fuel Cell 800 kW URBAN DELIVERY 8254.68 kg 2.4 kg /100km 29%</v>
          </cell>
          <cell r="M227">
            <v>8254.68</v>
          </cell>
        </row>
        <row r="228">
          <cell r="A228" t="str">
            <v>2050 RIGID TRUCK - EMPTY</v>
          </cell>
          <cell r="B228" t="str">
            <v>REGIONAL DELIVERY</v>
          </cell>
          <cell r="C228" t="str">
            <v>2050 Fuel Cell 800 kW</v>
          </cell>
          <cell r="D228" t="str">
            <v>Hydrogen</v>
          </cell>
          <cell r="E228">
            <v>3.4006184350784028</v>
          </cell>
          <cell r="F228">
            <v>1.3650358617305756</v>
          </cell>
          <cell r="G228">
            <v>0.40140812260788206</v>
          </cell>
          <cell r="H228">
            <v>34.934822082519531</v>
          </cell>
          <cell r="I228" t="str">
            <v>km/kg</v>
          </cell>
          <cell r="J228" t="str">
            <v>Hydrogen 2050 RIGID TRUCK - EMPTY 2050 Fuel Cell 800 kW REGIONAL DELIVERY 8254.68 kg 2.9 kg /100km 40%</v>
          </cell>
          <cell r="M228">
            <v>8254.68</v>
          </cell>
        </row>
        <row r="229">
          <cell r="A229" t="str">
            <v>2050 RIGID TRUCK - EMPTY</v>
          </cell>
          <cell r="B229" t="str">
            <v>LONG HAUL</v>
          </cell>
          <cell r="C229" t="str">
            <v>2050 Fuel Cell 800 kW</v>
          </cell>
          <cell r="D229" t="str">
            <v>Hydrogen</v>
          </cell>
          <cell r="E229">
            <v>3.7959223344282536</v>
          </cell>
          <cell r="F229">
            <v>1.7065185010433197</v>
          </cell>
          <cell r="G229">
            <v>0.44956623204999202</v>
          </cell>
          <cell r="H229">
            <v>31.296741485595703</v>
          </cell>
          <cell r="I229" t="str">
            <v>km/kg</v>
          </cell>
          <cell r="J229" t="str">
            <v>Hydrogen 2050 RIGID TRUCK - EMPTY 2050 Fuel Cell 800 kW LONG HAUL 8254.68 kg 3.2 kg /100km 45%</v>
          </cell>
          <cell r="M229">
            <v>8254.68</v>
          </cell>
        </row>
        <row r="230">
          <cell r="A230" t="str">
            <v>2050 RIGID TRUCK - TYPICAL</v>
          </cell>
          <cell r="B230" t="str">
            <v>URBAN DELIVERY</v>
          </cell>
          <cell r="C230" t="str">
            <v>2050 Fuel Cell 800 kW</v>
          </cell>
          <cell r="D230" t="str">
            <v>Hydrogen</v>
          </cell>
          <cell r="E230">
            <v>4.999570112875471</v>
          </cell>
          <cell r="F230">
            <v>1.2720785140991211</v>
          </cell>
          <cell r="G230">
            <v>0.25443757870764078</v>
          </cell>
          <cell r="H230">
            <v>23.762042999267578</v>
          </cell>
          <cell r="I230" t="str">
            <v>km/kg</v>
          </cell>
          <cell r="J230" t="str">
            <v>Hydrogen 2050 RIGID TRUCK - TYPICAL 2050 Fuel Cell 800 kW URBAN DELIVERY 19410.7858 kg 4.2 kg /100km 25%</v>
          </cell>
          <cell r="M230">
            <v>19410.785799999998</v>
          </cell>
        </row>
        <row r="231">
          <cell r="A231" t="str">
            <v>2050 RIGID TRUCK - TYPICAL</v>
          </cell>
          <cell r="B231" t="str">
            <v>REGIONAL DELIVERY</v>
          </cell>
          <cell r="C231" t="str">
            <v>2050 Fuel Cell 800 kW</v>
          </cell>
          <cell r="D231" t="str">
            <v>Hydrogen</v>
          </cell>
          <cell r="E231">
            <v>4.9069729208746127</v>
          </cell>
          <cell r="F231">
            <v>1.802804708480835</v>
          </cell>
          <cell r="G231">
            <v>0.36739650647175476</v>
          </cell>
          <cell r="H231">
            <v>24.210445404052734</v>
          </cell>
          <cell r="I231" t="str">
            <v>km/kg</v>
          </cell>
          <cell r="J231" t="str">
            <v>Hydrogen 2050 RIGID TRUCK - TYPICAL 2050 Fuel Cell 800 kW REGIONAL DELIVERY 19410.7858 kg 4.1 kg /100km 37%</v>
          </cell>
          <cell r="M231">
            <v>19410.785799999998</v>
          </cell>
        </row>
        <row r="232">
          <cell r="A232" t="str">
            <v>2050 RIGID TRUCK - TYPICAL</v>
          </cell>
          <cell r="B232" t="str">
            <v>LONG HAUL</v>
          </cell>
          <cell r="C232" t="str">
            <v>2050 Fuel Cell 800 kW</v>
          </cell>
          <cell r="D232" t="str">
            <v>Hydrogen</v>
          </cell>
          <cell r="E232">
            <v>4.7664420225895023</v>
          </cell>
          <cell r="F232">
            <v>2.1442912817001343</v>
          </cell>
          <cell r="G232">
            <v>0.44987251948890555</v>
          </cell>
          <cell r="H232">
            <v>24.924251556396484</v>
          </cell>
          <cell r="I232" t="str">
            <v>km/kg</v>
          </cell>
          <cell r="J232" t="str">
            <v>Hydrogen 2050 RIGID TRUCK - TYPICAL 2050 Fuel Cell 800 kW LONG HAUL 19410.7858 kg 4.0 kg /100km 45%</v>
          </cell>
          <cell r="M232">
            <v>19410.785799999998</v>
          </cell>
        </row>
        <row r="233">
          <cell r="A233" t="str">
            <v>2050 RIGID TRUCK - FULL</v>
          </cell>
          <cell r="B233" t="str">
            <v>URBAN DELIVERY</v>
          </cell>
          <cell r="C233" t="str">
            <v>2050 Fuel Cell 800 kW</v>
          </cell>
          <cell r="D233" t="str">
            <v>Hydrogen</v>
          </cell>
          <cell r="E233">
            <v>6.6538182364363596</v>
          </cell>
          <cell r="F233">
            <v>1.6090804934501648</v>
          </cell>
          <cell r="G233">
            <v>0.24182814081677609</v>
          </cell>
          <cell r="H233">
            <v>17.854410171508789</v>
          </cell>
          <cell r="I233" t="str">
            <v>km/kg</v>
          </cell>
          <cell r="J233" t="str">
            <v>Hydrogen 2050 RIGID TRUCK - FULL 2050 Fuel Cell 800 kW URBAN DELIVERY 28000 kg 5.6 kg /100km 24%</v>
          </cell>
          <cell r="M233">
            <v>28000</v>
          </cell>
        </row>
        <row r="234">
          <cell r="A234" t="str">
            <v>2050 RIGID TRUCK - FULL</v>
          </cell>
          <cell r="B234" t="str">
            <v>REGIONAL DELIVERY</v>
          </cell>
          <cell r="C234" t="str">
            <v>2050 Fuel Cell 800 kW</v>
          </cell>
          <cell r="D234" t="str">
            <v>Hydrogen</v>
          </cell>
          <cell r="E234">
            <v>6.1448237467913396</v>
          </cell>
          <cell r="F234">
            <v>2.1398395299911499</v>
          </cell>
          <cell r="G234">
            <v>0.34823448452992911</v>
          </cell>
          <cell r="H234">
            <v>19.333345413208008</v>
          </cell>
          <cell r="I234" t="str">
            <v>km/kg</v>
          </cell>
          <cell r="J234" t="str">
            <v>Hydrogen 2050 RIGID TRUCK - FULL 2050 Fuel Cell 800 kW REGIONAL DELIVERY 28000 kg 5.2 kg /100km 35%</v>
          </cell>
          <cell r="M234">
            <v>28000</v>
          </cell>
        </row>
        <row r="235">
          <cell r="A235" t="str">
            <v>2050 RIGID TRUCK - FULL</v>
          </cell>
          <cell r="B235" t="str">
            <v>LONG HAUL</v>
          </cell>
          <cell r="C235" t="str">
            <v>2050 Fuel Cell 800 kW</v>
          </cell>
          <cell r="D235" t="str">
            <v>Hydrogen</v>
          </cell>
          <cell r="E235">
            <v>5.5946034913470823</v>
          </cell>
          <cell r="F235">
            <v>2.4813201427459717</v>
          </cell>
          <cell r="G235">
            <v>0.44352028639450791</v>
          </cell>
          <cell r="H235">
            <v>21.234748840332031</v>
          </cell>
          <cell r="I235" t="str">
            <v>km/kg</v>
          </cell>
          <cell r="J235" t="str">
            <v>Hydrogen 2050 RIGID TRUCK - FULL 2050 Fuel Cell 800 kW LONG HAUL 28000 kg 4.7 kg /100km 44%</v>
          </cell>
          <cell r="M235">
            <v>28000</v>
          </cell>
        </row>
        <row r="236">
          <cell r="A236" t="str">
            <v>2050 TRUCK WITH TRAILER - EMPTY</v>
          </cell>
          <cell r="B236" t="str">
            <v>URBAN DELIVERY</v>
          </cell>
          <cell r="C236" t="str">
            <v>2050 Fuel Cell 800 kW</v>
          </cell>
          <cell r="D236" t="str">
            <v>Hydrogen</v>
          </cell>
          <cell r="E236">
            <v>3.8359271463835736</v>
          </cell>
          <cell r="F236">
            <v>1.1058873236179352</v>
          </cell>
          <cell r="G236">
            <v>0.28829726984271353</v>
          </cell>
          <cell r="H236">
            <v>30.970348358154297</v>
          </cell>
          <cell r="I236" t="str">
            <v>km/kg</v>
          </cell>
          <cell r="J236" t="str">
            <v>Hydrogen 2050 TRUCK WITH TRAILER - EMPTY 2050 Fuel Cell 800 kW URBAN DELIVERY 12283.94102271 kg 3.2 kg /100km 29%</v>
          </cell>
          <cell r="M236">
            <v>12283.94102271</v>
          </cell>
        </row>
        <row r="237">
          <cell r="A237" t="str">
            <v>2050 TRUCK WITH TRAILER - EMPTY</v>
          </cell>
          <cell r="B237" t="str">
            <v>REGIONAL DELIVERY</v>
          </cell>
          <cell r="C237" t="str">
            <v>2050 Fuel Cell 800 kW</v>
          </cell>
          <cell r="D237" t="str">
            <v>Hydrogen</v>
          </cell>
          <cell r="E237">
            <v>4.3706701041417411</v>
          </cell>
          <cell r="F237">
            <v>1.7544949054718018</v>
          </cell>
          <cell r="G237">
            <v>0.40142469316300139</v>
          </cell>
          <cell r="H237">
            <v>27.181186676025391</v>
          </cell>
          <cell r="I237" t="str">
            <v>km/kg</v>
          </cell>
          <cell r="J237" t="str">
            <v>Hydrogen 2050 TRUCK WITH TRAILER - EMPTY 2050 Fuel Cell 800 kW REGIONAL DELIVERY 12283.94102271 kg 3.7 kg /100km 40%</v>
          </cell>
          <cell r="M237">
            <v>12283.94102271</v>
          </cell>
        </row>
        <row r="238">
          <cell r="A238" t="str">
            <v>2050 TRUCK WITH TRAILER - EMPTY</v>
          </cell>
          <cell r="B238" t="str">
            <v>LONG HAUL</v>
          </cell>
          <cell r="C238" t="str">
            <v>2050 Fuel Cell 800 kW</v>
          </cell>
          <cell r="D238" t="str">
            <v>Hydrogen</v>
          </cell>
          <cell r="E238">
            <v>4.7206937816177712</v>
          </cell>
          <cell r="F238">
            <v>2.17186439037323</v>
          </cell>
          <cell r="G238">
            <v>0.46007313561205765</v>
          </cell>
          <cell r="H238">
            <v>25.165792465209961</v>
          </cell>
          <cell r="I238" t="str">
            <v>km/kg</v>
          </cell>
          <cell r="J238" t="str">
            <v>Hydrogen 2050 TRUCK WITH TRAILER - EMPTY 2050 Fuel Cell 800 kW LONG HAUL 12283.94102271 kg 4.0 kg /100km 46%</v>
          </cell>
          <cell r="M238">
            <v>12283.94102271</v>
          </cell>
        </row>
        <row r="239">
          <cell r="A239" t="str">
            <v>2050 TRUCK WITH TRAILER - TYPICAL</v>
          </cell>
          <cell r="B239" t="str">
            <v>URBAN DELIVERY</v>
          </cell>
          <cell r="C239" t="str">
            <v>2050 Fuel Cell 800 kW</v>
          </cell>
          <cell r="D239" t="str">
            <v>Hydrogen</v>
          </cell>
          <cell r="E239">
            <v>9.2611712311291043</v>
          </cell>
          <cell r="F239">
            <v>2.2076535820960999</v>
          </cell>
          <cell r="G239">
            <v>0.23837736361850498</v>
          </cell>
          <cell r="H239">
            <v>12.827751159667969</v>
          </cell>
          <cell r="I239" t="str">
            <v>km/kg</v>
          </cell>
          <cell r="J239" t="str">
            <v>Hydrogen 2050 TRUCK WITH TRAILER - TYPICAL 2050 Fuel Cell 800 kW URBAN DELIVERY 40373.5143448788 kg 7.8 kg /100km 24%</v>
          </cell>
          <cell r="M239">
            <v>40373.514344878844</v>
          </cell>
        </row>
        <row r="240">
          <cell r="A240" t="str">
            <v>2050 TRUCK WITH TRAILER - TYPICAL</v>
          </cell>
          <cell r="B240" t="str">
            <v>REGIONAL DELIVERY</v>
          </cell>
          <cell r="C240" t="str">
            <v>2050 Fuel Cell 800 kW</v>
          </cell>
          <cell r="D240" t="str">
            <v>Hydrogen</v>
          </cell>
          <cell r="E240">
            <v>8.3197346037680138</v>
          </cell>
          <cell r="F240">
            <v>2.8565455675125122</v>
          </cell>
          <cell r="G240">
            <v>0.34334575603154222</v>
          </cell>
          <cell r="H240">
            <v>14.279301643371582</v>
          </cell>
          <cell r="I240" t="str">
            <v>km/kg</v>
          </cell>
          <cell r="J240" t="str">
            <v>Hydrogen 2050 TRUCK WITH TRAILER - TYPICAL 2050 Fuel Cell 800 kW REGIONAL DELIVERY 40373.5143448788 kg 7.0 kg /100km 34%</v>
          </cell>
          <cell r="M240">
            <v>40373.514344878844</v>
          </cell>
        </row>
        <row r="241">
          <cell r="A241" t="str">
            <v>2050 TRUCK WITH TRAILER - TYPICAL</v>
          </cell>
          <cell r="B241" t="str">
            <v>LONG HAUL</v>
          </cell>
          <cell r="C241" t="str">
            <v>2050 Fuel Cell 800 kW</v>
          </cell>
          <cell r="D241" t="str">
            <v>Hydrogen</v>
          </cell>
          <cell r="E241">
            <v>7.3764812553234425</v>
          </cell>
          <cell r="F241">
            <v>3.2741285562515259</v>
          </cell>
          <cell r="G241">
            <v>0.44386048617539159</v>
          </cell>
          <cell r="H241">
            <v>16.105239868164063</v>
          </cell>
          <cell r="I241" t="str">
            <v>km/kg</v>
          </cell>
          <cell r="J241" t="str">
            <v>Hydrogen 2050 TRUCK WITH TRAILER - TYPICAL 2050 Fuel Cell 800 kW LONG HAUL 40373.5143448788 kg 6.2 kg /100km 44%</v>
          </cell>
          <cell r="M241">
            <v>40373.514344878844</v>
          </cell>
        </row>
        <row r="242">
          <cell r="A242" t="str">
            <v>2050 TRUCK WITH TRAILER - FULL</v>
          </cell>
          <cell r="B242" t="str">
            <v>URBAN DELIVERY</v>
          </cell>
          <cell r="C242" t="str">
            <v>2050 Fuel Cell 800 kW</v>
          </cell>
          <cell r="D242" t="str">
            <v>Hydrogen</v>
          </cell>
          <cell r="E242">
            <v>13.601177181313721</v>
          </cell>
          <cell r="F242">
            <v>3.0488393306732178</v>
          </cell>
          <cell r="G242">
            <v>0.22415995983508938</v>
          </cell>
          <cell r="H242">
            <v>8.7345380783081055</v>
          </cell>
          <cell r="I242" t="str">
            <v>km/kg</v>
          </cell>
          <cell r="J242" t="str">
            <v>Hydrogen 2050 TRUCK WITH TRAILER - FULL 2050 Fuel Cell 800 kW URBAN DELIVERY 62000 kg 11.4 kg /100km 22%</v>
          </cell>
          <cell r="M242">
            <v>62000</v>
          </cell>
        </row>
        <row r="243">
          <cell r="A243" t="str">
            <v>2050 TRUCK WITH TRAILER - FULL</v>
          </cell>
          <cell r="B243" t="str">
            <v>REGIONAL DELIVERY</v>
          </cell>
          <cell r="C243" t="str">
            <v>2050 Fuel Cell 800 kW</v>
          </cell>
          <cell r="D243" t="str">
            <v>Hydrogen</v>
          </cell>
          <cell r="E243">
            <v>11.507108901770755</v>
          </cell>
          <cell r="F243">
            <v>3.7035121917724609</v>
          </cell>
          <cell r="G243">
            <v>0.3218455846196564</v>
          </cell>
          <cell r="H243">
            <v>10.324052810668945</v>
          </cell>
          <cell r="I243" t="str">
            <v>km/kg</v>
          </cell>
          <cell r="J243" t="str">
            <v>Hydrogen 2050 TRUCK WITH TRAILER - FULL 2050 Fuel Cell 800 kW REGIONAL DELIVERY 62000 kg 9.7 kg /100km 32%</v>
          </cell>
          <cell r="M243">
            <v>62000</v>
          </cell>
        </row>
        <row r="244">
          <cell r="A244" t="str">
            <v>2050 TRUCK WITH TRAILER - FULL</v>
          </cell>
          <cell r="B244" t="str">
            <v>LONG HAUL</v>
          </cell>
          <cell r="C244" t="str">
            <v>2050 Fuel Cell 800 kW</v>
          </cell>
          <cell r="D244" t="str">
            <v>Hydrogen</v>
          </cell>
          <cell r="E244">
            <v>9.5903875346886096</v>
          </cell>
          <cell r="F244">
            <v>4.1227357387542725</v>
          </cell>
          <cell r="G244">
            <v>0.42988207972224907</v>
          </cell>
          <cell r="H244">
            <v>12.38740348815918</v>
          </cell>
          <cell r="I244" t="str">
            <v>km/kg</v>
          </cell>
          <cell r="J244" t="str">
            <v>Hydrogen 2050 TRUCK WITH TRAILER - FULL 2050 Fuel Cell 800 kW LONG HAUL 62000 kg 8.1 kg /100km 43%</v>
          </cell>
          <cell r="M244">
            <v>62000</v>
          </cell>
        </row>
        <row r="245">
          <cell r="A245" t="str">
            <v>2050 SEMI TRUCK - EMPTY</v>
          </cell>
          <cell r="B245" t="str">
            <v>URBAN DELIVERY</v>
          </cell>
          <cell r="C245" t="str">
            <v>2050 Fuel Cell 800 kW</v>
          </cell>
          <cell r="D245" t="str">
            <v>Hydrogen</v>
          </cell>
          <cell r="E245">
            <v>3.2972698564891174</v>
          </cell>
          <cell r="F245">
            <v>0.85845762491226196</v>
          </cell>
          <cell r="G245">
            <v>0.26035406935916811</v>
          </cell>
          <cell r="H245">
            <v>36.029808044433594</v>
          </cell>
          <cell r="I245" t="str">
            <v>km/kg</v>
          </cell>
          <cell r="J245" t="str">
            <v>Hydrogen 2050 SEMI TRUCK - EMPTY 2050 Fuel Cell 800 kW URBAN DELIVERY 11760 kg 2.8 kg /100km 26%</v>
          </cell>
          <cell r="M245">
            <v>11760</v>
          </cell>
        </row>
        <row r="246">
          <cell r="A246" t="str">
            <v>2050 SEMI TRUCK - EMPTY</v>
          </cell>
          <cell r="B246" t="str">
            <v>REGIONAL DELIVERY</v>
          </cell>
          <cell r="C246" t="str">
            <v>2050 Fuel Cell 800 kW</v>
          </cell>
          <cell r="D246" t="str">
            <v>Hydrogen</v>
          </cell>
          <cell r="E246">
            <v>3.4233977137780442</v>
          </cell>
          <cell r="F246">
            <v>1.2712196409702301</v>
          </cell>
          <cell r="G246">
            <v>0.37133273643725101</v>
          </cell>
          <cell r="H246">
            <v>34.702365875244141</v>
          </cell>
          <cell r="I246" t="str">
            <v>km/kg</v>
          </cell>
          <cell r="J246" t="str">
            <v>Hydrogen 2050 SEMI TRUCK - EMPTY 2050 Fuel Cell 800 kW REGIONAL DELIVERY 11760 kg 2.9 kg /100km 37%</v>
          </cell>
          <cell r="M246">
            <v>11760</v>
          </cell>
        </row>
        <row r="247">
          <cell r="A247" t="str">
            <v>2050 SEMI TRUCK - EMPTY</v>
          </cell>
          <cell r="B247" t="str">
            <v>LONG HAUL</v>
          </cell>
          <cell r="C247" t="str">
            <v>2050 Fuel Cell 800 kW</v>
          </cell>
          <cell r="D247" t="str">
            <v>Hydrogen</v>
          </cell>
          <cell r="E247">
            <v>3.4833668814071492</v>
          </cell>
          <cell r="F247">
            <v>1.5368199050426483</v>
          </cell>
          <cell r="G247">
            <v>0.44118806814337941</v>
          </cell>
          <cell r="H247">
            <v>34.104934692382813</v>
          </cell>
          <cell r="I247" t="str">
            <v>km/kg</v>
          </cell>
          <cell r="J247" t="str">
            <v>Hydrogen 2050 SEMI TRUCK - EMPTY 2050 Fuel Cell 800 kW LONG HAUL 11760 kg 2.9 kg /100km 44%</v>
          </cell>
          <cell r="M247">
            <v>11760</v>
          </cell>
        </row>
        <row r="248">
          <cell r="A248" t="str">
            <v>2050 SEMI TRUCK - TYPICAL</v>
          </cell>
          <cell r="B248" t="str">
            <v>URBAN DELIVERY</v>
          </cell>
          <cell r="C248" t="str">
            <v>2050 Fuel Cell 800 kW</v>
          </cell>
          <cell r="D248" t="str">
            <v>Hydrogen</v>
          </cell>
          <cell r="E248">
            <v>8.8103876587213623</v>
          </cell>
          <cell r="F248">
            <v>1.9720191657543182</v>
          </cell>
          <cell r="G248">
            <v>0.22382887588405098</v>
          </cell>
          <cell r="H248">
            <v>13.48408317565918</v>
          </cell>
          <cell r="I248" t="str">
            <v>km/kg</v>
          </cell>
          <cell r="J248" t="str">
            <v>Hydrogen 2050 SEMI TRUCK - TYPICAL 2050 Fuel Cell 800 kW URBAN DELIVERY 40145.6 kg 7.4 kg /100km 22%</v>
          </cell>
          <cell r="M248">
            <v>40145.599999999999</v>
          </cell>
        </row>
        <row r="249">
          <cell r="A249" t="str">
            <v>2050 SEMI TRUCK - TYPICAL</v>
          </cell>
          <cell r="B249" t="str">
            <v>REGIONAL DELIVERY</v>
          </cell>
          <cell r="C249" t="str">
            <v>2050 Fuel Cell 800 kW</v>
          </cell>
          <cell r="D249" t="str">
            <v>Hydrogen</v>
          </cell>
          <cell r="E249">
            <v>7.487393097843956</v>
          </cell>
          <cell r="F249">
            <v>2.3849749565124512</v>
          </cell>
          <cell r="G249">
            <v>0.31853208791711768</v>
          </cell>
          <cell r="H249">
            <v>15.866670608520508</v>
          </cell>
          <cell r="I249" t="str">
            <v>km/kg</v>
          </cell>
          <cell r="J249" t="str">
            <v>Hydrogen 2050 SEMI TRUCK - TYPICAL 2050 Fuel Cell 800 kW REGIONAL DELIVERY 40145.6 kg 6.3 kg /100km 32%</v>
          </cell>
          <cell r="M249">
            <v>40145.599999999999</v>
          </cell>
        </row>
        <row r="250">
          <cell r="A250" t="str">
            <v>2050 SEMI TRUCK - TYPICAL</v>
          </cell>
          <cell r="B250" t="str">
            <v>LONG HAUL</v>
          </cell>
          <cell r="C250" t="str">
            <v>2050 Fuel Cell 800 kW</v>
          </cell>
          <cell r="D250" t="str">
            <v>Hydrogen</v>
          </cell>
          <cell r="E250">
            <v>6.283205326339151</v>
          </cell>
          <cell r="F250">
            <v>2.6506916284561157</v>
          </cell>
          <cell r="G250">
            <v>0.42186933114288588</v>
          </cell>
          <cell r="H250">
            <v>18.907546997070313</v>
          </cell>
          <cell r="I250" t="str">
            <v>km/kg</v>
          </cell>
          <cell r="J250" t="str">
            <v>Hydrogen 2050 SEMI TRUCK - TYPICAL 2050 Fuel Cell 800 kW LONG HAUL 40145.6 kg 5.3 kg /100km 42%</v>
          </cell>
          <cell r="M250">
            <v>40145.599999999999</v>
          </cell>
        </row>
        <row r="251">
          <cell r="A251" t="str">
            <v>2050 SEMI TRUCK - FULL</v>
          </cell>
          <cell r="B251" t="str">
            <v>URBAN DELIVERY</v>
          </cell>
          <cell r="C251" t="str">
            <v>2050 Fuel Cell 800 kW</v>
          </cell>
          <cell r="D251" t="str">
            <v>Hydrogen</v>
          </cell>
          <cell r="E251">
            <v>13.211688273259634</v>
          </cell>
          <cell r="F251">
            <v>2.8249415159225464</v>
          </cell>
          <cell r="G251">
            <v>0.2138213873574514</v>
          </cell>
          <cell r="H251">
            <v>8.9920377731323242</v>
          </cell>
          <cell r="I251" t="str">
            <v>km/kg</v>
          </cell>
          <cell r="J251" t="str">
            <v>Hydrogen 2050 SEMI TRUCK - FULL 2050 Fuel Cell 800 kW URBAN DELIVERY 62000 kg 11.1 kg /100km 21%</v>
          </cell>
          <cell r="M251">
            <v>62000</v>
          </cell>
        </row>
        <row r="252">
          <cell r="A252" t="str">
            <v>2050 SEMI TRUCK - FULL</v>
          </cell>
          <cell r="B252" t="str">
            <v>REGIONAL DELIVERY</v>
          </cell>
          <cell r="C252" t="str">
            <v>2050 Fuel Cell 800 kW</v>
          </cell>
          <cell r="D252" t="str">
            <v>Hydrogen</v>
          </cell>
          <cell r="E252">
            <v>10.716048606165941</v>
          </cell>
          <cell r="F252">
            <v>3.2415179014205933</v>
          </cell>
          <cell r="G252">
            <v>0.3024918998179465</v>
          </cell>
          <cell r="H252">
            <v>11.086175918579102</v>
          </cell>
          <cell r="I252" t="str">
            <v>km/kg</v>
          </cell>
          <cell r="J252" t="str">
            <v>Hydrogen 2050 SEMI TRUCK - FULL 2050 Fuel Cell 800 kW REGIONAL DELIVERY 62000 kg 9.0 kg /100km 30%</v>
          </cell>
          <cell r="M252">
            <v>62000</v>
          </cell>
        </row>
        <row r="253">
          <cell r="A253" t="str">
            <v>2050 SEMI TRUCK - FULL</v>
          </cell>
          <cell r="B253" t="str">
            <v>LONG HAUL</v>
          </cell>
          <cell r="C253" t="str">
            <v>2050 Fuel Cell 800 kW</v>
          </cell>
          <cell r="D253" t="str">
            <v>Hydrogen</v>
          </cell>
          <cell r="E253">
            <v>8.5213184978418433</v>
          </cell>
          <cell r="F253">
            <v>3.5082435607910156</v>
          </cell>
          <cell r="G253">
            <v>0.41170196392489411</v>
          </cell>
          <cell r="H253">
            <v>13.94150447845459</v>
          </cell>
          <cell r="I253" t="str">
            <v>km/kg</v>
          </cell>
          <cell r="J253" t="str">
            <v>Hydrogen 2050 SEMI TRUCK - FULL 2050 Fuel Cell 800 kW LONG HAUL 62000 kg 7.2 kg /100km 41%</v>
          </cell>
          <cell r="M253">
            <v>62000</v>
          </cell>
        </row>
        <row r="254">
          <cell r="A254" t="str">
            <v>2050 CITY BUS - EMPTY</v>
          </cell>
          <cell r="B254" t="str">
            <v>CITY ROUTE</v>
          </cell>
          <cell r="C254" t="str">
            <v>2050 Fuel Cell 800 kW</v>
          </cell>
          <cell r="D254" t="str">
            <v>Hydrogen</v>
          </cell>
          <cell r="E254">
            <v>4.4728319117575772</v>
          </cell>
          <cell r="F254">
            <v>0.82806998491287231</v>
          </cell>
          <cell r="G254">
            <v>0.18513326707765468</v>
          </cell>
          <cell r="H254">
            <v>26.560354232788086</v>
          </cell>
          <cell r="I254" t="str">
            <v>km/kg</v>
          </cell>
          <cell r="J254" t="str">
            <v>Hydrogen 2050 CITY BUS - EMPTY 2050 Fuel Cell 800 kW CITY ROUTE 10542 kg 3.8 kg /100km 19%</v>
          </cell>
          <cell r="M254">
            <v>10542</v>
          </cell>
        </row>
        <row r="255">
          <cell r="A255" t="str">
            <v>2050 CITY BUS - EMPTY</v>
          </cell>
          <cell r="B255" t="str">
            <v>RURAL ROUTE</v>
          </cell>
          <cell r="C255" t="str">
            <v>2050 Fuel Cell 800 kW</v>
          </cell>
          <cell r="D255" t="str">
            <v>Hydrogen</v>
          </cell>
          <cell r="E255">
            <v>3.7035530445042997</v>
          </cell>
          <cell r="F255">
            <v>1.4547807574272156</v>
          </cell>
          <cell r="G255">
            <v>0.39280678309332279</v>
          </cell>
          <cell r="H255">
            <v>32.077304840087891</v>
          </cell>
          <cell r="I255" t="str">
            <v>km/kg</v>
          </cell>
          <cell r="J255" t="str">
            <v>Hydrogen 2050 CITY BUS - EMPTY 2050 Fuel Cell 800 kW RURAL ROUTE 10542 kg 3.1 kg /100km 39%</v>
          </cell>
          <cell r="M255">
            <v>10542</v>
          </cell>
        </row>
        <row r="256">
          <cell r="A256" t="str">
            <v>2050 CITY BUS - EMPTY</v>
          </cell>
          <cell r="B256" t="str">
            <v>MOTORWAY</v>
          </cell>
          <cell r="C256" t="str">
            <v>2050 Fuel Cell 800 kW</v>
          </cell>
          <cell r="D256" t="str">
            <v>Hydrogen</v>
          </cell>
          <cell r="E256">
            <v>3.9777910898583317</v>
          </cell>
          <cell r="F256">
            <v>1.7962645888328552</v>
          </cell>
          <cell r="G256">
            <v>0.45157338539285352</v>
          </cell>
          <cell r="H256">
            <v>29.865821838378906</v>
          </cell>
          <cell r="I256" t="str">
            <v>km/kg</v>
          </cell>
          <cell r="J256" t="str">
            <v>Hydrogen 2050 CITY BUS - EMPTY 2050 Fuel Cell 800 kW MOTORWAY 10542 kg 3.3 kg /100km 45%</v>
          </cell>
          <cell r="M256">
            <v>10542</v>
          </cell>
        </row>
        <row r="257">
          <cell r="A257" t="str">
            <v>2050 CITY BUS - TYPICAL</v>
          </cell>
          <cell r="B257" t="str">
            <v>CITY ROUTE</v>
          </cell>
          <cell r="C257" t="str">
            <v>2050 Fuel Cell 800 kW</v>
          </cell>
          <cell r="D257" t="str">
            <v>Hydrogen</v>
          </cell>
          <cell r="E257">
            <v>4.7375601860479266</v>
          </cell>
          <cell r="F257">
            <v>0.86101850867271423</v>
          </cell>
          <cell r="G257">
            <v>0.18174302275006579</v>
          </cell>
          <cell r="H257">
            <v>25.076198577880859</v>
          </cell>
          <cell r="I257" t="str">
            <v>km/kg</v>
          </cell>
          <cell r="J257" t="str">
            <v>Hydrogen 2050 CITY BUS - TYPICAL 2050 Fuel Cell 800 kW CITY ROUTE 11382 kg 4.0 kg /100km 18%</v>
          </cell>
          <cell r="M257">
            <v>11382</v>
          </cell>
        </row>
        <row r="258">
          <cell r="A258" t="str">
            <v>2050 CITY BUS - TYPICAL</v>
          </cell>
          <cell r="B258" t="str">
            <v>RURAL ROUTE</v>
          </cell>
          <cell r="C258" t="str">
            <v>2050 Fuel Cell 800 kW</v>
          </cell>
          <cell r="D258" t="str">
            <v>Hydrogen</v>
          </cell>
          <cell r="E258">
            <v>3.8121938223101677</v>
          </cell>
          <cell r="F258">
            <v>1.4877432882785797</v>
          </cell>
          <cell r="G258">
            <v>0.39025908902423428</v>
          </cell>
          <cell r="H258">
            <v>31.163158416748047</v>
          </cell>
          <cell r="I258" t="str">
            <v>km/kg</v>
          </cell>
          <cell r="J258" t="str">
            <v>Hydrogen 2050 CITY BUS - TYPICAL 2050 Fuel Cell 800 kW RURAL ROUTE 11382 kg 3.2 kg /100km 39%</v>
          </cell>
          <cell r="M258">
            <v>11382</v>
          </cell>
        </row>
        <row r="259">
          <cell r="A259" t="str">
            <v>2050 CITY BUS - TYPICAL</v>
          </cell>
          <cell r="B259" t="str">
            <v>MOTORWAY</v>
          </cell>
          <cell r="C259" t="str">
            <v>2050 Fuel Cell 800 kW</v>
          </cell>
          <cell r="D259" t="str">
            <v>Hydrogen</v>
          </cell>
          <cell r="E259">
            <v>4.0469350640338666</v>
          </cell>
          <cell r="F259">
            <v>1.8292281925678253</v>
          </cell>
          <cell r="G259">
            <v>0.45200334663746844</v>
          </cell>
          <cell r="H259">
            <v>29.355548858642578</v>
          </cell>
          <cell r="I259" t="str">
            <v>km/kg</v>
          </cell>
          <cell r="J259" t="str">
            <v>Hydrogen 2050 CITY BUS - TYPICAL 2050 Fuel Cell 800 kW MOTORWAY 11382 kg 3.4 kg /100km 45%</v>
          </cell>
          <cell r="M259">
            <v>11382</v>
          </cell>
        </row>
        <row r="260">
          <cell r="A260" t="str">
            <v>2050 CITY BUS - FULL</v>
          </cell>
          <cell r="B260" t="str">
            <v>CITY ROUTE</v>
          </cell>
          <cell r="C260" t="str">
            <v>2050 Fuel Cell 800 kW</v>
          </cell>
          <cell r="D260" t="str">
            <v>Hydrogen</v>
          </cell>
          <cell r="E260">
            <v>6.9213875620098193</v>
          </cell>
          <cell r="F260">
            <v>1.1203869581222534</v>
          </cell>
          <cell r="G260">
            <v>0.16187317182927952</v>
          </cell>
          <cell r="H260">
            <v>17.164188385009766</v>
          </cell>
          <cell r="I260" t="str">
            <v>km/kg</v>
          </cell>
          <cell r="J260" t="str">
            <v>Hydrogen 2050 CITY BUS - FULL 2050 Fuel Cell 800 kW CITY ROUTE 18000 kg 5.8 kg /100km 16%</v>
          </cell>
          <cell r="M260">
            <v>18000</v>
          </cell>
        </row>
        <row r="261">
          <cell r="A261" t="str">
            <v>2050 CITY BUS - FULL</v>
          </cell>
          <cell r="B261" t="str">
            <v>RURAL ROUTE</v>
          </cell>
          <cell r="C261" t="str">
            <v>2050 Fuel Cell 800 kW</v>
          </cell>
          <cell r="D261" t="str">
            <v>Hydrogen</v>
          </cell>
          <cell r="E261">
            <v>4.7132003844087444</v>
          </cell>
          <cell r="F261">
            <v>1.7474362850189209</v>
          </cell>
          <cell r="G261">
            <v>0.37075365834209723</v>
          </cell>
          <cell r="H261">
            <v>25.205802917480469</v>
          </cell>
          <cell r="I261" t="str">
            <v>km/kg</v>
          </cell>
          <cell r="J261" t="str">
            <v>Hydrogen 2050 CITY BUS - FULL 2050 Fuel Cell 800 kW RURAL ROUTE 18000 kg 4.0 kg /100km 37%</v>
          </cell>
          <cell r="M261">
            <v>18000</v>
          </cell>
        </row>
        <row r="262">
          <cell r="A262" t="str">
            <v>2050 CITY BUS - FULL</v>
          </cell>
          <cell r="B262" t="str">
            <v>MOTORWAY</v>
          </cell>
          <cell r="C262" t="str">
            <v>2050 Fuel Cell 800 kW</v>
          </cell>
          <cell r="D262" t="str">
            <v>Hydrogen</v>
          </cell>
          <cell r="E262">
            <v>4.6366124763164729</v>
          </cell>
          <cell r="F262">
            <v>2.0889230370521545</v>
          </cell>
          <cell r="G262">
            <v>0.45052784715613892</v>
          </cell>
          <cell r="H262">
            <v>25.622154235839844</v>
          </cell>
          <cell r="I262" t="str">
            <v>km/kg</v>
          </cell>
          <cell r="J262" t="str">
            <v>Hydrogen 2050 CITY BUS - FULL 2050 Fuel Cell 800 kW MOTORWAY 18000 kg 3.9 kg /100km 45%</v>
          </cell>
          <cell r="M262">
            <v>18000</v>
          </cell>
        </row>
        <row r="263">
          <cell r="A263" t="str">
            <v>2050 TOURIST BUS - EMPTY</v>
          </cell>
          <cell r="B263" t="str">
            <v>CITY ROUTE</v>
          </cell>
          <cell r="C263" t="str">
            <v>2050 Fuel Cell 800 kW</v>
          </cell>
          <cell r="D263" t="str">
            <v>Hydrogen</v>
          </cell>
          <cell r="E263">
            <v>4.5192237072320012</v>
          </cell>
          <cell r="F263">
            <v>0.76164537668228149</v>
          </cell>
          <cell r="G263">
            <v>0.16853455947831025</v>
          </cell>
          <cell r="H263">
            <v>26.287700653076172</v>
          </cell>
          <cell r="I263" t="str">
            <v>km/kg</v>
          </cell>
          <cell r="J263" t="str">
            <v>Hydrogen 2050 TOURIST BUS - EMPTY 2050 Fuel Cell 800 kW CITY ROUTE 11200 kg 3.8 kg /100km 17%</v>
          </cell>
          <cell r="M263">
            <v>11200</v>
          </cell>
        </row>
        <row r="264">
          <cell r="A264" t="str">
            <v>2050 TOURIST BUS - EMPTY</v>
          </cell>
          <cell r="B264" t="str">
            <v>RURAL ROUTE</v>
          </cell>
          <cell r="C264" t="str">
            <v>2050 Fuel Cell 800 kW</v>
          </cell>
          <cell r="D264" t="str">
            <v>Hydrogen</v>
          </cell>
          <cell r="E264">
            <v>3.3486169822702165</v>
          </cell>
          <cell r="F264">
            <v>1.2492440342903137</v>
          </cell>
          <cell r="G264">
            <v>0.37306268256555897</v>
          </cell>
          <cell r="H264">
            <v>35.477333068847656</v>
          </cell>
          <cell r="I264" t="str">
            <v>km/kg</v>
          </cell>
          <cell r="J264" t="str">
            <v>Hydrogen 2050 TOURIST BUS - EMPTY 2050 Fuel Cell 800 kW RURAL ROUTE 11200 kg 2.8 kg /100km 37%</v>
          </cell>
          <cell r="M264">
            <v>11200</v>
          </cell>
        </row>
        <row r="265">
          <cell r="A265" t="str">
            <v>2050 TOURIST BUS - EMPTY</v>
          </cell>
          <cell r="B265" t="str">
            <v>MOTORWAY</v>
          </cell>
          <cell r="C265" t="str">
            <v>2050 Fuel Cell 800 kW</v>
          </cell>
          <cell r="D265" t="str">
            <v>Hydrogen</v>
          </cell>
          <cell r="E265">
            <v>3.4340656828714233</v>
          </cell>
          <cell r="F265">
            <v>1.5148454010486603</v>
          </cell>
          <cell r="G265">
            <v>0.44112301305256613</v>
          </cell>
          <cell r="H265">
            <v>34.594562530517578</v>
          </cell>
          <cell r="I265" t="str">
            <v>km/kg</v>
          </cell>
          <cell r="J265" t="str">
            <v>Hydrogen 2050 TOURIST BUS - EMPTY 2050 Fuel Cell 800 kW MOTORWAY 11200 kg 2.9 kg /100km 44%</v>
          </cell>
          <cell r="M265">
            <v>11200</v>
          </cell>
        </row>
        <row r="266">
          <cell r="A266" t="str">
            <v>2050 TOURIST BUS - TYPICAL</v>
          </cell>
          <cell r="B266" t="str">
            <v>CITY ROUTE</v>
          </cell>
          <cell r="C266" t="str">
            <v>2050 Fuel Cell 800 kW</v>
          </cell>
          <cell r="D266" t="str">
            <v>Hydrogen</v>
          </cell>
          <cell r="E266">
            <v>5.0791670727010434</v>
          </cell>
          <cell r="F266">
            <v>0.83028307557106018</v>
          </cell>
          <cell r="G266">
            <v>0.16346835291825221</v>
          </cell>
          <cell r="H266">
            <v>23.38966178894043</v>
          </cell>
          <cell r="I266" t="str">
            <v>km/kg</v>
          </cell>
          <cell r="J266" t="str">
            <v>Hydrogen 2050 TOURIST BUS - TYPICAL 2050 Fuel Cell 800 kW CITY ROUTE 12950 kg 4.3 kg /100km 16%</v>
          </cell>
          <cell r="M266">
            <v>12950</v>
          </cell>
        </row>
        <row r="267">
          <cell r="A267" t="str">
            <v>2050 TOURIST BUS - TYPICAL</v>
          </cell>
          <cell r="B267" t="str">
            <v>RURAL ROUTE</v>
          </cell>
          <cell r="C267" t="str">
            <v>2050 Fuel Cell 800 kW</v>
          </cell>
          <cell r="D267" t="str">
            <v>Hydrogen</v>
          </cell>
          <cell r="E267">
            <v>3.5850922856533716</v>
          </cell>
          <cell r="F267">
            <v>1.3179149627685547</v>
          </cell>
          <cell r="G267">
            <v>0.36760977340597772</v>
          </cell>
          <cell r="H267">
            <v>33.137222290039063</v>
          </cell>
          <cell r="I267" t="str">
            <v>km/kg</v>
          </cell>
          <cell r="J267" t="str">
            <v>Hydrogen 2050 TOURIST BUS - TYPICAL 2050 Fuel Cell 800 kW RURAL ROUTE 12950 kg 3.0 kg /100km 37%</v>
          </cell>
          <cell r="M267">
            <v>12950</v>
          </cell>
        </row>
        <row r="268">
          <cell r="A268" t="str">
            <v>2050 TOURIST BUS - TYPICAL</v>
          </cell>
          <cell r="B268" t="str">
            <v>MOTORWAY</v>
          </cell>
          <cell r="C268" t="str">
            <v>2050 Fuel Cell 800 kW</v>
          </cell>
          <cell r="D268" t="str">
            <v>Hydrogen</v>
          </cell>
          <cell r="E268">
            <v>3.5910484811669683</v>
          </cell>
          <cell r="F268">
            <v>1.5835158824920654</v>
          </cell>
          <cell r="G268">
            <v>0.44096198945703924</v>
          </cell>
          <cell r="H268">
            <v>33.082260131835938</v>
          </cell>
          <cell r="I268" t="str">
            <v>km/kg</v>
          </cell>
          <cell r="J268" t="str">
            <v>Hydrogen 2050 TOURIST BUS - TYPICAL 2050 Fuel Cell 800 kW MOTORWAY 12950 kg 3.0 kg /100km 44%</v>
          </cell>
          <cell r="M268">
            <v>12950</v>
          </cell>
        </row>
        <row r="269">
          <cell r="A269" t="str">
            <v>2050 TOURIST BUS - FULL</v>
          </cell>
          <cell r="B269" t="str">
            <v>CITY ROUTE</v>
          </cell>
          <cell r="C269" t="str">
            <v>2050 Fuel Cell 800 kW</v>
          </cell>
          <cell r="D269" t="str">
            <v>Hydrogen</v>
          </cell>
          <cell r="E269">
            <v>7.2786207815306456</v>
          </cell>
          <cell r="F269">
            <v>1.0869237780570984</v>
          </cell>
          <cell r="G269">
            <v>0.14933100798645063</v>
          </cell>
          <cell r="H269">
            <v>16.321773529052734</v>
          </cell>
          <cell r="I269" t="str">
            <v>km/kg</v>
          </cell>
          <cell r="J269" t="str">
            <v>Hydrogen 2050 TOURIST BUS - FULL 2050 Fuel Cell 800 kW CITY ROUTE 19500 kg 6.1 kg /100km 15%</v>
          </cell>
          <cell r="M269">
            <v>19500</v>
          </cell>
        </row>
        <row r="270">
          <cell r="A270" t="str">
            <v>2050 TOURIST BUS - FULL</v>
          </cell>
          <cell r="B270" t="str">
            <v>RURAL ROUTE</v>
          </cell>
          <cell r="C270" t="str">
            <v>2050 Fuel Cell 800 kW</v>
          </cell>
          <cell r="D270" t="str">
            <v>Hydrogen</v>
          </cell>
          <cell r="E270">
            <v>4.500592504823735</v>
          </cell>
          <cell r="F270">
            <v>1.5749375224113464</v>
          </cell>
          <cell r="G270">
            <v>0.34994004027765863</v>
          </cell>
          <cell r="H270">
            <v>26.396524429321289</v>
          </cell>
          <cell r="I270" t="str">
            <v>km/kg</v>
          </cell>
          <cell r="J270" t="str">
            <v>Hydrogen 2050 TOURIST BUS - FULL 2050 Fuel Cell 800 kW RURAL ROUTE 19500 kg 3.8 kg /100km 35%</v>
          </cell>
          <cell r="M270">
            <v>19500</v>
          </cell>
        </row>
        <row r="271">
          <cell r="A271" t="str">
            <v>2050 TOURIST BUS - FULL</v>
          </cell>
          <cell r="B271" t="str">
            <v>MOTORWAY</v>
          </cell>
          <cell r="C271" t="str">
            <v>2050 Fuel Cell 800 kW</v>
          </cell>
          <cell r="D271" t="str">
            <v>Hydrogen</v>
          </cell>
          <cell r="E271">
            <v>4.2039964057200434</v>
          </cell>
          <cell r="F271">
            <v>1.8405410051345825</v>
          </cell>
          <cell r="G271">
            <v>0.43780746401930903</v>
          </cell>
          <cell r="H271">
            <v>28.258825302124023</v>
          </cell>
          <cell r="I271" t="str">
            <v>km/kg</v>
          </cell>
          <cell r="J271" t="str">
            <v>Hydrogen 2050 TOURIST BUS - FULL 2050 Fuel Cell 800 kW MOTORWAY 19500 kg 3.5 kg /100km 44%</v>
          </cell>
          <cell r="M271">
            <v>19500</v>
          </cell>
        </row>
      </sheetData>
      <sheetData sheetId="2">
        <row r="4">
          <cell r="B4">
            <v>40000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Winther" refreshedDate="45013.391233333336" createdVersion="8" refreshedVersion="8" minRefreshableVersion="3" recordCount="270" xr:uid="{00000000-000A-0000-FFFF-FFFF01000000}">
  <cacheSource type="worksheet">
    <worksheetSource ref="A1:Y271" sheet="Simulations"/>
  </cacheSource>
  <cacheFields count="25">
    <cacheField name="Vehicle" numFmtId="0">
      <sharedItems/>
    </cacheField>
    <cacheField name="Route" numFmtId="0">
      <sharedItems/>
    </cacheField>
    <cacheField name="Engine" numFmtId="0">
      <sharedItems/>
    </cacheField>
    <cacheField name="Fuel" numFmtId="0">
      <sharedItems count="3">
        <s v="Diesel"/>
        <s v="Electricity"/>
        <s v="Hydrogen"/>
      </sharedItems>
    </cacheField>
    <cacheField name="Total MJ/km" numFmtId="2">
      <sharedItems containsSemiMixedTypes="0" containsString="0" containsNumber="1" minValue="1.4961465900191195" maxValue="22.476710371190741"/>
    </cacheField>
    <cacheField name="Mechanical MJ/km" numFmtId="2">
      <sharedItems containsSemiMixedTypes="0" containsString="0" containsNumber="1" minValue="0.76092469692230225" maxValue="4.9936258792877197"/>
    </cacheField>
    <cacheField name="Efficiency %" numFmtId="165">
      <sharedItems containsSemiMixedTypes="0" containsString="0" containsNumber="1" minValue="9.7666567518042272E-2" maxValue="0.78014473612312207"/>
    </cacheField>
    <cacheField name="Fuel Economy" numFmtId="0">
      <sharedItems containsSemiMixedTypes="0" containsString="0" containsNumber="1" minValue="0.36733713746070862" maxValue="39.150188446044922"/>
    </cacheField>
    <cacheField name="Enhed" numFmtId="0">
      <sharedItems/>
    </cacheField>
    <cacheField name="Case" numFmtId="0">
      <sharedItems/>
    </cacheField>
    <cacheField name="Note" numFmtId="0">
      <sharedItems containsSemiMixedTypes="0" containsString="0" containsNumber="1" containsInteger="1" minValue="0" maxValue="0"/>
    </cacheField>
    <cacheField name="Year" numFmtId="0">
      <sharedItems count="2">
        <s v="2022"/>
        <s v="2050"/>
      </sharedItems>
    </cacheField>
    <cacheField name="Load" numFmtId="0">
      <sharedItems count="3">
        <s v="EMPTY"/>
        <s v="TYPICAL"/>
        <s v="FULL"/>
      </sharedItems>
    </cacheField>
    <cacheField name="Vehicle type" numFmtId="0">
      <sharedItems count="5">
        <s v="RIGID TRUCK "/>
        <s v="TRUCK WITH TRAILER "/>
        <s v="SEMI TRUCK "/>
        <s v="CITY BUS "/>
        <s v="TOURIST BUS "/>
      </sharedItems>
    </cacheField>
    <cacheField name="Fuel type" numFmtId="0">
      <sharedItems/>
    </cacheField>
    <cacheField name="Cost of vehicle" numFmtId="168">
      <sharedItems containsSemiMixedTypes="0" containsString="0" containsNumber="1" minValue="157100" maxValue="1000000"/>
    </cacheField>
    <cacheField name="Cost of chassis" numFmtId="168">
      <sharedItems containsSemiMixedTypes="0" containsString="0" containsNumber="1" minValue="7914.2154255319329" maxValue="765950"/>
    </cacheField>
    <cacheField name="Cost of Powertrain (motor)" numFmtId="168">
      <sharedItems containsSemiMixedTypes="0" containsString="0" containsNumber="1" containsInteger="1" minValue="19000" maxValue="147000"/>
    </cacheField>
    <cacheField name="Cost of Battery, Fuel Cell, Fuel Tank" numFmtId="168">
      <sharedItems containsSemiMixedTypes="0" containsString="0" containsNumber="1" containsInteger="1" minValue="300" maxValue="150000"/>
    </cacheField>
    <cacheField name="Mass kg" numFmtId="1">
      <sharedItems containsSemiMixedTypes="0" containsString="0" containsNumber="1" minValue="8254.68" maxValue="62000"/>
    </cacheField>
    <cacheField name="Cargo kg" numFmtId="0">
      <sharedItems containsSemiMixedTypes="0" containsString="0" containsNumber="1" minValue="0" maxValue="50240"/>
    </cacheField>
    <cacheField name="Passengers" numFmtId="0">
      <sharedItems containsSemiMixedTypes="0" containsString="0" containsNumber="1" minValue="0" maxValue="63"/>
    </cacheField>
    <cacheField name="MJ/ton*km" numFmtId="2">
      <sharedItems containsMixedTypes="1" containsNumber="1" minValue="9.6999500587066356E-2" maxValue="19.190242929626347"/>
    </cacheField>
    <cacheField name="MJ/passenger*km" numFmtId="2">
      <sharedItems containsMixedTypes="1" containsNumber="1" minValue="4.1156624871000837E-2" maxValue="1.3433170050738446"/>
    </cacheField>
    <cacheField name="OMIT MJ/km" numFmtId="2">
      <sharedItems containsString="0" containsBlank="1" containsNumber="1" minValue="9.1427999999999994" maxValue="17.436732679779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s v="2022 RIGID TRUCK - EMPTY"/>
    <s v="URBAN DELIVERY"/>
    <s v="Diesel 380 kW"/>
    <x v="0"/>
    <n v="8.2516787263615647"/>
    <n v="1.1974543929100037"/>
    <n v="0.14511645843463425"/>
    <n v="4.3627486228942871"/>
    <s v="km/l"/>
    <s v="Diesel 2022 RIGID TRUCK - EMPTY Diesel 380 kW URBAN DELIVERY 11000 kg 22.9 l /100km 15%"/>
    <n v="0"/>
    <x v="0"/>
    <x v="0"/>
    <x v="0"/>
    <s v="Diesel km/l"/>
    <n v="174667.55319148937"/>
    <n v="141367.55319148937"/>
    <n v="33000"/>
    <n v="300"/>
    <n v="11000"/>
    <n v="0"/>
    <n v="0"/>
    <e v="#N/A"/>
    <s v=""/>
    <n v="9.1427999999999994"/>
  </r>
  <r>
    <s v="2022 RIGID TRUCK - EMPTY"/>
    <s v="REGIONAL DELIVERY"/>
    <s v="Diesel 380 kW"/>
    <x v="0"/>
    <n v="7.1227235414272885"/>
    <n v="1.8814160823822021"/>
    <n v="0.26414279193057016"/>
    <n v="5.0542464256286621"/>
    <s v="km/l"/>
    <s v="Diesel 2022 RIGID TRUCK - EMPTY Diesel 380 kW REGIONAL DELIVERY 11000 kg 19.8 l /100km 26%"/>
    <n v="0"/>
    <x v="0"/>
    <x v="0"/>
    <x v="0"/>
    <s v="Diesel km/l"/>
    <n v="174667.55319148937"/>
    <n v="141367.55319148937"/>
    <n v="33000"/>
    <n v="300"/>
    <n v="11000"/>
    <n v="0"/>
    <n v="0"/>
    <e v="#N/A"/>
    <s v=""/>
    <n v="9.1427999999999994"/>
  </r>
  <r>
    <s v="2022 RIGID TRUCK - EMPTY"/>
    <s v="LONG HAUL"/>
    <s v="Diesel 380 kW"/>
    <x v="0"/>
    <n v="7.0714803548634499"/>
    <n v="2.3215257525444031"/>
    <n v="0.32829416699825248"/>
    <n v="5.0908718109130859"/>
    <s v="km/l"/>
    <s v="Diesel 2022 RIGID TRUCK - EMPTY Diesel 380 kW LONG HAUL 11000 kg 19.6 l /100km 33%"/>
    <n v="0"/>
    <x v="0"/>
    <x v="0"/>
    <x v="0"/>
    <s v="Diesel km/l"/>
    <n v="174667.55319148937"/>
    <n v="141367.55319148937"/>
    <n v="33000"/>
    <n v="300"/>
    <n v="11000"/>
    <n v="0"/>
    <n v="0"/>
    <e v="#N/A"/>
    <s v=""/>
    <n v="9.1427999999999994"/>
  </r>
  <r>
    <s v="2022 RIGID TRUCK - TYPICAL"/>
    <s v="URBAN DELIVERY"/>
    <s v="Diesel 380 kW"/>
    <x v="0"/>
    <n v="10.579715959447361"/>
    <n v="1.5233623385429382"/>
    <n v="0.14398896382304313"/>
    <n v="3.4027378559112549"/>
    <s v="km/l"/>
    <s v="Diesel 2022 RIGID TRUCK - TYPICAL Diesel 380 kW URBAN DELIVERY 17645 kg 29.4 l /100km 14%"/>
    <n v="0"/>
    <x v="0"/>
    <x v="1"/>
    <x v="0"/>
    <s v="Diesel km/l"/>
    <n v="174667.55319148937"/>
    <n v="141367.55319148937"/>
    <n v="33000"/>
    <n v="300"/>
    <n v="17645"/>
    <n v="6645"/>
    <n v="0"/>
    <n v="1.5921318223397081"/>
    <s v=""/>
    <n v="10.5136635"/>
  </r>
  <r>
    <s v="2022 RIGID TRUCK - TYPICAL"/>
    <s v="REGIONAL DELIVERY"/>
    <s v="Diesel 380 kW"/>
    <x v="0"/>
    <n v="8.5012256250158345"/>
    <n v="2.2073662877082825"/>
    <n v="0.25965271186461081"/>
    <n v="4.2346835136413574"/>
    <s v="km/l"/>
    <s v="Diesel 2022 RIGID TRUCK - TYPICAL Diesel 380 kW REGIONAL DELIVERY 17645 kg 23.6 l /100km 26%"/>
    <n v="0"/>
    <x v="0"/>
    <x v="1"/>
    <x v="0"/>
    <s v="Diesel km/l"/>
    <n v="174667.55319148937"/>
    <n v="141367.55319148937"/>
    <n v="33000"/>
    <n v="300"/>
    <n v="17645"/>
    <n v="6645"/>
    <n v="0"/>
    <n v="1.279341704291322"/>
    <s v=""/>
    <n v="10.5136635"/>
  </r>
  <r>
    <s v="2022 RIGID TRUCK - TYPICAL"/>
    <s v="LONG HAUL"/>
    <s v="Diesel 380 kW"/>
    <x v="0"/>
    <n v="7.8769592375098538"/>
    <n v="2.6474876999855042"/>
    <n v="0.33610529395381961"/>
    <n v="4.5702915191650391"/>
    <s v="km/l"/>
    <s v="Diesel 2022 RIGID TRUCK - TYPICAL Diesel 380 kW LONG HAUL 17645 kg 21.9 l /100km 34%"/>
    <n v="0"/>
    <x v="0"/>
    <x v="1"/>
    <x v="0"/>
    <s v="Diesel km/l"/>
    <n v="174667.55319148937"/>
    <n v="141367.55319148937"/>
    <n v="33000"/>
    <n v="300"/>
    <n v="17645"/>
    <n v="6645"/>
    <n v="0"/>
    <n v="1.1853964240044927"/>
    <s v=""/>
    <n v="10.5136635"/>
  </r>
  <r>
    <s v="2022 RIGID TRUCK - FULL"/>
    <s v="URBAN DELIVERY"/>
    <s v="Diesel 380 kW"/>
    <x v="0"/>
    <n v="13.610932089811362"/>
    <n v="1.9331322908401489"/>
    <n v="0.14202791389189429"/>
    <n v="2.644932746887207"/>
    <s v="km/l"/>
    <s v="Diesel 2022 RIGID TRUCK - FULL Diesel 380 kW URBAN DELIVERY 26000 kg 37.8 l /100km 14%"/>
    <n v="0"/>
    <x v="0"/>
    <x v="2"/>
    <x v="0"/>
    <s v="Diesel km/l"/>
    <n v="174667.55319148937"/>
    <n v="141367.55319148937"/>
    <n v="33000"/>
    <n v="300"/>
    <n v="26000"/>
    <n v="15000"/>
    <n v="0"/>
    <n v="0.90739547265409071"/>
    <s v=""/>
    <n v="12.237299999999999"/>
  </r>
  <r>
    <s v="2022 RIGID TRUCK - FULL"/>
    <s v="REGIONAL DELIVERY"/>
    <s v="Diesel 380 kW"/>
    <x v="0"/>
    <n v="10.268412645422764"/>
    <n v="2.6171222925186157"/>
    <n v="0.25487116489082867"/>
    <n v="3.5058972835540771"/>
    <s v="km/l"/>
    <s v="Diesel 2022 RIGID TRUCK - FULL Diesel 380 kW REGIONAL DELIVERY 26000 kg 28.5 l /100km 25%"/>
    <n v="0"/>
    <x v="0"/>
    <x v="2"/>
    <x v="0"/>
    <s v="Diesel km/l"/>
    <n v="174667.55319148937"/>
    <n v="141367.55319148937"/>
    <n v="33000"/>
    <n v="300"/>
    <n v="26000"/>
    <n v="15000"/>
    <n v="0"/>
    <n v="0.68456084302818421"/>
    <s v=""/>
    <n v="12.237299999999999"/>
  </r>
  <r>
    <s v="2022 RIGID TRUCK - FULL"/>
    <s v="LONG HAUL"/>
    <s v="Diesel 380 kW"/>
    <x v="0"/>
    <n v="9.0620562181980944"/>
    <n v="3.0573092699050903"/>
    <n v="0.33737478518015723"/>
    <n v="3.9726083278656006"/>
    <s v="km/l"/>
    <s v="Diesel 2022 RIGID TRUCK - FULL Diesel 380 kW LONG HAUL 26000 kg 25.2 l /100km 34%"/>
    <n v="0"/>
    <x v="0"/>
    <x v="2"/>
    <x v="0"/>
    <s v="Diesel km/l"/>
    <n v="174667.55319148937"/>
    <n v="141367.55319148937"/>
    <n v="33000"/>
    <n v="300"/>
    <n v="26000"/>
    <n v="15000"/>
    <n v="0"/>
    <n v="0.60413708121320631"/>
    <s v=""/>
    <n v="12.237299999999999"/>
  </r>
  <r>
    <s v="2022 TRUCK WITH TRAILER - EMPTY"/>
    <s v="URBAN DELIVERY"/>
    <s v="Diesel 380 kW"/>
    <x v="0"/>
    <n v="10.254203005790899"/>
    <n v="1.5688545703887939"/>
    <n v="0.15299624646623519"/>
    <n v="3.5107555389404297"/>
    <s v="km/l"/>
    <s v="Diesel 2022 TRUCK WITH TRAILER - EMPTY Diesel 380 kW URBAN DELIVERY 15796.73931275 kg 28.5 l /100km 15%"/>
    <n v="0"/>
    <x v="0"/>
    <x v="0"/>
    <x v="1"/>
    <s v="Diesel km/l"/>
    <n v="199468.08510638299"/>
    <n v="166168.08510638299"/>
    <n v="33000"/>
    <n v="300"/>
    <n v="15796.73931275"/>
    <n v="0"/>
    <n v="0"/>
    <e v="#N/A"/>
    <s v=""/>
    <n v="9.1427999999999994"/>
  </r>
  <r>
    <s v="2022 TRUCK WITH TRAILER - EMPTY"/>
    <s v="REGIONAL DELIVERY"/>
    <s v="Diesel 380 kW"/>
    <x v="0"/>
    <n v="8.719593096669108"/>
    <n v="2.3943417072296143"/>
    <n v="0.2745932844210649"/>
    <n v="4.1286330223083496"/>
    <s v="km/l"/>
    <s v="Diesel 2022 TRUCK WITH TRAILER - EMPTY Diesel 380 kW REGIONAL DELIVERY 15796.73931275 kg 24.2 l /100km 27%"/>
    <n v="0"/>
    <x v="0"/>
    <x v="0"/>
    <x v="1"/>
    <s v="Diesel km/l"/>
    <n v="199468.08510638299"/>
    <n v="166168.08510638299"/>
    <n v="33000"/>
    <n v="300"/>
    <n v="15796.73931275"/>
    <n v="0"/>
    <n v="0"/>
    <e v="#N/A"/>
    <s v=""/>
    <n v="9.1427999999999994"/>
  </r>
  <r>
    <s v="2022 TRUCK WITH TRAILER - EMPTY"/>
    <s v="LONG HAUL"/>
    <s v="Diesel 380 kW"/>
    <x v="0"/>
    <n v="8.4819385395005877"/>
    <n v="2.925517737865448"/>
    <n v="0.34491145205087764"/>
    <n v="4.2443127632141113"/>
    <s v="km/l"/>
    <s v="Diesel 2022 TRUCK WITH TRAILER - EMPTY Diesel 380 kW LONG HAUL 15796.73931275 kg 23.6 l /100km 34%"/>
    <n v="0"/>
    <x v="0"/>
    <x v="0"/>
    <x v="1"/>
    <s v="Diesel km/l"/>
    <n v="199468.08510638299"/>
    <n v="166168.08510638299"/>
    <n v="33000"/>
    <n v="300"/>
    <n v="15796.73931275"/>
    <n v="0"/>
    <n v="0"/>
    <e v="#N/A"/>
    <s v=""/>
    <n v="9.1427999999999994"/>
  </r>
  <r>
    <s v="2022 TRUCK WITH TRAILER - TYPICAL"/>
    <s v="URBAN DELIVERY"/>
    <s v="Diesel 380 kW"/>
    <x v="0"/>
    <n v="15.772049279799049"/>
    <n v="2.4105488657951355"/>
    <n v="0.15283675716652645"/>
    <n v="2.2825188636779785"/>
    <s v="km/l"/>
    <s v="Diesel 2022 TRUCK WITH TRAILER - TYPICAL Diesel 380 kW URBAN DELIVERY 32963.5316262057 kg 43.8 l /100km 15%"/>
    <n v="0"/>
    <x v="0"/>
    <x v="1"/>
    <x v="1"/>
    <s v="Diesel km/l"/>
    <n v="199468.08510638299"/>
    <n v="166168.08510638299"/>
    <n v="33000"/>
    <n v="300"/>
    <n v="32963.531626205746"/>
    <n v="17166.79231345575"/>
    <n v="0"/>
    <n v="0.91875342765325663"/>
    <s v=""/>
    <n v="12.684309254265921"/>
  </r>
  <r>
    <s v="2022 TRUCK WITH TRAILER - TYPICAL"/>
    <s v="REGIONAL DELIVERY"/>
    <s v="Diesel 380 kW"/>
    <x v="0"/>
    <n v="12.434105802631525"/>
    <n v="3.235681414604187"/>
    <n v="0.26022630545088293"/>
    <n v="2.8952624797821045"/>
    <s v="km/l"/>
    <s v="Diesel 2022 TRUCK WITH TRAILER - TYPICAL Diesel 380 kW REGIONAL DELIVERY 32963.5316262057 kg 34.5 l /100km 26%"/>
    <n v="0"/>
    <x v="0"/>
    <x v="1"/>
    <x v="1"/>
    <s v="Diesel km/l"/>
    <n v="199468.08510638299"/>
    <n v="166168.08510638299"/>
    <n v="33000"/>
    <n v="300"/>
    <n v="32963.531626205746"/>
    <n v="17166.79231345575"/>
    <n v="0"/>
    <n v="0.72431154146866272"/>
    <s v=""/>
    <n v="12.684309254265921"/>
  </r>
  <r>
    <s v="2022 TRUCK WITH TRAILER - TYPICAL"/>
    <s v="LONG HAUL"/>
    <s v="Diesel 380 kW"/>
    <x v="0"/>
    <n v="10.944093307680292"/>
    <n v="3.7675856351852417"/>
    <n v="0.34425744822015031"/>
    <n v="3.2894456386566162"/>
    <s v="km/l"/>
    <s v="Diesel 2022 TRUCK WITH TRAILER - TYPICAL Diesel 380 kW LONG HAUL 32963.5316262057 kg 30.4 l /100km 34%"/>
    <n v="0"/>
    <x v="0"/>
    <x v="1"/>
    <x v="1"/>
    <s v="Diesel km/l"/>
    <n v="199468.08510638299"/>
    <n v="166168.08510638299"/>
    <n v="33000"/>
    <n v="300"/>
    <n v="32963.531626205746"/>
    <n v="17166.79231345575"/>
    <n v="0"/>
    <n v="0.63751533238402636"/>
    <s v=""/>
    <n v="12.684309254265921"/>
  </r>
  <r>
    <s v="2022 TRUCK WITH TRAILER - FULL"/>
    <s v="URBAN DELIVERY"/>
    <s v="Diesel 380 kW"/>
    <x v="0"/>
    <n v="19.864838794724353"/>
    <n v="3.5236313939094543"/>
    <n v="0.17738031656442388"/>
    <n v="1.8122472763061523"/>
    <s v="km/l"/>
    <s v="Diesel 2022 TRUCK WITH TRAILER - FULL Diesel 380 kW URBAN DELIVERY 56000 kg 55.2 l /100km 18%"/>
    <n v="0"/>
    <x v="0"/>
    <x v="2"/>
    <x v="1"/>
    <s v="Diesel km/l"/>
    <n v="199468.08510638299"/>
    <n v="166168.08510638299"/>
    <n v="33000"/>
    <n v="300"/>
    <n v="56000"/>
    <n v="40203.260687250004"/>
    <n v="0"/>
    <n v="0.49411014069871839"/>
    <s v=""/>
    <n v="17.436732679779674"/>
  </r>
  <r>
    <s v="2022 TRUCK WITH TRAILER - FULL"/>
    <s v="REGIONAL DELIVERY"/>
    <s v="Diesel 380 kW"/>
    <x v="0"/>
    <n v="16.395754204430194"/>
    <n v="4.361417293548584"/>
    <n v="0.26600894592394614"/>
    <n v="2.195690393447876"/>
    <s v="km/l"/>
    <s v="Diesel 2022 TRUCK WITH TRAILER - FULL Diesel 380 kW REGIONAL DELIVERY 56000 kg 45.5 l /100km 27%"/>
    <n v="0"/>
    <x v="0"/>
    <x v="2"/>
    <x v="1"/>
    <s v="Diesel km/l"/>
    <n v="199468.08510638299"/>
    <n v="166168.08510638299"/>
    <n v="33000"/>
    <n v="300"/>
    <n v="56000"/>
    <n v="40203.260687250004"/>
    <n v="0"/>
    <n v="0.4078215031356876"/>
    <s v=""/>
    <n v="17.436732679779674"/>
  </r>
  <r>
    <s v="2022 TRUCK WITH TRAILER - FULL"/>
    <s v="LONG HAUL"/>
    <s v="Diesel 380 kW"/>
    <x v="0"/>
    <n v="13.547426687798968"/>
    <n v="4.8971879482269287"/>
    <n v="0.36148473515176249"/>
    <n v="2.6573312282562256"/>
    <s v="km/l"/>
    <s v="Diesel 2022 TRUCK WITH TRAILER - FULL Diesel 380 kW LONG HAUL 56000 kg 37.6 l /100km 36%"/>
    <n v="0"/>
    <x v="0"/>
    <x v="2"/>
    <x v="1"/>
    <s v="Diesel km/l"/>
    <n v="199468.08510638299"/>
    <n v="166168.08510638299"/>
    <n v="33000"/>
    <n v="300"/>
    <n v="56000"/>
    <n v="40203.260687250004"/>
    <n v="0"/>
    <n v="0.33697333142173158"/>
    <s v=""/>
    <n v="17.436732679779674"/>
  </r>
  <r>
    <s v="2022 SEMI TRUCK - EMPTY"/>
    <s v="URBAN DELIVERY"/>
    <s v="Diesel 380 kW"/>
    <x v="0"/>
    <n v="9.3417169079168509"/>
    <n v="1.367280900478363"/>
    <n v="0.14636291315139616"/>
    <n v="3.8536813259124756"/>
    <s v="km/l"/>
    <s v="Diesel 2022 SEMI TRUCK - EMPTY Diesel 380 kW URBAN DELIVERY 14000 kg 25.9 l /100km 15%"/>
    <n v="0"/>
    <x v="0"/>
    <x v="0"/>
    <x v="2"/>
    <s v="Diesel km/l"/>
    <n v="159574.4680851064"/>
    <n v="126274.4680851064"/>
    <n v="33000"/>
    <n v="300"/>
    <n v="14000"/>
    <n v="0"/>
    <n v="0"/>
    <e v="#N/A"/>
    <s v=""/>
    <n v="9.1427999999999994"/>
  </r>
  <r>
    <s v="2022 SEMI TRUCK - EMPTY"/>
    <s v="REGIONAL DELIVERY"/>
    <s v="Diesel 380 kW"/>
    <x v="0"/>
    <n v="7.8320876957620662"/>
    <n v="2.0748434066772461"/>
    <n v="0.26491575264152639"/>
    <n v="4.5964756011962891"/>
    <s v="km/l"/>
    <s v="Diesel 2022 SEMI TRUCK - EMPTY Diesel 380 kW REGIONAL DELIVERY 14000 kg 21.8 l /100km 26%"/>
    <n v="0"/>
    <x v="0"/>
    <x v="0"/>
    <x v="2"/>
    <s v="Diesel km/l"/>
    <n v="159574.4680851064"/>
    <n v="126274.4680851064"/>
    <n v="33000"/>
    <n v="300"/>
    <n v="14000"/>
    <n v="0"/>
    <n v="0"/>
    <e v="#N/A"/>
    <s v=""/>
    <n v="9.1427999999999994"/>
  </r>
  <r>
    <s v="2022 SEMI TRUCK - EMPTY"/>
    <s v="LONG HAUL"/>
    <s v="Diesel 380 kW"/>
    <x v="0"/>
    <n v="7.5527615071174914"/>
    <n v="2.5301356315612793"/>
    <n v="0.33499477365688785"/>
    <n v="4.7664685249328613"/>
    <s v="km/l"/>
    <s v="Diesel 2022 SEMI TRUCK - EMPTY Diesel 380 kW LONG HAUL 14000 kg 21.0 l /100km 33%"/>
    <n v="0"/>
    <x v="0"/>
    <x v="0"/>
    <x v="2"/>
    <s v="Diesel km/l"/>
    <n v="159574.4680851064"/>
    <n v="126274.4680851064"/>
    <n v="33000"/>
    <n v="300"/>
    <n v="14000"/>
    <n v="0"/>
    <n v="0"/>
    <e v="#N/A"/>
    <s v=""/>
    <n v="9.1427999999999994"/>
  </r>
  <r>
    <s v="2022 SEMI TRUCK - TYPICAL"/>
    <s v="URBAN DELIVERY"/>
    <s v="Diesel 380 kW"/>
    <x v="0"/>
    <n v="15.669417762014669"/>
    <n v="2.3645432591438293"/>
    <n v="0.15090179450546554"/>
    <n v="2.297468900680542"/>
    <s v="km/l"/>
    <s v="Diesel 2022 SEMI TRUCK - TYPICAL Diesel 380 kW URBAN DELIVERY 34340 kg 43.5 l /100km 15%"/>
    <n v="0"/>
    <x v="0"/>
    <x v="1"/>
    <x v="2"/>
    <s v="Diesel km/l"/>
    <n v="159574.4680851064"/>
    <n v="126274.4680851064"/>
    <n v="33000"/>
    <n v="300"/>
    <n v="34340"/>
    <n v="20339.999999999996"/>
    <n v="0"/>
    <n v="0.77037452123965944"/>
    <s v=""/>
    <n v="13.338941999999999"/>
  </r>
  <r>
    <s v="2022 SEMI TRUCK - TYPICAL"/>
    <s v="REGIONAL DELIVERY"/>
    <s v="Diesel 380 kW"/>
    <x v="0"/>
    <n v="12.234415688643628"/>
    <n v="3.071841835975647"/>
    <n v="0.25108202256255097"/>
    <n v="2.942518949508667"/>
    <s v="km/l"/>
    <s v="Diesel 2022 SEMI TRUCK - TYPICAL Diesel 380 kW REGIONAL DELIVERY 34340 kg 34.0 l /100km 25%"/>
    <n v="0"/>
    <x v="0"/>
    <x v="1"/>
    <x v="2"/>
    <s v="Diesel km/l"/>
    <n v="159574.4680851064"/>
    <n v="126274.4680851064"/>
    <n v="33000"/>
    <n v="300"/>
    <n v="34340"/>
    <n v="20339.999999999996"/>
    <n v="0"/>
    <n v="0.60149536325681563"/>
    <s v=""/>
    <n v="13.338941999999999"/>
  </r>
  <r>
    <s v="2022 SEMI TRUCK - TYPICAL"/>
    <s v="LONG HAUL"/>
    <s v="Diesel 380 kW"/>
    <x v="0"/>
    <n v="10.460562393905736"/>
    <n v="3.5278383493423462"/>
    <n v="0.33725130796004282"/>
    <n v="3.4414975643157959"/>
    <s v="km/l"/>
    <s v="Diesel 2022 SEMI TRUCK - TYPICAL Diesel 380 kW LONG HAUL 34340 kg 29.1 l /100km 34%"/>
    <n v="0"/>
    <x v="0"/>
    <x v="1"/>
    <x v="2"/>
    <s v="Diesel km/l"/>
    <n v="159574.4680851064"/>
    <n v="126274.4680851064"/>
    <n v="33000"/>
    <n v="300"/>
    <n v="34340"/>
    <n v="20339.999999999996"/>
    <n v="0"/>
    <n v="0.51428527010352698"/>
    <s v=""/>
    <n v="13.338941999999999"/>
  </r>
  <r>
    <s v="2022 SEMI TRUCK - FULL"/>
    <s v="URBAN DELIVERY"/>
    <s v="Diesel 380 kW"/>
    <x v="0"/>
    <n v="18.469426968064372"/>
    <n v="3.1235120296478271"/>
    <n v="0.16911797182710192"/>
    <n v="1.9491671323776245"/>
    <s v="km/l"/>
    <s v="Diesel 2022 SEMI TRUCK - FULL Diesel 380 kW URBAN DELIVERY 50000 kg 51.3 l /100km 17%"/>
    <n v="0"/>
    <x v="0"/>
    <x v="2"/>
    <x v="2"/>
    <s v="Diesel km/l"/>
    <n v="159574.4680851064"/>
    <n v="126274.4680851064"/>
    <n v="33000"/>
    <n v="300"/>
    <n v="50000"/>
    <n v="36000"/>
    <n v="0"/>
    <n v="0.51303963800178809"/>
    <s v=""/>
    <n v="16.569600000000001"/>
  </r>
  <r>
    <s v="2022 SEMI TRUCK - FULL"/>
    <s v="REGIONAL DELIVERY"/>
    <s v="Diesel 380 kW"/>
    <x v="0"/>
    <n v="15.345140950855388"/>
    <n v="3.8378890752792358"/>
    <n v="0.25010451761704405"/>
    <n v="2.3460195064544678"/>
    <s v="km/l"/>
    <s v="Diesel 2022 SEMI TRUCK - FULL Diesel 380 kW REGIONAL DELIVERY 50000 kg 42.6 l /100km 25%"/>
    <n v="0"/>
    <x v="0"/>
    <x v="2"/>
    <x v="2"/>
    <s v="Diesel km/l"/>
    <n v="159574.4680851064"/>
    <n v="126274.4680851064"/>
    <n v="33000"/>
    <n v="300"/>
    <n v="50000"/>
    <n v="36000"/>
    <n v="0"/>
    <n v="0.42625391530153856"/>
    <s v=""/>
    <n v="16.569600000000001"/>
  </r>
  <r>
    <s v="2022 SEMI TRUCK - FULL"/>
    <s v="LONG HAUL"/>
    <s v="Diesel 380 kW"/>
    <x v="0"/>
    <n v="12.684605539661932"/>
    <n v="4.2958687543869019"/>
    <n v="0.33866790267578117"/>
    <n v="2.8380858898162842"/>
    <s v="km/l"/>
    <s v="Diesel 2022 SEMI TRUCK - FULL Diesel 380 kW LONG HAUL 50000 kg 35.2 l /100km 34%"/>
    <n v="0"/>
    <x v="0"/>
    <x v="2"/>
    <x v="2"/>
    <s v="Diesel km/l"/>
    <n v="159574.4680851064"/>
    <n v="126274.4680851064"/>
    <n v="33000"/>
    <n v="300"/>
    <n v="50000"/>
    <n v="36000"/>
    <n v="0"/>
    <n v="0.35235015387949814"/>
    <s v=""/>
    <n v="16.569600000000001"/>
  </r>
  <r>
    <s v="2022 CITY BUS - EMPTY"/>
    <s v="CITY ROUTE"/>
    <s v="Diesel 380 kW"/>
    <x v="0"/>
    <n v="10.70455895492216"/>
    <n v="1.1445028185844421"/>
    <n v="0.10691732591730722"/>
    <n v="3.3630530834197998"/>
    <s v="km/l"/>
    <s v="Diesel 2022 CITY BUS - EMPTY Diesel 380 kW CITY ROUTE 11125 kg 29.7 l /100km 11%"/>
    <n v="0"/>
    <x v="0"/>
    <x v="0"/>
    <x v="3"/>
    <s v="Diesel km/l"/>
    <n v="169400"/>
    <n v="150100"/>
    <n v="19000"/>
    <n v="300"/>
    <n v="11125"/>
    <n v="0"/>
    <n v="0"/>
    <e v="#N/A"/>
    <s v=""/>
    <n v="9.1427999999999994"/>
  </r>
  <r>
    <s v="2022 CITY BUS - EMPTY"/>
    <s v="RURAL ROUTE"/>
    <s v="Diesel 380 kW"/>
    <x v="0"/>
    <n v="7.524467247388948"/>
    <n v="2.0494906306266785"/>
    <n v="0.27237684253830308"/>
    <n v="4.7843918800354004"/>
    <s v="km/l"/>
    <s v="Diesel 2022 CITY BUS - EMPTY Diesel 380 kW RURAL ROUTE 11125 kg 20.9 l /100km 27%"/>
    <n v="0"/>
    <x v="0"/>
    <x v="0"/>
    <x v="3"/>
    <s v="Diesel km/l"/>
    <n v="169400"/>
    <n v="150100"/>
    <n v="19000"/>
    <n v="300"/>
    <n v="11125"/>
    <n v="0"/>
    <n v="0"/>
    <e v="#N/A"/>
    <s v=""/>
    <n v="9.1427999999999994"/>
  </r>
  <r>
    <s v="2022 CITY BUS - EMPTY"/>
    <s v="MOTORWAY"/>
    <s v="Diesel 380 kW"/>
    <x v="0"/>
    <n v="7.5902594507926615"/>
    <n v="2.5427176952362061"/>
    <n v="0.3349974677045679"/>
    <n v="4.7429208755493164"/>
    <s v="km/l"/>
    <s v="Diesel 2022 CITY BUS - EMPTY Diesel 380 kW MOTORWAY 11125 kg 21.1 l /100km 33%"/>
    <n v="0"/>
    <x v="0"/>
    <x v="0"/>
    <x v="3"/>
    <s v="Diesel km/l"/>
    <n v="169400"/>
    <n v="150100"/>
    <n v="19000"/>
    <n v="300"/>
    <n v="11125"/>
    <n v="0"/>
    <n v="0"/>
    <e v="#N/A"/>
    <s v=""/>
    <n v="9.1427999999999994"/>
  </r>
  <r>
    <s v="2022 CITY BUS - TYPICAL"/>
    <s v="CITY ROUTE"/>
    <s v="Diesel 380 kW"/>
    <x v="0"/>
    <n v="11.015199441605525"/>
    <n v="1.1726443767547607"/>
    <n v="0.10645693552543081"/>
    <n v="3.2682113647460938"/>
    <s v="km/l"/>
    <s v="Diesel 2022 CITY BUS - TYPICAL Diesel 380 kW CITY ROUTE 11699 kg 30.6 l /100km 11%"/>
    <n v="0"/>
    <x v="0"/>
    <x v="1"/>
    <x v="3"/>
    <s v="Diesel km/l"/>
    <n v="169400"/>
    <n v="150100"/>
    <n v="19000"/>
    <n v="300"/>
    <n v="11699"/>
    <n v="574"/>
    <n v="8.1999999999999993"/>
    <n v="19.190242929626347"/>
    <n v="1.3433170050738446"/>
    <n v="9.2612161999999998"/>
  </r>
  <r>
    <s v="2022 CITY BUS - TYPICAL"/>
    <s v="RURAL ROUTE"/>
    <s v="Diesel 380 kW"/>
    <x v="0"/>
    <n v="7.6304568310389485"/>
    <n v="2.0776464343070984"/>
    <n v="0.27228336131274727"/>
    <n v="4.7179350852966309"/>
    <s v="km/l"/>
    <s v="Diesel 2022 CITY BUS - TYPICAL Diesel 380 kW RURAL ROUTE 11699 kg 21.2 l /100km 27%"/>
    <n v="0"/>
    <x v="0"/>
    <x v="1"/>
    <x v="3"/>
    <s v="Diesel km/l"/>
    <n v="169400"/>
    <n v="150100"/>
    <n v="19000"/>
    <n v="300"/>
    <n v="11699"/>
    <n v="574"/>
    <n v="8.1999999999999993"/>
    <n v="13.293478799719422"/>
    <n v="0.93054351598035967"/>
    <n v="9.2612161999999998"/>
  </r>
  <r>
    <s v="2022 CITY BUS - TYPICAL"/>
    <s v="MOTORWAY"/>
    <s v="Diesel 380 kW"/>
    <x v="0"/>
    <n v="7.6590502723416147"/>
    <n v="2.5708743333816528"/>
    <n v="0.33566489864488835"/>
    <n v="4.7003216743469238"/>
    <s v="km/l"/>
    <s v="Diesel 2022 CITY BUS - TYPICAL Diesel 380 kW MOTORWAY 11699 kg 21.3 l /100km 34%"/>
    <n v="0"/>
    <x v="0"/>
    <x v="1"/>
    <x v="3"/>
    <s v="Diesel km/l"/>
    <n v="169400"/>
    <n v="150100"/>
    <n v="19000"/>
    <n v="300"/>
    <n v="11699"/>
    <n v="574"/>
    <n v="8.1999999999999993"/>
    <n v="13.343293157389573"/>
    <n v="0.93403052101727013"/>
    <n v="9.2612161999999998"/>
  </r>
  <r>
    <s v="2022 CITY BUS - FULL"/>
    <s v="CITY ROUTE"/>
    <s v="Diesel 380 kW"/>
    <x v="0"/>
    <n v="14.19205043741646"/>
    <n v="1.4804682731628418"/>
    <n v="0.10431672855810031"/>
    <n v="2.5366313457489014"/>
    <s v="km/l"/>
    <s v="Diesel 2022 CITY BUS - FULL Diesel 380 kW CITY ROUTE 18000 kg 39.4 l /100km 10%"/>
    <n v="0"/>
    <x v="0"/>
    <x v="2"/>
    <x v="3"/>
    <s v="Diesel km/l"/>
    <n v="169400"/>
    <n v="150100"/>
    <n v="19000"/>
    <n v="300"/>
    <n v="18000"/>
    <n v="6875"/>
    <n v="63"/>
    <n v="2.0642982454423944"/>
    <n v="0.22527064186375334"/>
    <n v="10.5611125"/>
  </r>
  <r>
    <s v="2022 CITY BUS - FULL"/>
    <s v="RURAL ROUTE"/>
    <s v="Diesel 380 kW"/>
    <x v="0"/>
    <n v="8.933591844245008"/>
    <n v="2.3867251873016357"/>
    <n v="0.26716299881543804"/>
    <n v="4.0297341346740723"/>
    <s v="km/l"/>
    <s v="Diesel 2022 CITY BUS - FULL Diesel 380 kW RURAL ROUTE 18000 kg 24.8 l /100km 27%"/>
    <n v="0"/>
    <x v="0"/>
    <x v="2"/>
    <x v="3"/>
    <s v="Diesel km/l"/>
    <n v="169400"/>
    <n v="150100"/>
    <n v="19000"/>
    <n v="300"/>
    <n v="18000"/>
    <n v="6875"/>
    <n v="63"/>
    <n v="1.2994315409810921"/>
    <n v="0.14180304514674616"/>
    <n v="10.5611125"/>
  </r>
  <r>
    <s v="2022 CITY BUS - FULL"/>
    <s v="MOTORWAY"/>
    <s v="Diesel 380 kW"/>
    <x v="0"/>
    <n v="8.4089960781579425"/>
    <n v="2.8799625039100647"/>
    <n v="0.34248588977115368"/>
    <n v="4.2811293601989746"/>
    <s v="km/l"/>
    <s v="Diesel 2022 CITY BUS - FULL Diesel 380 kW MOTORWAY 18000 kg 23.4 l /100km 34%"/>
    <n v="0"/>
    <x v="0"/>
    <x v="2"/>
    <x v="3"/>
    <s v="Diesel km/l"/>
    <n v="169400"/>
    <n v="150100"/>
    <n v="19000"/>
    <n v="300"/>
    <n v="18000"/>
    <n v="6875"/>
    <n v="63"/>
    <n v="1.223126702277519"/>
    <n v="0.13347612822472923"/>
    <n v="10.5611125"/>
  </r>
  <r>
    <s v="2022 TOURIST BUS - EMPTY"/>
    <s v="CITY ROUTE"/>
    <s v="Diesel 380 kW"/>
    <x v="0"/>
    <n v="11.822357107741219"/>
    <n v="1.1684503555297852"/>
    <n v="9.8833958818981188E-2"/>
    <n v="3.0450780391693115"/>
    <s v="km/l"/>
    <s v="Diesel 2022 TOURIST BUS - EMPTY Diesel 380 kW CITY ROUTE 13500 kg 32.8 l /100km 10%"/>
    <n v="0"/>
    <x v="0"/>
    <x v="0"/>
    <x v="4"/>
    <s v="Diesel km/l"/>
    <n v="259900"/>
    <n v="240600"/>
    <n v="19000"/>
    <n v="300"/>
    <n v="13500"/>
    <n v="0"/>
    <n v="0"/>
    <e v="#N/A"/>
    <s v=""/>
    <n v="9.1427999999999994"/>
  </r>
  <r>
    <s v="2022 TOURIST BUS - EMPTY"/>
    <s v="RURAL ROUTE"/>
    <s v="Diesel 380 kW"/>
    <x v="0"/>
    <n v="7.4648575860175672"/>
    <n v="1.9346418380737305"/>
    <n v="0.25916661045182032"/>
    <n v="4.8225970268249512"/>
    <s v="km/l"/>
    <s v="Diesel 2022 TOURIST BUS - EMPTY Diesel 380 kW RURAL ROUTE 13500 kg 20.7 l /100km 26%"/>
    <n v="0"/>
    <x v="0"/>
    <x v="0"/>
    <x v="4"/>
    <s v="Diesel km/l"/>
    <n v="259900"/>
    <n v="240600"/>
    <n v="19000"/>
    <n v="300"/>
    <n v="13500"/>
    <n v="0"/>
    <n v="0"/>
    <e v="#N/A"/>
    <s v=""/>
    <n v="9.1427999999999994"/>
  </r>
  <r>
    <s v="2022 TOURIST BUS - EMPTY"/>
    <s v="MOTORWAY"/>
    <s v="Diesel 380 kW"/>
    <x v="0"/>
    <n v="7.1430153351955621"/>
    <n v="2.351994514465332"/>
    <n v="0.3292719396634109"/>
    <n v="5.0398883819580078"/>
    <s v="km/l"/>
    <s v="Diesel 2022 TOURIST BUS - EMPTY Diesel 380 kW MOTORWAY 13500 kg 19.8 l /100km 33%"/>
    <n v="0"/>
    <x v="0"/>
    <x v="0"/>
    <x v="4"/>
    <s v="Diesel km/l"/>
    <n v="259900"/>
    <n v="240600"/>
    <n v="19000"/>
    <n v="300"/>
    <n v="13500"/>
    <n v="0"/>
    <n v="0"/>
    <e v="#N/A"/>
    <s v=""/>
    <n v="9.1427999999999994"/>
  </r>
  <r>
    <s v="2022 TOURIST BUS - TYPICAL"/>
    <s v="CITY ROUTE"/>
    <s v="Diesel 380 kW"/>
    <x v="0"/>
    <n v="12.465753653104107"/>
    <n v="1.2276588678359985"/>
    <n v="9.8482522757883814E-2"/>
    <n v="2.8879120349884033"/>
    <s v="km/l"/>
    <s v="Diesel 2022 TOURIST BUS - TYPICAL Diesel 380 kW CITY ROUTE 14711 kg 34.6 l /100km 10%"/>
    <n v="0"/>
    <x v="0"/>
    <x v="1"/>
    <x v="4"/>
    <s v="Diesel km/l"/>
    <n v="259900"/>
    <n v="240600"/>
    <n v="19000"/>
    <n v="300"/>
    <n v="14711"/>
    <n v="1211"/>
    <n v="17.3"/>
    <n v="10.293768499673085"/>
    <n v="0.72056379497711598"/>
    <n v="9.3926292999999994"/>
  </r>
  <r>
    <s v="2022 TOURIST BUS - TYPICAL"/>
    <s v="RURAL ROUTE"/>
    <s v="Diesel 380 kW"/>
    <x v="0"/>
    <n v="7.7369290454759128"/>
    <n v="1.9940425157546997"/>
    <n v="0.25773049022863859"/>
    <n v="4.6530089378356934"/>
    <s v="km/l"/>
    <s v="Diesel 2022 TOURIST BUS - TYPICAL Diesel 380 kW RURAL ROUTE 14711 kg 21.5 l /100km 26%"/>
    <n v="0"/>
    <x v="0"/>
    <x v="1"/>
    <x v="4"/>
    <s v="Diesel km/l"/>
    <n v="259900"/>
    <n v="240600"/>
    <n v="19000"/>
    <n v="300"/>
    <n v="14711"/>
    <n v="1211"/>
    <n v="17.3"/>
    <n v="6.388876172977632"/>
    <n v="0.44722133210843423"/>
    <n v="9.3926292999999994"/>
  </r>
  <r>
    <s v="2022 TOURIST BUS - TYPICAL"/>
    <s v="MOTORWAY"/>
    <s v="Diesel 380 kW"/>
    <x v="0"/>
    <n v="7.3001365509673928"/>
    <n v="2.4113966822624207"/>
    <n v="0.33032213376102798"/>
    <n v="4.9314146041870117"/>
    <s v="km/l"/>
    <s v="Diesel 2022 TOURIST BUS - TYPICAL Diesel 380 kW MOTORWAY 14711 kg 20.3 l /100km 33%"/>
    <n v="0"/>
    <x v="0"/>
    <x v="1"/>
    <x v="4"/>
    <s v="Diesel km/l"/>
    <n v="259900"/>
    <n v="240600"/>
    <n v="19000"/>
    <n v="300"/>
    <n v="14711"/>
    <n v="1211"/>
    <n v="17.3"/>
    <n v="6.0281887291225376"/>
    <n v="0.4219732110385776"/>
    <n v="9.3926292999999994"/>
  </r>
  <r>
    <s v="2022 TOURIST BUS - FULL"/>
    <s v="CITY ROUTE"/>
    <s v="Diesel 380 kW"/>
    <x v="0"/>
    <n v="14.965021707936824"/>
    <n v="1.4615823030471802"/>
    <n v="9.7666567518042272E-2"/>
    <n v="2.4056096076965332"/>
    <s v="km/l"/>
    <s v="Diesel 2022 TOURIST BUS - FULL Diesel 380 kW CITY ROUTE 19500 kg 41.6 l /100km 10%"/>
    <n v="0"/>
    <x v="0"/>
    <x v="2"/>
    <x v="4"/>
    <s v="Diesel km/l"/>
    <n v="259900"/>
    <n v="240600"/>
    <n v="19000"/>
    <n v="300"/>
    <n v="19500"/>
    <n v="6000"/>
    <n v="55"/>
    <n v="2.4941702846561373"/>
    <n v="0.27209130378066954"/>
    <n v="10.380599999999999"/>
  </r>
  <r>
    <s v="2022 TOURIST BUS - FULL"/>
    <s v="RURAL ROUTE"/>
    <s v="Diesel 380 kW"/>
    <x v="0"/>
    <n v="8.7708290349023308"/>
    <n v="2.2289479970932007"/>
    <n v="0.25413196269399424"/>
    <n v="4.1045150756835938"/>
    <s v="km/l"/>
    <s v="Diesel 2022 TOURIST BUS - FULL Diesel 380 kW RURAL ROUTE 19500 kg 24.4 l /100km 25%"/>
    <n v="0"/>
    <x v="0"/>
    <x v="2"/>
    <x v="4"/>
    <s v="Diesel km/l"/>
    <n v="259900"/>
    <n v="240600"/>
    <n v="19000"/>
    <n v="300"/>
    <n v="19500"/>
    <n v="6000"/>
    <n v="55"/>
    <n v="1.4618048391503884"/>
    <n v="0.15946961881640601"/>
    <n v="10.380599999999999"/>
  </r>
  <r>
    <s v="2022 TOURIST BUS - FULL"/>
    <s v="MOTORWAY"/>
    <s v="Diesel 380 kW"/>
    <x v="0"/>
    <n v="7.9345923868662656"/>
    <n v="2.6463051438331604"/>
    <n v="0.33351494504159496"/>
    <n v="4.5370950698852539"/>
    <s v="km/l"/>
    <s v="Diesel 2022 TOURIST BUS - FULL Diesel 380 kW MOTORWAY 19500 kg 22.0 l /100km 33%"/>
    <n v="0"/>
    <x v="0"/>
    <x v="2"/>
    <x v="4"/>
    <s v="Diesel km/l"/>
    <n v="259900"/>
    <n v="240600"/>
    <n v="19000"/>
    <n v="300"/>
    <n v="19500"/>
    <n v="6000"/>
    <n v="55"/>
    <n v="1.3224320644777108"/>
    <n v="0.1442653161248412"/>
    <n v="10.380599999999999"/>
  </r>
  <r>
    <s v="2022 RIGID TRUCK - EMPTY"/>
    <s v="URBAN DELIVERY"/>
    <s v="Electric 290 kW"/>
    <x v="1"/>
    <n v="2.1366846727292526"/>
    <n v="1.1679841279983521"/>
    <n v="0.54663383086211326"/>
    <n v="1.684853196144104"/>
    <s v="km/kWh"/>
    <s v="Electricity 2022 RIGID TRUCK - EMPTY Electric 290 kW URBAN DELIVERY 10400 kg 59.4 kWh /100km 55%"/>
    <n v="0"/>
    <x v="0"/>
    <x v="0"/>
    <x v="0"/>
    <s v="Electricity km/kWh"/>
    <n v="380500"/>
    <n v="197500"/>
    <n v="99000"/>
    <n v="84000"/>
    <n v="10400"/>
    <n v="0"/>
    <n v="0"/>
    <e v="#N/A"/>
    <s v=""/>
    <m/>
  </r>
  <r>
    <s v="2022 RIGID TRUCK - EMPTY"/>
    <s v="REGIONAL DELIVERY"/>
    <s v="Electric 290 kW"/>
    <x v="1"/>
    <n v="2.7970565458733097"/>
    <n v="1.8519698977470398"/>
    <n v="0.66211385696845448"/>
    <n v="1.2870672941207886"/>
    <s v="km/kWh"/>
    <s v="Electricity 2022 RIGID TRUCK - EMPTY Electric 290 kW REGIONAL DELIVERY 10400 kg 77.7 kWh /100km 66%"/>
    <n v="0"/>
    <x v="0"/>
    <x v="0"/>
    <x v="0"/>
    <s v="Electricity km/kWh"/>
    <n v="380500"/>
    <n v="197500"/>
    <n v="99000"/>
    <n v="84000"/>
    <n v="10400"/>
    <n v="0"/>
    <n v="0"/>
    <e v="#N/A"/>
    <s v=""/>
    <m/>
  </r>
  <r>
    <s v="2022 RIGID TRUCK - EMPTY"/>
    <s v="LONG HAUL"/>
    <s v="Electric 290 kW"/>
    <x v="1"/>
    <n v="3.1885906295375586"/>
    <n v="2.2920897603034973"/>
    <n v="0.71884102621098123"/>
    <n v="1.1290254592895508"/>
    <s v="km/kWh"/>
    <s v="Electricity 2022 RIGID TRUCK - EMPTY Electric 290 kW LONG HAUL 10400 kg 88.6 kWh /100km 72%"/>
    <n v="0"/>
    <x v="0"/>
    <x v="0"/>
    <x v="0"/>
    <s v="Electricity km/kWh"/>
    <n v="380500"/>
    <n v="197500"/>
    <n v="99000"/>
    <n v="84000"/>
    <n v="10400"/>
    <n v="0"/>
    <n v="0"/>
    <e v="#N/A"/>
    <s v=""/>
    <m/>
  </r>
  <r>
    <s v="2022 RIGID TRUCK - TYPICAL"/>
    <s v="URBAN DELIVERY"/>
    <s v="Electric 290 kW"/>
    <x v="1"/>
    <n v="3.2222755041776279"/>
    <n v="1.5449787974357605"/>
    <n v="0.47946825013339817"/>
    <n v="1.1172229051589966"/>
    <s v="km/kWh"/>
    <s v="Electricity 2022 RIGID TRUCK - TYPICAL Electric 290 kW URBAN DELIVERY 18196.8 kg 89.5 kWh /100km 48%"/>
    <n v="0"/>
    <x v="0"/>
    <x v="1"/>
    <x v="0"/>
    <s v="Electricity km/kWh"/>
    <n v="380500"/>
    <n v="197500"/>
    <n v="99000"/>
    <n v="84000"/>
    <n v="18196.8"/>
    <n v="7796.8"/>
    <n v="0"/>
    <n v="0.4132817956312369"/>
    <s v=""/>
    <m/>
  </r>
  <r>
    <s v="2022 RIGID TRUCK - TYPICAL"/>
    <s v="REGIONAL DELIVERY"/>
    <s v="Electric 290 kW"/>
    <x v="1"/>
    <n v="3.4908199112400422"/>
    <n v="2.2336827516555786"/>
    <n v="0.63987338460611354"/>
    <n v="1.0312763452529907"/>
    <s v="km/kWh"/>
    <s v="Electricity 2022 RIGID TRUCK - TYPICAL Electric 290 kW REGIONAL DELIVERY 18196.8 kg 97.0 kWh /100km 64%"/>
    <n v="0"/>
    <x v="0"/>
    <x v="1"/>
    <x v="0"/>
    <s v="Electricity km/kWh"/>
    <n v="380500"/>
    <n v="197500"/>
    <n v="99000"/>
    <n v="84000"/>
    <n v="18196.8"/>
    <n v="7796.8"/>
    <n v="0"/>
    <n v="0.44772469618818517"/>
    <s v=""/>
    <m/>
  </r>
  <r>
    <s v="2022 RIGID TRUCK - TYPICAL"/>
    <s v="LONG HAUL"/>
    <s v="Electric 290 kW"/>
    <x v="1"/>
    <n v="3.6577556918915928"/>
    <n v="2.6745550036430359"/>
    <n v="0.73120110497590429"/>
    <n v="0.98421007394790649"/>
    <s v="km/kWh"/>
    <s v="Electricity 2022 RIGID TRUCK - TYPICAL Electric 290 kW LONG HAUL 18196.8 kg 101.6 kWh /100km 73%"/>
    <n v="0"/>
    <x v="0"/>
    <x v="1"/>
    <x v="0"/>
    <s v="Electricity km/kWh"/>
    <n v="380500"/>
    <n v="197500"/>
    <n v="99000"/>
    <n v="84000"/>
    <n v="18196.8"/>
    <n v="7796.8"/>
    <n v="0"/>
    <n v="0.46913550326949427"/>
    <s v=""/>
    <m/>
  </r>
  <r>
    <s v="2022 RIGID TRUCK - FULL"/>
    <s v="URBAN DELIVERY"/>
    <s v="Electric 290 kW"/>
    <x v="1"/>
    <n v="4.8595668967126429"/>
    <n v="1.9996832609176636"/>
    <n v="0.41149413176519739"/>
    <n v="0.74080675840377808"/>
    <s v="km/kWh"/>
    <s v="Electricity 2022 RIGID TRUCK - FULL Electric 290 kW URBAN DELIVERY 28000 kg 135.0 kWh /100km 41%"/>
    <n v="0"/>
    <x v="0"/>
    <x v="2"/>
    <x v="0"/>
    <s v="Electricity km/kWh"/>
    <n v="380500"/>
    <n v="197500"/>
    <n v="99000"/>
    <n v="84000"/>
    <n v="28000"/>
    <n v="17600"/>
    <n v="0"/>
    <n v="0.27611175549503653"/>
    <s v=""/>
    <m/>
  </r>
  <r>
    <s v="2022 RIGID TRUCK - FULL"/>
    <s v="REGIONAL DELIVERY"/>
    <s v="Electric 290 kW"/>
    <x v="1"/>
    <n v="4.45613997706044"/>
    <n v="2.7101609706878662"/>
    <n v="0.60818578066204843"/>
    <n v="0.80787408351898193"/>
    <s v="km/kWh"/>
    <s v="Electricity 2022 RIGID TRUCK - FULL Electric 290 kW REGIONAL DELIVERY 28000 kg 123.8 kWh /100km 61%"/>
    <n v="0"/>
    <x v="0"/>
    <x v="2"/>
    <x v="0"/>
    <s v="Electricity km/kWh"/>
    <n v="380500"/>
    <n v="197500"/>
    <n v="99000"/>
    <n v="84000"/>
    <n v="28000"/>
    <n v="17600"/>
    <n v="0"/>
    <n v="0.25318977142388865"/>
    <s v=""/>
    <m/>
  </r>
  <r>
    <s v="2022 RIGID TRUCK - FULL"/>
    <s v="LONG HAUL"/>
    <s v="Electric 290 kW"/>
    <x v="1"/>
    <n v="4.2862612707075405"/>
    <n v="3.1553997993469238"/>
    <n v="0.73616599643867642"/>
    <n v="0.83989280462265015"/>
    <s v="km/kWh"/>
    <s v="Electricity 2022 RIGID TRUCK - FULL Electric 290 kW LONG HAUL 28000 kg 119.1 kWh /100km 74%"/>
    <n v="0"/>
    <x v="0"/>
    <x v="2"/>
    <x v="0"/>
    <s v="Electricity km/kWh"/>
    <n v="380500"/>
    <n v="197500"/>
    <n v="99000"/>
    <n v="84000"/>
    <n v="28000"/>
    <n v="17600"/>
    <n v="0"/>
    <n v="0.24353757219929206"/>
    <s v=""/>
    <m/>
  </r>
  <r>
    <s v="2022 TRUCK WITH TRAILER - EMPTY"/>
    <s v="URBAN DELIVERY"/>
    <s v="Electric 290 kW"/>
    <x v="1"/>
    <n v="2.9132879803456451"/>
    <n v="1.5368446111679077"/>
    <n v="0.5275292458336267"/>
    <n v="1.2357171773910522"/>
    <s v="km/kWh"/>
    <s v="Electricity 2022 TRUCK WITH TRAILER - EMPTY Electric 290 kW URBAN DELIVERY 15196.73931275 kg 80.9 kWh /100km 53%"/>
    <n v="0"/>
    <x v="0"/>
    <x v="0"/>
    <x v="1"/>
    <s v="Electricity km/kWh"/>
    <n v="405300.5319148936"/>
    <n v="123300.5319148936"/>
    <n v="147000"/>
    <n v="135000"/>
    <n v="15196.73931275"/>
    <n v="0"/>
    <n v="0"/>
    <e v="#N/A"/>
    <s v=""/>
    <m/>
  </r>
  <r>
    <s v="2022 TRUCK WITH TRAILER - EMPTY"/>
    <s v="REGIONAL DELIVERY"/>
    <s v="Electric 290 kW"/>
    <x v="1"/>
    <n v="3.5467547575377227"/>
    <n v="2.3646531701087952"/>
    <n v="0.66670895840298172"/>
    <n v="1.0150123834609985"/>
    <s v="km/kWh"/>
    <s v="Electricity 2022 TRUCK WITH TRAILER - EMPTY Electric 290 kW REGIONAL DELIVERY 15196.73931275 kg 98.5 kWh /100km 67%"/>
    <n v="0"/>
    <x v="0"/>
    <x v="0"/>
    <x v="1"/>
    <s v="Electricity km/kWh"/>
    <n v="405300.5319148936"/>
    <n v="123300.5319148936"/>
    <n v="147000"/>
    <n v="135000"/>
    <n v="15196.73931275"/>
    <n v="0"/>
    <n v="0"/>
    <e v="#N/A"/>
    <s v=""/>
    <m/>
  </r>
  <r>
    <s v="2022 TRUCK WITH TRAILER - EMPTY"/>
    <s v="LONG HAUL"/>
    <s v="Electric 290 kW"/>
    <x v="1"/>
    <n v="3.9179894280802365"/>
    <n v="2.8960788249969482"/>
    <n v="0.73917474208601652"/>
    <n v="0.91883862018585205"/>
    <s v="km/kWh"/>
    <s v="Electricity 2022 TRUCK WITH TRAILER - EMPTY Electric 290 kW LONG HAUL 15196.73931275 kg 108.8 kWh /100km 74%"/>
    <n v="0"/>
    <x v="0"/>
    <x v="0"/>
    <x v="1"/>
    <s v="Electricity km/kWh"/>
    <n v="405300.5319148936"/>
    <n v="123300.5319148936"/>
    <n v="147000"/>
    <n v="135000"/>
    <n v="15196.73931275"/>
    <n v="0"/>
    <n v="0"/>
    <e v="#N/A"/>
    <s v=""/>
    <m/>
  </r>
  <r>
    <s v="2022 TRUCK WITH TRAILER - TYPICAL"/>
    <s v="URBAN DELIVERY"/>
    <s v="Electric 290 kW"/>
    <x v="1"/>
    <n v="6.9348528671180283"/>
    <n v="2.6430374979972839"/>
    <n v="0.38112380300516341"/>
    <n v="0.51911699771881104"/>
    <s v="km/kWh"/>
    <s v="Electricity 2022 TRUCK WITH TRAILER - TYPICAL Electric 290 kW URBAN DELIVERY 39380.5816010463 kg 192.6 kWh /100km 38%"/>
    <n v="0"/>
    <x v="0"/>
    <x v="1"/>
    <x v="1"/>
    <s v="Electricity km/kWh"/>
    <n v="405300.5319148936"/>
    <n v="123300.5319148936"/>
    <n v="147000"/>
    <n v="135000"/>
    <n v="39380.581601046251"/>
    <n v="24183.842288296251"/>
    <n v="0"/>
    <n v="0.28675562735017268"/>
    <s v=""/>
    <m/>
  </r>
  <r>
    <s v="2022 TRUCK WITH TRAILER - TYPICAL"/>
    <s v="REGIONAL DELIVERY"/>
    <s v="Electric 290 kW"/>
    <x v="1"/>
    <n v="5.9467290713418715"/>
    <n v="3.5328643321990967"/>
    <n v="0.59408530131706683"/>
    <n v="0.60537481307983398"/>
    <s v="km/kWh"/>
    <s v="Electricity 2022 TRUCK WITH TRAILER - TYPICAL Electric 290 kW REGIONAL DELIVERY 39380.5816010463 kg 165.2 kWh /100km 59%"/>
    <n v="0"/>
    <x v="0"/>
    <x v="1"/>
    <x v="1"/>
    <s v="Electricity km/kWh"/>
    <n v="405300.5319148936"/>
    <n v="123300.5319148936"/>
    <n v="147000"/>
    <n v="135000"/>
    <n v="39380.581601046251"/>
    <n v="24183.842288296251"/>
    <n v="0"/>
    <n v="0.2458967851531097"/>
    <s v=""/>
    <m/>
  </r>
  <r>
    <s v="2022 TRUCK WITH TRAILER - TYPICAL"/>
    <s v="LONG HAUL"/>
    <s v="Electric 290 kW"/>
    <x v="1"/>
    <n v="5.4654050086684771"/>
    <n v="4.0819934606552124"/>
    <n v="0.74687849375863513"/>
    <n v="0.65868860483169556"/>
    <s v="km/kWh"/>
    <s v="Electricity 2022 TRUCK WITH TRAILER - TYPICAL Electric 290 kW LONG HAUL 39380.5816010463 kg 151.8 kWh /100km 75%"/>
    <n v="0"/>
    <x v="0"/>
    <x v="1"/>
    <x v="1"/>
    <s v="Electricity km/kWh"/>
    <n v="405300.5319148936"/>
    <n v="123300.5319148936"/>
    <n v="147000"/>
    <n v="135000"/>
    <n v="39380.581601046251"/>
    <n v="24183.842288296251"/>
    <n v="0"/>
    <n v="0.22599407255121964"/>
    <s v=""/>
    <m/>
  </r>
  <r>
    <s v="2022 TRUCK WITH TRAILER - FULL"/>
    <s v="URBAN DELIVERY"/>
    <s v="Electric 290 kW"/>
    <x v="1"/>
    <n v="9.8002614842749622"/>
    <n v="3.4799278974533081"/>
    <n v="0.35508520900560014"/>
    <n v="0.36733713746070862"/>
    <s v="km/kWh"/>
    <s v="Electricity 2022 TRUCK WITH TRAILER - FULL Electric 290 kW URBAN DELIVERY 58000 kg 272.2 kWh /100km 36%"/>
    <n v="0"/>
    <x v="0"/>
    <x v="2"/>
    <x v="1"/>
    <s v="Electricity km/kWh"/>
    <n v="405300.5319148936"/>
    <n v="123300.5319148936"/>
    <n v="147000"/>
    <n v="135000"/>
    <n v="58000"/>
    <n v="42803.260687250004"/>
    <n v="0"/>
    <n v="0.22896062886148788"/>
    <s v=""/>
    <m/>
  </r>
  <r>
    <s v="2022 TRUCK WITH TRAILER - FULL"/>
    <s v="REGIONAL DELIVERY"/>
    <s v="Electric 290 kW"/>
    <x v="1"/>
    <n v="7.7755181159546236"/>
    <n v="4.4148313999176025"/>
    <n v="0.56778613773129649"/>
    <n v="0.46299165487289429"/>
    <s v="km/kWh"/>
    <s v="Electricity 2022 TRUCK WITH TRAILER - FULL Electric 290 kW REGIONAL DELIVERY 58000 kg 216.0 kWh /100km 57%"/>
    <n v="0"/>
    <x v="0"/>
    <x v="2"/>
    <x v="1"/>
    <s v="Electricity km/kWh"/>
    <n v="405300.5319148936"/>
    <n v="123300.5319148936"/>
    <n v="147000"/>
    <n v="135000"/>
    <n v="58000"/>
    <n v="42803.260687250004"/>
    <n v="0"/>
    <n v="0.18165714459858315"/>
    <s v=""/>
    <m/>
  </r>
  <r>
    <s v="2022 TRUCK WITH TRAILER - FULL"/>
    <s v="LONG HAUL"/>
    <s v="Electric 290 kW"/>
    <x v="1"/>
    <n v="6.6682746431911992"/>
    <n v="4.9936258792877197"/>
    <n v="0.74886325871214388"/>
    <n v="0.53986978530883789"/>
    <s v="km/kWh"/>
    <s v="Electricity 2022 TRUCK WITH TRAILER - FULL Electric 290 kW LONG HAUL 58000 kg 185.2 kWh /100km 75%"/>
    <n v="0"/>
    <x v="0"/>
    <x v="2"/>
    <x v="1"/>
    <s v="Electricity km/kWh"/>
    <n v="405300.5319148936"/>
    <n v="123300.5319148936"/>
    <n v="147000"/>
    <n v="135000"/>
    <n v="58000"/>
    <n v="42803.260687250004"/>
    <n v="0"/>
    <n v="0.15578894075183172"/>
    <s v=""/>
    <m/>
  </r>
  <r>
    <s v="2022 SEMI TRUCK - EMPTY"/>
    <s v="URBAN DELIVERY"/>
    <s v="Electric 290 kW"/>
    <x v="1"/>
    <n v="2.9056210929753874"/>
    <n v="1.4625987410545349"/>
    <n v="0.50336870990870253"/>
    <n v="1.2389777898788452"/>
    <s v="km/kWh"/>
    <s v="Electricity 2022 SEMI TRUCK - EMPTY Electric 290 kW URBAN DELIVERY 16000 kg 80.7 kWh /100km 50%"/>
    <n v="0"/>
    <x v="0"/>
    <x v="0"/>
    <x v="2"/>
    <s v="Electricity km/kWh"/>
    <n v="365406.91489361704"/>
    <n v="95406.914893617039"/>
    <n v="120000"/>
    <n v="150000"/>
    <n v="16000"/>
    <n v="0"/>
    <n v="0"/>
    <e v="#N/A"/>
    <s v=""/>
    <m/>
  </r>
  <r>
    <s v="2022 SEMI TRUCK - EMPTY"/>
    <s v="REGIONAL DELIVERY"/>
    <s v="Electric 290 kW"/>
    <x v="1"/>
    <n v="3.3435635188176409"/>
    <n v="2.1726433038711548"/>
    <n v="0.64979872272306949"/>
    <n v="1.0766955614089966"/>
    <s v="km/kWh"/>
    <s v="Electricity 2022 SEMI TRUCK - EMPTY Electric 290 kW REGIONAL DELIVERY 16000 kg 92.9 kWh /100km 65%"/>
    <n v="0"/>
    <x v="0"/>
    <x v="0"/>
    <x v="2"/>
    <s v="Electricity km/kWh"/>
    <n v="365406.91489361704"/>
    <n v="95406.914893617039"/>
    <n v="120000"/>
    <n v="150000"/>
    <n v="16000"/>
    <n v="0"/>
    <n v="0"/>
    <e v="#N/A"/>
    <s v=""/>
    <m/>
  </r>
  <r>
    <s v="2022 SEMI TRUCK - EMPTY"/>
    <s v="LONG HAUL"/>
    <s v="Electric 290 kW"/>
    <x v="1"/>
    <n v="3.5955710130598608"/>
    <n v="2.6282345652580261"/>
    <n v="0.73096444367577007"/>
    <n v="1.0012317895889282"/>
    <s v="km/kWh"/>
    <s v="Electricity 2022 SEMI TRUCK - EMPTY Electric 290 kW LONG HAUL 16000 kg 99.9 kWh /100km 73%"/>
    <n v="0"/>
    <x v="0"/>
    <x v="0"/>
    <x v="2"/>
    <s v="Electricity km/kWh"/>
    <n v="365406.91489361704"/>
    <n v="95406.914893617039"/>
    <n v="120000"/>
    <n v="150000"/>
    <n v="16000"/>
    <n v="0"/>
    <n v="0"/>
    <e v="#N/A"/>
    <s v=""/>
    <m/>
  </r>
  <r>
    <s v="2022 SEMI TRUCK - TYPICAL"/>
    <s v="URBAN DELIVERY"/>
    <s v="Electric 290 kW"/>
    <x v="1"/>
    <n v="6.3160147707669996"/>
    <n v="2.4032187461853027"/>
    <n v="0.38049606174265843"/>
    <n v="0.56997966766357422"/>
    <s v="km/kWh"/>
    <s v="Electricity 2022 SEMI TRUCK - TYPICAL Electric 290 kW URBAN DELIVERY 36340 kg 175.4 kWh /100km 38%"/>
    <n v="0"/>
    <x v="0"/>
    <x v="1"/>
    <x v="2"/>
    <s v="Electricity km/kWh"/>
    <n v="365406.91489361704"/>
    <n v="95406.914893617039"/>
    <n v="120000"/>
    <n v="150000"/>
    <n v="36340"/>
    <n v="20339.999999999996"/>
    <n v="0"/>
    <n v="0.31052186680270405"/>
    <s v=""/>
    <m/>
  </r>
  <r>
    <s v="2022 SEMI TRUCK - TYPICAL"/>
    <s v="REGIONAL DELIVERY"/>
    <s v="Electric 290 kW"/>
    <x v="1"/>
    <n v="5.3698694891313847"/>
    <n v="3.1590157747268677"/>
    <n v="0.58828539150173298"/>
    <n v="0.67040735483169556"/>
    <s v="km/kWh"/>
    <s v="Electricity 2022 SEMI TRUCK - TYPICAL Electric 290 kW REGIONAL DELIVERY 36340 kg 149.2 kWh /100km 59%"/>
    <n v="0"/>
    <x v="0"/>
    <x v="1"/>
    <x v="2"/>
    <s v="Electricity km/kWh"/>
    <n v="365406.91489361704"/>
    <n v="95406.914893617039"/>
    <n v="120000"/>
    <n v="150000"/>
    <n v="36340"/>
    <n v="20339.999999999996"/>
    <n v="0"/>
    <n v="0.26400538294647913"/>
    <s v=""/>
    <m/>
  </r>
  <r>
    <s v="2022 SEMI TRUCK - TYPICAL"/>
    <s v="LONG HAUL"/>
    <s v="Electric 290 kW"/>
    <x v="1"/>
    <n v="4.9054963947861276"/>
    <n v="3.6258132457733154"/>
    <n v="0.73913279186731429"/>
    <n v="0.73387068510055542"/>
    <s v="km/kWh"/>
    <s v="Electricity 2022 SEMI TRUCK - TYPICAL Electric 290 kW LONG HAUL 36340 kg 136.3 kWh /100km 74%"/>
    <n v="0"/>
    <x v="0"/>
    <x v="1"/>
    <x v="2"/>
    <s v="Electricity km/kWh"/>
    <n v="365406.91489361704"/>
    <n v="95406.914893617039"/>
    <n v="120000"/>
    <n v="150000"/>
    <n v="36340"/>
    <n v="20339.999999999996"/>
    <n v="0"/>
    <n v="0.24117484733461791"/>
    <s v=""/>
    <m/>
  </r>
  <r>
    <s v="2022 SEMI TRUCK - FULL"/>
    <s v="URBAN DELIVERY"/>
    <s v="Electric 290 kW"/>
    <x v="1"/>
    <n v="8.8718685368330021"/>
    <n v="3.1176701784133911"/>
    <n v="0.3514107727667376"/>
    <n v="0.4057769775390625"/>
    <s v="km/kWh"/>
    <s v="Electricity 2022 SEMI TRUCK - FULL Electric 290 kW URBAN DELIVERY 52000 kg 246.4 kWh /100km 35%"/>
    <n v="0"/>
    <x v="0"/>
    <x v="2"/>
    <x v="2"/>
    <s v="Electricity km/kWh"/>
    <n v="365406.91489361704"/>
    <n v="95406.914893617039"/>
    <n v="120000"/>
    <n v="150000"/>
    <n v="52000"/>
    <n v="36000"/>
    <n v="0"/>
    <n v="0.24644079268980562"/>
    <s v=""/>
    <m/>
  </r>
  <r>
    <s v="2022 SEMI TRUCK - FULL"/>
    <s v="REGIONAL DELIVERY"/>
    <s v="Electric 290 kW"/>
    <x v="1"/>
    <n v="6.944514529411177"/>
    <n v="3.9069341421127319"/>
    <n v="0.56259283864497867"/>
    <n v="0.51839476823806763"/>
    <s v="km/kWh"/>
    <s v="Electricity 2022 SEMI TRUCK - FULL Electric 290 kW REGIONAL DELIVERY 52000 kg 192.9 kWh /100km 56%"/>
    <n v="0"/>
    <x v="0"/>
    <x v="2"/>
    <x v="2"/>
    <s v="Electricity km/kWh"/>
    <n v="365406.91489361704"/>
    <n v="95406.914893617039"/>
    <n v="120000"/>
    <n v="150000"/>
    <n v="52000"/>
    <n v="36000"/>
    <n v="0"/>
    <n v="0.19290318137253268"/>
    <s v=""/>
    <m/>
  </r>
  <r>
    <s v="2022 SEMI TRUCK - FULL"/>
    <s v="LONG HAUL"/>
    <s v="Electric 290 kW"/>
    <x v="1"/>
    <n v="5.9233459630359064"/>
    <n v="4.3930422067642212"/>
    <n v="0.74164876307725325"/>
    <n v="0.6077646017074585"/>
    <s v="km/kWh"/>
    <s v="Electricity 2022 SEMI TRUCK - FULL Electric 290 kW LONG HAUL 52000 kg 164.5 kWh /100km 74%"/>
    <n v="0"/>
    <x v="0"/>
    <x v="2"/>
    <x v="2"/>
    <s v="Electricity km/kWh"/>
    <n v="365406.91489361704"/>
    <n v="95406.914893617039"/>
    <n v="120000"/>
    <n v="150000"/>
    <n v="52000"/>
    <n v="36000"/>
    <n v="0"/>
    <n v="0.1645373878621085"/>
    <s v=""/>
    <m/>
  </r>
  <r>
    <s v="2022 CITY BUS - EMPTY"/>
    <s v="CITY ROUTE"/>
    <s v="Electric 290 kW"/>
    <x v="1"/>
    <n v="3.4921613155018991"/>
    <n v="1.2054142355918884"/>
    <n v="0.3451771343554455"/>
    <n v="1.0308802127838135"/>
    <s v="km/kWh"/>
    <s v="Electricity 2022 CITY BUS - EMPTY Electric 290 kW CITY ROUTE 12550 kg 97.0 kWh /100km 35%"/>
    <n v="0"/>
    <x v="0"/>
    <x v="0"/>
    <x v="3"/>
    <s v="Electricity km/kWh"/>
    <n v="460000"/>
    <n v="270000"/>
    <n v="90000"/>
    <n v="100000"/>
    <n v="12550"/>
    <n v="0"/>
    <n v="0"/>
    <e v="#N/A"/>
    <s v=""/>
    <m/>
  </r>
  <r>
    <s v="2022 CITY BUS - EMPTY"/>
    <s v="RURAL ROUTE"/>
    <s v="Electric 290 kW"/>
    <x v="1"/>
    <n v="3.1750432403852109"/>
    <n v="2.1193692684173584"/>
    <n v="0.66750878900163479"/>
    <n v="1.1338428258895874"/>
    <s v="km/kWh"/>
    <s v="Electricity 2022 CITY BUS - EMPTY Electric 290 kW RURAL ROUTE 12550 kg 88.2 kWh /100km 67%"/>
    <n v="0"/>
    <x v="0"/>
    <x v="0"/>
    <x v="3"/>
    <s v="Electricity km/kWh"/>
    <n v="460000"/>
    <n v="270000"/>
    <n v="90000"/>
    <n v="100000"/>
    <n v="12550"/>
    <n v="0"/>
    <n v="0"/>
    <e v="#N/A"/>
    <s v=""/>
    <m/>
  </r>
  <r>
    <s v="2022 CITY BUS - EMPTY"/>
    <s v="MOTORWAY"/>
    <s v="Electric 290 kW"/>
    <x v="1"/>
    <n v="3.5745483164319793"/>
    <n v="2.6126183271408081"/>
    <n v="0.73089467419722987"/>
    <n v="1.0071202516555786"/>
    <s v="km/kWh"/>
    <s v="Electricity 2022 CITY BUS - EMPTY Electric 290 kW MOTORWAY 12550 kg 99.3 kWh /100km 73%"/>
    <n v="0"/>
    <x v="0"/>
    <x v="0"/>
    <x v="3"/>
    <s v="Electricity km/kWh"/>
    <n v="460000"/>
    <n v="270000"/>
    <n v="90000"/>
    <n v="100000"/>
    <n v="12550"/>
    <n v="0"/>
    <n v="0"/>
    <e v="#N/A"/>
    <s v=""/>
    <m/>
  </r>
  <r>
    <s v="2022 CITY BUS - TYPICAL"/>
    <s v="CITY ROUTE"/>
    <s v="Electric 290 kW"/>
    <x v="1"/>
    <n v="3.6424586188673254"/>
    <n v="1.2326709032058716"/>
    <n v="0.33841727036261793"/>
    <n v="0.98834341764450073"/>
    <s v="km/kWh"/>
    <s v="Electricity 2022 CITY BUS - TYPICAL Electric 290 kW CITY ROUTE 13124 kg 101.2 kWh /100km 34%"/>
    <n v="0"/>
    <x v="0"/>
    <x v="1"/>
    <x v="3"/>
    <s v="Electricity km/kWh"/>
    <n v="460000"/>
    <n v="270000"/>
    <n v="90000"/>
    <n v="100000"/>
    <n v="13124"/>
    <n v="574"/>
    <n v="8.1999999999999993"/>
    <n v="6.3457467227653757"/>
    <n v="0.44420227059357631"/>
    <m/>
  </r>
  <r>
    <s v="2022 CITY BUS - TYPICAL"/>
    <s v="RURAL ROUTE"/>
    <s v="Electric 290 kW"/>
    <x v="1"/>
    <n v="3.2250804321410746"/>
    <n v="2.1475023031234741"/>
    <n v="0.66587557994570223"/>
    <n v="1.1162512302398682"/>
    <s v="km/kWh"/>
    <s v="Electricity 2022 CITY BUS - TYPICAL Electric 290 kW RURAL ROUTE 13124 kg 89.6 kWh /100km 67%"/>
    <n v="0"/>
    <x v="0"/>
    <x v="1"/>
    <x v="3"/>
    <s v="Electricity km/kWh"/>
    <n v="460000"/>
    <n v="270000"/>
    <n v="90000"/>
    <n v="100000"/>
    <n v="13124"/>
    <n v="574"/>
    <n v="8.1999999999999993"/>
    <n v="5.6186070246360185"/>
    <n v="0.39330249172452131"/>
    <m/>
  </r>
  <r>
    <s v="2022 CITY BUS - TYPICAL"/>
    <s v="MOTORWAY"/>
    <s v="Electric 290 kW"/>
    <x v="1"/>
    <n v="3.6085744751364777"/>
    <n v="2.6407755613327026"/>
    <n v="0.73180575308282292"/>
    <n v="0.99762386083602905"/>
    <s v="km/kWh"/>
    <s v="Electricity 2022 CITY BUS - TYPICAL Electric 290 kW MOTORWAY 13124 kg 100.2 kWh /100km 73%"/>
    <n v="0"/>
    <x v="0"/>
    <x v="1"/>
    <x v="3"/>
    <s v="Electricity km/kWh"/>
    <n v="460000"/>
    <n v="270000"/>
    <n v="90000"/>
    <n v="100000"/>
    <n v="13124"/>
    <n v="574"/>
    <n v="8.1999999999999993"/>
    <n v="6.2867151134781842"/>
    <n v="0.44007005794347293"/>
    <m/>
  </r>
  <r>
    <s v="2022 CITY BUS - FULL"/>
    <s v="CITY ROUTE"/>
    <s v="Electric 290 kW"/>
    <x v="1"/>
    <n v="4.9683873793799265"/>
    <n v="1.4611959457397461"/>
    <n v="0.29409863486170212"/>
    <n v="0.72458118200302124"/>
    <s v="km/kWh"/>
    <s v="Electricity 2022 CITY BUS - FULL Electric 290 kW CITY ROUTE 18000 kg 138.0 kWh /100km 29%"/>
    <n v="0"/>
    <x v="0"/>
    <x v="2"/>
    <x v="3"/>
    <s v="Electricity km/kWh"/>
    <n v="460000"/>
    <n v="270000"/>
    <n v="90000"/>
    <n v="100000"/>
    <n v="18000"/>
    <n v="5450"/>
    <n v="63"/>
    <n v="0.91163071181283051"/>
    <n v="7.8863291736189306E-2"/>
    <m/>
  </r>
  <r>
    <s v="2022 CITY BUS - FULL"/>
    <s v="RURAL ROUTE"/>
    <s v="Electric 290 kW"/>
    <x v="1"/>
    <n v="3.6643303715573405"/>
    <n v="2.3858749866485596"/>
    <n v="0.65110804559758151"/>
    <n v="0.982444167137146"/>
    <s v="km/kWh"/>
    <s v="Electricity 2022 CITY BUS - FULL Electric 290 kW RURAL ROUTE 18000 kg 101.8 kWh /100km 65%"/>
    <n v="0"/>
    <x v="0"/>
    <x v="2"/>
    <x v="3"/>
    <s v="Electricity km/kWh"/>
    <n v="460000"/>
    <n v="270000"/>
    <n v="90000"/>
    <n v="100000"/>
    <n v="18000"/>
    <n v="5450"/>
    <n v="63"/>
    <n v="0.6723541966160258"/>
    <n v="5.8163974151703816E-2"/>
    <m/>
  </r>
  <r>
    <s v="2022 CITY BUS - FULL"/>
    <s v="MOTORWAY"/>
    <s v="Electric 290 kW"/>
    <x v="1"/>
    <n v="3.9032230392481573"/>
    <n v="2.8799553513526917"/>
    <n v="0.73784032385385578"/>
    <n v="0.92231470346450806"/>
    <s v="km/kWh"/>
    <s v="Electricity 2022 CITY BUS - FULL Electric 290 kW MOTORWAY 18000 kg 108.4 kWh /100km 74%"/>
    <n v="0"/>
    <x v="0"/>
    <x v="2"/>
    <x v="3"/>
    <s v="Electricity km/kWh"/>
    <n v="460000"/>
    <n v="270000"/>
    <n v="90000"/>
    <n v="100000"/>
    <n v="18000"/>
    <n v="5450"/>
    <n v="63"/>
    <n v="0.71618771362351508"/>
    <n v="6.1955921257907255E-2"/>
    <m/>
  </r>
  <r>
    <s v="2022 TOURIST BUS - EMPTY"/>
    <s v="CITY ROUTE"/>
    <s v="Electric 290 kW"/>
    <x v="1"/>
    <n v="3.6385272941155633"/>
    <n v="1.1599404811859131"/>
    <n v="0.31879394805195932"/>
    <n v="0.98941129446029663"/>
    <s v="km/kWh"/>
    <s v="Electricity 2022 TOURIST BUS - EMPTY Electric 290 kW CITY ROUTE 13500 kg 101.1 kWh /100km 32%"/>
    <n v="0"/>
    <x v="0"/>
    <x v="0"/>
    <x v="4"/>
    <s v="Electricity km/kWh"/>
    <n v="550500"/>
    <n v="375500"/>
    <n v="75000"/>
    <n v="100000"/>
    <n v="13500"/>
    <n v="0"/>
    <n v="0"/>
    <e v="#N/A"/>
    <s v=""/>
    <m/>
  </r>
  <r>
    <s v="2022 TOURIST BUS - EMPTY"/>
    <s v="RURAL ROUTE"/>
    <s v="Electric 290 kW"/>
    <x v="1"/>
    <n v="2.9813044038400882"/>
    <n v="1.9345880746841431"/>
    <n v="0.64890659007925677"/>
    <n v="1.2075251340866089"/>
    <s v="km/kWh"/>
    <s v="Electricity 2022 TOURIST BUS - EMPTY Electric 290 kW RURAL ROUTE 13500 kg 82.8 kWh /100km 65%"/>
    <n v="0"/>
    <x v="0"/>
    <x v="0"/>
    <x v="4"/>
    <s v="Electricity km/kWh"/>
    <n v="550500"/>
    <n v="375500"/>
    <n v="75000"/>
    <n v="100000"/>
    <n v="13500"/>
    <n v="0"/>
    <n v="0"/>
    <e v="#N/A"/>
    <s v=""/>
    <m/>
  </r>
  <r>
    <s v="2022 TOURIST BUS - EMPTY"/>
    <s v="MOTORWAY"/>
    <s v="Electric 290 kW"/>
    <x v="1"/>
    <n v="3.25859697380583"/>
    <n v="2.351988673210144"/>
    <n v="0.72177955485644907"/>
    <n v="1.1047699451446533"/>
    <s v="km/kWh"/>
    <s v="Electricity 2022 TOURIST BUS - EMPTY Electric 290 kW MOTORWAY 13500 kg 90.5 kWh /100km 72%"/>
    <n v="0"/>
    <x v="0"/>
    <x v="0"/>
    <x v="4"/>
    <s v="Electricity km/kWh"/>
    <n v="550500"/>
    <n v="375500"/>
    <n v="75000"/>
    <n v="100000"/>
    <n v="13500"/>
    <n v="0"/>
    <n v="0"/>
    <e v="#N/A"/>
    <s v=""/>
    <m/>
  </r>
  <r>
    <s v="2022 TOURIST BUS - TYPICAL"/>
    <s v="CITY ROUTE"/>
    <s v="Electric 290 kW"/>
    <x v="1"/>
    <n v="3.9612657612335327"/>
    <n v="1.2173406183719635"/>
    <n v="0.30731101919122067"/>
    <n v="0.90880042314529419"/>
    <s v="km/kWh"/>
    <s v="Electricity 2022 TOURIST BUS - TYPICAL Electric 290 kW CITY ROUTE 14711 kg 110.0 kWh /100km 31%"/>
    <n v="0"/>
    <x v="0"/>
    <x v="1"/>
    <x v="4"/>
    <s v="Electricity km/kWh"/>
    <n v="550500"/>
    <n v="375500"/>
    <n v="75000"/>
    <n v="100000"/>
    <n v="14711"/>
    <n v="1211"/>
    <n v="17.3"/>
    <n v="3.2710699927609683"/>
    <n v="0.22897489949326777"/>
    <m/>
  </r>
  <r>
    <s v="2022 TOURIST BUS - TYPICAL"/>
    <s v="RURAL ROUTE"/>
    <s v="Electric 290 kW"/>
    <x v="1"/>
    <n v="3.0890598407751142"/>
    <n v="1.9939061403274536"/>
    <n v="0.64547345894961294"/>
    <n v="1.1654031276702881"/>
    <s v="km/kWh"/>
    <s v="Electricity 2022 TOURIST BUS - TYPICAL Electric 290 kW RURAL ROUTE 14711 kg 85.8 kWh /100km 65%"/>
    <n v="0"/>
    <x v="0"/>
    <x v="1"/>
    <x v="4"/>
    <s v="Electricity km/kWh"/>
    <n v="550500"/>
    <n v="375500"/>
    <n v="75000"/>
    <n v="100000"/>
    <n v="14711"/>
    <n v="1211"/>
    <n v="17.3"/>
    <n v="2.5508338899877079"/>
    <n v="0.17855837229913954"/>
    <m/>
  </r>
  <r>
    <s v="2022 TOURIST BUS - TYPICAL"/>
    <s v="MOTORWAY"/>
    <s v="Electric 290 kW"/>
    <x v="1"/>
    <n v="3.3314423786236032"/>
    <n v="2.4113911986351013"/>
    <n v="0.72382797736738158"/>
    <n v="1.0806130170822144"/>
    <s v="km/kWh"/>
    <s v="Electricity 2022 TOURIST BUS - TYPICAL Electric 290 kW MOTORWAY 14711 kg 92.5 kWh /100km 72%"/>
    <n v="0"/>
    <x v="0"/>
    <x v="1"/>
    <x v="4"/>
    <s v="Electricity km/kWh"/>
    <n v="550500"/>
    <n v="375500"/>
    <n v="75000"/>
    <n v="100000"/>
    <n v="14711"/>
    <n v="1211"/>
    <n v="17.3"/>
    <n v="2.7509846231408779"/>
    <n v="0.19256892361986144"/>
    <m/>
  </r>
  <r>
    <s v="2022 TOURIST BUS - FULL"/>
    <s v="CITY ROUTE"/>
    <s v="Electric 290 kW"/>
    <x v="1"/>
    <n v="4.8710049848824424"/>
    <n v="1.3721795082092285"/>
    <n v="0.28170357297270243"/>
    <n v="0.7390671968460083"/>
    <s v="km/kWh"/>
    <s v="Electricity 2022 TOURIST BUS - FULL Electric 290 kW CITY ROUTE 18000 kg 135.3 kWh /100km 28%"/>
    <n v="0"/>
    <x v="0"/>
    <x v="2"/>
    <x v="4"/>
    <s v="Electricity km/kWh"/>
    <n v="550500"/>
    <n v="375500"/>
    <n v="75000"/>
    <n v="100000"/>
    <n v="18000"/>
    <n v="4500"/>
    <n v="55"/>
    <n v="1.0824455521960983"/>
    <n v="8.8563726997862594E-2"/>
    <m/>
  </r>
  <r>
    <s v="2022 TOURIST BUS - FULL"/>
    <s v="RURAL ROUTE"/>
    <s v="Electric 290 kW"/>
    <x v="1"/>
    <n v="3.3901477659974306"/>
    <n v="2.1547120809555054"/>
    <n v="0.6355805792794279"/>
    <n v="1.0619006156921387"/>
    <s v="km/kWh"/>
    <s v="Electricity 2022 TOURIST BUS - FULL Electric 290 kW RURAL ROUTE 18000 kg 94.2 kWh /100km 64%"/>
    <n v="0"/>
    <x v="0"/>
    <x v="2"/>
    <x v="4"/>
    <s v="Electricity km/kWh"/>
    <n v="550500"/>
    <n v="375500"/>
    <n v="75000"/>
    <n v="100000"/>
    <n v="18000"/>
    <n v="4500"/>
    <n v="55"/>
    <n v="0.7533661702216512"/>
    <n v="6.1639050290862377E-2"/>
    <m/>
  </r>
  <r>
    <s v="2022 TOURIST BUS - FULL"/>
    <s v="MOTORWAY"/>
    <s v="Electric 290 kW"/>
    <x v="1"/>
    <n v="3.5347082872606137"/>
    <n v="2.572721540927887"/>
    <n v="0.72784550572396367"/>
    <n v="1.0184715986251831"/>
    <s v="km/kWh"/>
    <s v="Electricity 2022 TOURIST BUS - FULL Electric 290 kW MOTORWAY 18000 kg 98.2 kWh /100km 73%"/>
    <n v="0"/>
    <x v="0"/>
    <x v="2"/>
    <x v="4"/>
    <s v="Electricity km/kWh"/>
    <n v="550500"/>
    <n v="375500"/>
    <n v="75000"/>
    <n v="100000"/>
    <n v="18000"/>
    <n v="4500"/>
    <n v="55"/>
    <n v="0.78549073050235863"/>
    <n v="6.4267423404738427E-2"/>
    <m/>
  </r>
  <r>
    <s v="2022 RIGID TRUCK - EMPTY"/>
    <s v="URBAN DELIVERY"/>
    <s v="Fuel Cell 290 kW"/>
    <x v="2"/>
    <n v="5.1752755669458592"/>
    <n v="1.1398893892765045"/>
    <n v="0.22025675242433509"/>
    <n v="22.955299377441406"/>
    <s v="km/kg"/>
    <s v="Hydrogen 2022 RIGID TRUCK - EMPTY Fuel Cell 290 kW URBAN DELIVERY 9827 kg 4.4 kg /100km 22%"/>
    <n v="0"/>
    <x v="0"/>
    <x v="0"/>
    <x v="0"/>
    <s v="Hydrogen km/kg"/>
    <n v="330000"/>
    <n v="100150"/>
    <n v="105000"/>
    <n v="124850"/>
    <n v="9827"/>
    <n v="0"/>
    <n v="0"/>
    <e v="#N/A"/>
    <s v=""/>
    <m/>
  </r>
  <r>
    <s v="2022 RIGID TRUCK - EMPTY"/>
    <s v="REGIONAL DELIVERY"/>
    <s v="Fuel Cell 290 kW"/>
    <x v="2"/>
    <n v="6.1612324400850467"/>
    <n v="1.8238623142242432"/>
    <n v="0.29602231890460334"/>
    <n v="19.281856536865234"/>
    <s v="km/kg"/>
    <s v="Hydrogen 2022 RIGID TRUCK - EMPTY Fuel Cell 290 kW REGIONAL DELIVERY 9827 kg 5.2 kg /100km 30%"/>
    <n v="0"/>
    <x v="0"/>
    <x v="0"/>
    <x v="0"/>
    <s v="Hydrogen km/kg"/>
    <n v="330000"/>
    <n v="100150"/>
    <n v="105000"/>
    <n v="124850"/>
    <n v="9827"/>
    <n v="0"/>
    <n v="0"/>
    <e v="#N/A"/>
    <s v=""/>
    <m/>
  </r>
  <r>
    <s v="2022 RIGID TRUCK - EMPTY"/>
    <s v="LONG HAUL"/>
    <s v="Fuel Cell 290 kW"/>
    <x v="2"/>
    <n v="6.8650912350612101"/>
    <n v="2.263980358839035"/>
    <n v="0.32978153986890885"/>
    <n v="17.304941177368164"/>
    <s v="km/kg"/>
    <s v="Hydrogen 2022 RIGID TRUCK - EMPTY Fuel Cell 290 kW LONG HAUL 9827 kg 5.8 kg /100km 33%"/>
    <n v="0"/>
    <x v="0"/>
    <x v="0"/>
    <x v="0"/>
    <s v="Hydrogen km/kg"/>
    <n v="330000"/>
    <n v="100150"/>
    <n v="105000"/>
    <n v="124850"/>
    <n v="9827"/>
    <n v="0"/>
    <n v="0"/>
    <e v="#N/A"/>
    <s v=""/>
    <m/>
  </r>
  <r>
    <s v="2022 RIGID TRUCK - TYPICAL"/>
    <s v="URBAN DELIVERY"/>
    <s v="Fuel Cell 290 kW"/>
    <x v="2"/>
    <n v="8.8260064552628901"/>
    <n v="1.6339920163154602"/>
    <n v="0.18513378894495613"/>
    <n v="13.460221290588379"/>
    <s v="km/kg"/>
    <s v="Hydrogen 2022 RIGID TRUCK - TYPICAL Fuel Cell 290 kW URBAN DELIVERY 20094.745 kg 7.4 kg /100km 19%"/>
    <n v="0"/>
    <x v="0"/>
    <x v="1"/>
    <x v="0"/>
    <s v="Hydrogen km/kg"/>
    <n v="330000"/>
    <n v="100150"/>
    <n v="105000"/>
    <n v="124850"/>
    <n v="20094.744999999999"/>
    <n v="10267.744999999999"/>
    <n v="0"/>
    <n v="0.85958566903082334"/>
    <s v=""/>
    <m/>
  </r>
  <r>
    <s v="2022 RIGID TRUCK - TYPICAL"/>
    <s v="REGIONAL DELIVERY"/>
    <s v="Fuel Cell 290 kW"/>
    <x v="2"/>
    <n v="8.4096837434475518"/>
    <n v="2.3262148499488831"/>
    <n v="0.27661145423707106"/>
    <n v="14.126571655273438"/>
    <s v="km/kg"/>
    <s v="Hydrogen 2022 RIGID TRUCK - TYPICAL Fuel Cell 290 kW REGIONAL DELIVERY 20094.745 kg 7.1 kg /100km 28%"/>
    <n v="0"/>
    <x v="0"/>
    <x v="1"/>
    <x v="0"/>
    <s v="Hydrogen km/kg"/>
    <n v="330000"/>
    <n v="100150"/>
    <n v="105000"/>
    <n v="124850"/>
    <n v="20094.744999999999"/>
    <n v="10267.744999999999"/>
    <n v="0"/>
    <n v="0.81903901425751735"/>
    <s v=""/>
    <m/>
  </r>
  <r>
    <s v="2022 RIGID TRUCK - TYPICAL"/>
    <s v="LONG HAUL"/>
    <s v="Fuel Cell 290 kW"/>
    <x v="2"/>
    <n v="8.2853358910820472"/>
    <n v="2.7676565051078796"/>
    <n v="0.33404276440824293"/>
    <n v="14.33858585357666"/>
    <s v="km/kg"/>
    <s v="Hydrogen 2022 RIGID TRUCK - TYPICAL Fuel Cell 290 kW LONG HAUL 20094.745 kg 7.0 kg /100km 33%"/>
    <n v="0"/>
    <x v="0"/>
    <x v="1"/>
    <x v="0"/>
    <s v="Hydrogen km/kg"/>
    <n v="330000"/>
    <n v="100150"/>
    <n v="105000"/>
    <n v="124850"/>
    <n v="20094.744999999999"/>
    <n v="10267.744999999999"/>
    <n v="0"/>
    <n v="0.80692848245472082"/>
    <s v=""/>
    <m/>
  </r>
  <r>
    <s v="2022 RIGID TRUCK - FULL"/>
    <s v="URBAN DELIVERY"/>
    <s v="Fuel Cell 290 kW"/>
    <x v="2"/>
    <n v="11.846310788373062"/>
    <n v="1.9996832609176636"/>
    <n v="0.16880219476263583"/>
    <n v="10.028438568115234"/>
    <s v="km/kg"/>
    <s v="Hydrogen 2022 RIGID TRUCK - FULL Fuel Cell 290 kW URBAN DELIVERY 28000 kg 10.0 kg /100km 17%"/>
    <n v="0"/>
    <x v="0"/>
    <x v="2"/>
    <x v="0"/>
    <s v="Hydrogen km/kg"/>
    <n v="330000"/>
    <n v="100150"/>
    <n v="105000"/>
    <n v="124850"/>
    <n v="28000"/>
    <n v="18173"/>
    <n v="0"/>
    <n v="0.65186324703533061"/>
    <s v=""/>
    <m/>
  </r>
  <r>
    <s v="2022 RIGID TRUCK - FULL"/>
    <s v="REGIONAL DELIVERY"/>
    <s v="Fuel Cell 290 kW"/>
    <x v="2"/>
    <n v="10.287909132029821"/>
    <n v="2.7101609706878662"/>
    <n v="0.26343165903849181"/>
    <n v="11.54753589630127"/>
    <s v="km/kg"/>
    <s v="Hydrogen 2022 RIGID TRUCK - FULL Fuel Cell 290 kW REGIONAL DELIVERY 28000 kg 8.7 kg /100km 26%"/>
    <n v="0"/>
    <x v="0"/>
    <x v="2"/>
    <x v="0"/>
    <s v="Hydrogen km/kg"/>
    <n v="330000"/>
    <n v="100150"/>
    <n v="105000"/>
    <n v="124850"/>
    <n v="28000"/>
    <n v="18173"/>
    <n v="0"/>
    <n v="0.56610956540085955"/>
    <s v=""/>
    <m/>
  </r>
  <r>
    <s v="2022 RIGID TRUCK - FULL"/>
    <s v="LONG HAUL"/>
    <s v="Fuel Cell 290 kW"/>
    <x v="2"/>
    <n v="9.4885139853534941"/>
    <n v="3.1553997993469238"/>
    <n v="0.33254941756081202"/>
    <n v="12.520401000976563"/>
    <s v="km/kg"/>
    <s v="Hydrogen 2022 RIGID TRUCK - FULL Fuel Cell 290 kW LONG HAUL 28000 kg 8.0 kg /100km 33%"/>
    <n v="0"/>
    <x v="0"/>
    <x v="2"/>
    <x v="0"/>
    <s v="Hydrogen km/kg"/>
    <n v="330000"/>
    <n v="100150"/>
    <n v="105000"/>
    <n v="124850"/>
    <n v="28000"/>
    <n v="18173"/>
    <n v="0"/>
    <n v="0.52212149812103092"/>
    <s v=""/>
    <m/>
  </r>
  <r>
    <s v="2022 TRUCK WITH TRAILER - EMPTY"/>
    <s v="URBAN DELIVERY"/>
    <s v="Fuel Cell 290 kW"/>
    <x v="2"/>
    <n v="7.1161039039085017"/>
    <n v="1.5092143416404724"/>
    <n v="0.21208435992784483"/>
    <n v="16.694528579711914"/>
    <s v="km/kg"/>
    <s v="Hydrogen 2022 TRUCK WITH TRAILER - EMPTY Fuel Cell 290 kW URBAN DELIVERY 14623.73931275 kg 6.0 kg /100km 21%"/>
    <n v="0"/>
    <x v="0"/>
    <x v="0"/>
    <x v="1"/>
    <s v="Hydrogen km/kg"/>
    <n v="354800.5319148936"/>
    <n v="124950.5319148936"/>
    <n v="105000"/>
    <n v="124850"/>
    <n v="14623.73931275"/>
    <n v="0"/>
    <n v="0"/>
    <e v="#N/A"/>
    <s v=""/>
    <m/>
  </r>
  <r>
    <s v="2022 TRUCK WITH TRAILER - EMPTY"/>
    <s v="REGIONAL DELIVERY"/>
    <s v="Fuel Cell 290 kW"/>
    <x v="2"/>
    <n v="7.8779108883109137"/>
    <n v="2.3366232514381409"/>
    <n v="0.29660442781920465"/>
    <n v="15.080140113830566"/>
    <s v="km/kg"/>
    <s v="Hydrogen 2022 TRUCK WITH TRAILER - EMPTY Fuel Cell 290 kW REGIONAL DELIVERY 14623.73931275 kg 6.6 kg /100km 30%"/>
    <n v="0"/>
    <x v="0"/>
    <x v="0"/>
    <x v="1"/>
    <s v="Hydrogen km/kg"/>
    <n v="354800.5319148936"/>
    <n v="124950.5319148936"/>
    <n v="105000"/>
    <n v="124850"/>
    <n v="14623.73931275"/>
    <n v="0"/>
    <n v="0"/>
    <e v="#N/A"/>
    <s v=""/>
    <m/>
  </r>
  <r>
    <s v="2022 TRUCK WITH TRAILER - EMPTY"/>
    <s v="LONG HAUL"/>
    <s v="Fuel Cell 290 kW"/>
    <x v="2"/>
    <n v="8.4574453402956813"/>
    <n v="2.8679699897766113"/>
    <n v="0.33910594445252945"/>
    <n v="14.046794891357422"/>
    <s v="km/kg"/>
    <s v="Hydrogen 2022 TRUCK WITH TRAILER - EMPTY Fuel Cell 290 kW LONG HAUL 14623.73931275 kg 7.1 kg /100km 34%"/>
    <n v="0"/>
    <x v="0"/>
    <x v="0"/>
    <x v="1"/>
    <s v="Hydrogen km/kg"/>
    <n v="354800.5319148936"/>
    <n v="124950.5319148936"/>
    <n v="105000"/>
    <n v="124850"/>
    <n v="14623.73931275"/>
    <n v="0"/>
    <n v="0"/>
    <e v="#N/A"/>
    <s v=""/>
    <m/>
  </r>
  <r>
    <s v="2022 TRUCK WITH TRAILER - TYPICAL"/>
    <s v="URBAN DELIVERY"/>
    <s v="Fuel Cell 290 kW"/>
    <x v="2"/>
    <n v="16.270982456073899"/>
    <n v="2.6317611336708069"/>
    <n v="0.16174568074027884"/>
    <n v="7.3013415336608887"/>
    <s v="km/kg"/>
    <s v="Hydrogen 2022 TRUCK WITH TRAILER - TYPICAL Fuel Cell 290 kW URBAN DELIVERY 39131.3266010463 kg 13.7 kg /100km 16%"/>
    <n v="0"/>
    <x v="0"/>
    <x v="1"/>
    <x v="1"/>
    <s v="Hydrogen km/kg"/>
    <n v="354800.5319148936"/>
    <n v="124950.5319148936"/>
    <n v="105000"/>
    <n v="124850"/>
    <n v="39131.326601046254"/>
    <n v="24507.58728829625"/>
    <n v="0"/>
    <n v="0.66391612787784327"/>
    <s v=""/>
    <m/>
  </r>
  <r>
    <s v="2022 TRUCK WITH TRAILER - TYPICAL"/>
    <s v="REGIONAL DELIVERY"/>
    <s v="Fuel Cell 290 kW"/>
    <x v="2"/>
    <n v="13.602068260592361"/>
    <n v="3.5209494829177856"/>
    <n v="0.25885397834082408"/>
    <n v="8.7339658737182617"/>
    <s v="km/kg"/>
    <s v="Hydrogen 2022 TRUCK WITH TRAILER - TYPICAL Fuel Cell 290 kW REGIONAL DELIVERY 39131.3266010463 kg 11.4 kg /100km 26%"/>
    <n v="0"/>
    <x v="0"/>
    <x v="1"/>
    <x v="1"/>
    <s v="Hydrogen km/kg"/>
    <n v="354800.5319148936"/>
    <n v="124950.5319148936"/>
    <n v="105000"/>
    <n v="124850"/>
    <n v="39131.326601046254"/>
    <n v="24507.58728829625"/>
    <n v="0"/>
    <n v="0.55501457979456481"/>
    <s v=""/>
    <m/>
  </r>
  <r>
    <s v="2022 TRUCK WITH TRAILER - TYPICAL"/>
    <s v="LONG HAUL"/>
    <s v="Fuel Cell 290 kW"/>
    <x v="2"/>
    <n v="12.115503228185821"/>
    <n v="4.0697423219680786"/>
    <n v="0.33591195060722895"/>
    <n v="9.8056182861328125"/>
    <s v="km/kg"/>
    <s v="Hydrogen 2022 TRUCK WITH TRAILER - TYPICAL Fuel Cell 290 kW LONG HAUL 39131.3266010463 kg 10.2 kg /100km 34%"/>
    <n v="0"/>
    <x v="0"/>
    <x v="1"/>
    <x v="1"/>
    <s v="Hydrogen km/kg"/>
    <n v="354800.5319148936"/>
    <n v="124950.5319148936"/>
    <n v="105000"/>
    <n v="124850"/>
    <n v="39131.326601046254"/>
    <n v="24507.58728829625"/>
    <n v="0"/>
    <n v="0.49435724070527554"/>
    <s v=""/>
    <m/>
  </r>
  <r>
    <s v="2022 TRUCK WITH TRAILER - FULL"/>
    <s v="URBAN DELIVERY"/>
    <s v="Fuel Cell 290 kW"/>
    <x v="2"/>
    <n v="22.476710371190741"/>
    <n v="3.4799278974533081"/>
    <n v="0.1548237193069705"/>
    <n v="5.2854709625244141"/>
    <s v="km/kg"/>
    <s v="Hydrogen 2022 TRUCK WITH TRAILER - FULL Fuel Cell 290 kW URBAN DELIVERY 58000 kg 18.9 kg /100km 15%"/>
    <n v="0"/>
    <x v="0"/>
    <x v="2"/>
    <x v="1"/>
    <s v="Hydrogen km/kg"/>
    <n v="354800.5319148936"/>
    <n v="124950.5319148936"/>
    <n v="105000"/>
    <n v="124850"/>
    <n v="58000"/>
    <n v="43376.260687250004"/>
    <n v="0"/>
    <n v="0.51817999096905865"/>
    <s v=""/>
    <m/>
  </r>
  <r>
    <s v="2022 TRUCK WITH TRAILER - FULL"/>
    <s v="REGIONAL DELIVERY"/>
    <s v="Fuel Cell 290 kW"/>
    <x v="2"/>
    <n v="17.753624711079745"/>
    <n v="4.4148313999176025"/>
    <n v="0.24867211466751232"/>
    <n v="6.6915912628173828"/>
    <s v="km/kg"/>
    <s v="Hydrogen 2022 TRUCK WITH TRAILER - FULL Fuel Cell 290 kW REGIONAL DELIVERY 58000 kg 14.9 kg /100km 25%"/>
    <n v="0"/>
    <x v="0"/>
    <x v="2"/>
    <x v="1"/>
    <s v="Hydrogen km/kg"/>
    <n v="354800.5319148936"/>
    <n v="124950.5319148936"/>
    <n v="105000"/>
    <n v="124850"/>
    <n v="58000"/>
    <n v="43376.260687250004"/>
    <n v="0"/>
    <n v="0.40929357279287648"/>
    <s v=""/>
    <m/>
  </r>
  <r>
    <s v="2022 TRUCK WITH TRAILER - FULL"/>
    <s v="LONG HAUL"/>
    <s v="Fuel Cell 290 kW"/>
    <x v="2"/>
    <n v="14.963147479593676"/>
    <n v="4.9936258792877197"/>
    <n v="0.33372830723602021"/>
    <n v="7.9395060539245605"/>
    <s v="km/kg"/>
    <s v="Hydrogen 2022 TRUCK WITH TRAILER - FULL Fuel Cell 290 kW LONG HAUL 58000 kg 12.6 kg /100km 33%"/>
    <n v="0"/>
    <x v="0"/>
    <x v="2"/>
    <x v="1"/>
    <s v="Hydrogen km/kg"/>
    <n v="354800.5319148936"/>
    <n v="124950.5319148936"/>
    <n v="105000"/>
    <n v="124850"/>
    <n v="58000"/>
    <n v="43376.260687250004"/>
    <n v="0"/>
    <n v="0.34496167356334467"/>
    <s v=""/>
    <m/>
  </r>
  <r>
    <s v="2022 SEMI TRUCK - EMPTY"/>
    <s v="URBAN DELIVERY"/>
    <s v="Fuel Cell 290 kW"/>
    <x v="2"/>
    <n v="6.6263398367879045"/>
    <n v="1.365938663482666"/>
    <n v="0.20613773170812805"/>
    <n v="17.928449630737305"/>
    <s v="km/kg"/>
    <s v="Hydrogen 2022 SEMI TRUCK - EMPTY Fuel Cell 290 kW URBAN DELIVERY 14000 kg 5.6 kg /100km 21%"/>
    <n v="0"/>
    <x v="0"/>
    <x v="0"/>
    <x v="2"/>
    <s v="Hydrogen km/kg"/>
    <n v="391800"/>
    <n v="124450"/>
    <n v="142500"/>
    <n v="124850"/>
    <n v="14000"/>
    <n v="0"/>
    <n v="0"/>
    <e v="#N/A"/>
    <s v=""/>
    <m/>
  </r>
  <r>
    <s v="2022 SEMI TRUCK - EMPTY"/>
    <s v="REGIONAL DELIVERY"/>
    <s v="Fuel Cell 290 kW"/>
    <x v="2"/>
    <n v="7.1570547855483264"/>
    <n v="2.0747497081756592"/>
    <n v="0.28988875596775321"/>
    <n v="16.599006652832031"/>
    <s v="km/kg"/>
    <s v="Hydrogen 2022 SEMI TRUCK - EMPTY Fuel Cell 290 kW REGIONAL DELIVERY 14000 kg 6.0 kg /100km 29%"/>
    <n v="0"/>
    <x v="0"/>
    <x v="0"/>
    <x v="2"/>
    <s v="Hydrogen km/kg"/>
    <n v="391800"/>
    <n v="124450"/>
    <n v="142500"/>
    <n v="124850"/>
    <n v="14000"/>
    <n v="0"/>
    <n v="0"/>
    <e v="#N/A"/>
    <s v=""/>
    <m/>
  </r>
  <r>
    <s v="2022 SEMI TRUCK - EMPTY"/>
    <s v="LONG HAUL"/>
    <s v="Fuel Cell 290 kW"/>
    <x v="2"/>
    <n v="7.5728973176182226"/>
    <n v="2.5301297903060913"/>
    <n v="0.33410327437291215"/>
    <n v="15.687522888183594"/>
    <s v="km/kg"/>
    <s v="Hydrogen 2022 SEMI TRUCK - EMPTY Fuel Cell 290 kW LONG HAUL 14000 kg 6.4 kg /100km 33%"/>
    <n v="0"/>
    <x v="0"/>
    <x v="0"/>
    <x v="2"/>
    <s v="Hydrogen km/kg"/>
    <n v="391800"/>
    <n v="124450"/>
    <n v="142500"/>
    <n v="124850"/>
    <n v="14000"/>
    <n v="0"/>
    <n v="0"/>
    <e v="#N/A"/>
    <s v=""/>
    <m/>
  </r>
  <r>
    <s v="2022 SEMI TRUCK - TYPICAL"/>
    <s v="URBAN DELIVERY"/>
    <s v="Fuel Cell 290 kW"/>
    <x v="2"/>
    <n v="14.685592111778105"/>
    <n v="2.3634082078933716"/>
    <n v="0.16093380436447477"/>
    <n v="8.0895614624023438"/>
    <s v="km/kg"/>
    <s v="Hydrogen 2022 SEMI TRUCK - TYPICAL Fuel Cell 290 kW URBAN DELIVERY 35470 kg 12.4 kg /100km 16%"/>
    <n v="0"/>
    <x v="0"/>
    <x v="1"/>
    <x v="2"/>
    <s v="Hydrogen km/kg"/>
    <n v="391800"/>
    <n v="124450"/>
    <n v="142500"/>
    <n v="124850"/>
    <n v="35470"/>
    <n v="21469.999999999996"/>
    <n v="0"/>
    <n v="0.68400522178752254"/>
    <s v=""/>
    <m/>
  </r>
  <r>
    <s v="2022 SEMI TRUCK - TYPICAL"/>
    <s v="REGIONAL DELIVERY"/>
    <s v="Fuel Cell 290 kW"/>
    <x v="2"/>
    <n v="12.191868292290488"/>
    <n v="3.1172147989273071"/>
    <n v="0.25567982889861712"/>
    <n v="9.7441997528076172"/>
    <s v="km/kg"/>
    <s v="Hydrogen 2022 SEMI TRUCK - TYPICAL Fuel Cell 290 kW REGIONAL DELIVERY 35470 kg 10.3 kg /100km 26%"/>
    <n v="0"/>
    <x v="0"/>
    <x v="1"/>
    <x v="2"/>
    <s v="Hydrogen km/kg"/>
    <n v="391800"/>
    <n v="124450"/>
    <n v="142500"/>
    <n v="124850"/>
    <n v="35470"/>
    <n v="21469.999999999996"/>
    <n v="0"/>
    <n v="0.56785599870938475"/>
    <s v=""/>
    <m/>
  </r>
  <r>
    <s v="2022 SEMI TRUCK - TYPICAL"/>
    <s v="LONG HAUL"/>
    <s v="Fuel Cell 290 kW"/>
    <x v="2"/>
    <n v="10.803031766529799"/>
    <n v="3.5831567049026489"/>
    <n v="0.33168065986847023"/>
    <n v="10.996912956237793"/>
    <s v="km/kg"/>
    <s v="Hydrogen 2022 SEMI TRUCK - TYPICAL Fuel Cell 290 kW LONG HAUL 35470 kg 9.1 kg /100km 33%"/>
    <n v="0"/>
    <x v="0"/>
    <x v="1"/>
    <x v="2"/>
    <s v="Hydrogen km/kg"/>
    <n v="391800"/>
    <n v="124450"/>
    <n v="142500"/>
    <n v="124850"/>
    <n v="35470"/>
    <n v="21469.999999999996"/>
    <n v="0"/>
    <n v="0.50316868963809036"/>
    <s v=""/>
    <m/>
  </r>
  <r>
    <s v="2022 SEMI TRUCK - FULL"/>
    <s v="URBAN DELIVERY"/>
    <s v="Fuel Cell 290 kW"/>
    <x v="2"/>
    <n v="20.510778509516655"/>
    <n v="3.1176701784133911"/>
    <n v="0.15200155259669176"/>
    <n v="5.792076587677002"/>
    <s v="km/kg"/>
    <s v="Hydrogen 2022 SEMI TRUCK - FULL Fuel Cell 290 kW URBAN DELIVERY 52000 kg 17.3 kg /100km 15%"/>
    <n v="0"/>
    <x v="0"/>
    <x v="2"/>
    <x v="2"/>
    <s v="Hydrogen km/kg"/>
    <n v="391800"/>
    <n v="124450"/>
    <n v="142500"/>
    <n v="124850"/>
    <n v="52000"/>
    <n v="38000"/>
    <n v="0"/>
    <n v="0.53975732919780672"/>
    <s v=""/>
    <m/>
  </r>
  <r>
    <s v="2022 SEMI TRUCK - FULL"/>
    <s v="REGIONAL DELIVERY"/>
    <s v="Fuel Cell 290 kW"/>
    <x v="2"/>
    <n v="15.965797610734349"/>
    <n v="3.9069341421127319"/>
    <n v="0.2447064805259693"/>
    <n v="7.4409060478210449"/>
    <s v="km/kg"/>
    <s v="Hydrogen 2022 SEMI TRUCK - FULL Fuel Cell 290 kW REGIONAL DELIVERY 52000 kg 13.4 kg /100km 24%"/>
    <n v="0"/>
    <x v="0"/>
    <x v="2"/>
    <x v="2"/>
    <s v="Hydrogen km/kg"/>
    <n v="391800"/>
    <n v="124450"/>
    <n v="142500"/>
    <n v="124850"/>
    <n v="52000"/>
    <n v="38000"/>
    <n v="0"/>
    <n v="0.42015256870353551"/>
    <s v=""/>
    <m/>
  </r>
  <r>
    <s v="2022 SEMI TRUCK - FULL"/>
    <s v="LONG HAUL"/>
    <s v="Fuel Cell 290 kW"/>
    <x v="2"/>
    <n v="13.334942122325897"/>
    <n v="4.3930422067642212"/>
    <n v="0.32943841574004384"/>
    <n v="8.9089250564575195"/>
    <s v="km/kg"/>
    <s v="Hydrogen 2022 SEMI TRUCK - FULL Fuel Cell 290 kW LONG HAUL 52000 kg 11.2 kg /100km 33%"/>
    <n v="0"/>
    <x v="0"/>
    <x v="2"/>
    <x v="2"/>
    <s v="Hydrogen km/kg"/>
    <n v="391800"/>
    <n v="124450"/>
    <n v="142500"/>
    <n v="124850"/>
    <n v="52000"/>
    <n v="38000"/>
    <n v="0"/>
    <n v="0.35091952953489203"/>
    <s v=""/>
    <m/>
  </r>
  <r>
    <s v="2022 CITY BUS - EMPTY"/>
    <s v="CITY ROUTE"/>
    <s v="Fuel Cell 290 kW"/>
    <x v="2"/>
    <n v="8.9269429354505423"/>
    <n v="1.2054142355918884"/>
    <n v="0.135031022860577"/>
    <n v="13.308027267456055"/>
    <s v="km/kg"/>
    <s v="Hydrogen 2022 CITY BUS - EMPTY Fuel Cell 290 kW CITY ROUTE 12550 kg 7.5 kg /100km 14%"/>
    <n v="0"/>
    <x v="0"/>
    <x v="0"/>
    <x v="3"/>
    <s v="Hydrogen km/kg"/>
    <n v="430000"/>
    <n v="195950"/>
    <n v="109200"/>
    <n v="124850"/>
    <n v="12550"/>
    <n v="0"/>
    <n v="0"/>
    <e v="#N/A"/>
    <s v=""/>
    <m/>
  </r>
  <r>
    <s v="2022 CITY BUS - EMPTY"/>
    <s v="RURAL ROUTE"/>
    <s v="Fuel Cell 290 kW"/>
    <x v="2"/>
    <n v="7.1403563814884121"/>
    <n v="2.1193692684173584"/>
    <n v="0.29681561468162665"/>
    <n v="16.637825012207031"/>
    <s v="km/kg"/>
    <s v="Hydrogen 2022 CITY BUS - EMPTY Fuel Cell 290 kW RURAL ROUTE 12550 kg 6.0 kg /100km 30%"/>
    <n v="0"/>
    <x v="0"/>
    <x v="0"/>
    <x v="3"/>
    <s v="Hydrogen km/kg"/>
    <n v="430000"/>
    <n v="195950"/>
    <n v="109200"/>
    <n v="124850"/>
    <n v="12550"/>
    <n v="0"/>
    <n v="0"/>
    <e v="#N/A"/>
    <s v=""/>
    <m/>
  </r>
  <r>
    <s v="2022 CITY BUS - EMPTY"/>
    <s v="MOTORWAY"/>
    <s v="Fuel Cell 290 kW"/>
    <x v="2"/>
    <n v="7.7792287917352514"/>
    <n v="2.6126183271408081"/>
    <n v="0.33584541566851539"/>
    <n v="15.27143669128418"/>
    <s v="km/kg"/>
    <s v="Hydrogen 2022 CITY BUS - EMPTY Fuel Cell 290 kW MOTORWAY 12550 kg 6.5 kg /100km 34%"/>
    <n v="0"/>
    <x v="0"/>
    <x v="0"/>
    <x v="3"/>
    <s v="Hydrogen km/kg"/>
    <n v="430000"/>
    <n v="195950"/>
    <n v="109200"/>
    <n v="124850"/>
    <n v="12550"/>
    <n v="0"/>
    <n v="0"/>
    <e v="#N/A"/>
    <s v=""/>
    <m/>
  </r>
  <r>
    <s v="2022 CITY BUS - TYPICAL"/>
    <s v="CITY ROUTE"/>
    <s v="Fuel Cell 290 kW"/>
    <x v="2"/>
    <n v="9.2849363661488837"/>
    <n v="1.2326709032058716"/>
    <n v="0.1327602963117718"/>
    <n v="12.794918060302734"/>
    <s v="km/kg"/>
    <s v="Hydrogen 2022 CITY BUS - TYPICAL Fuel Cell 290 kW CITY ROUTE 13124 kg 7.8 kg /100km 13%"/>
    <n v="0"/>
    <x v="0"/>
    <x v="1"/>
    <x v="3"/>
    <s v="Hydrogen km/kg"/>
    <n v="430000"/>
    <n v="195950"/>
    <n v="109200"/>
    <n v="124850"/>
    <n v="13124"/>
    <n v="574"/>
    <n v="8.1999999999999993"/>
    <n v="16.175847327785512"/>
    <n v="1.1323093129449859"/>
    <m/>
  </r>
  <r>
    <s v="2022 CITY BUS - TYPICAL"/>
    <s v="RURAL ROUTE"/>
    <s v="Fuel Cell 290 kW"/>
    <x v="2"/>
    <n v="7.2623669760327747"/>
    <n v="2.1475023031234741"/>
    <n v="0.29570280739194948"/>
    <n v="16.358303070068359"/>
    <s v="km/kg"/>
    <s v="Hydrogen 2022 CITY BUS - TYPICAL Fuel Cell 290 kW RURAL ROUTE 13124 kg 6.1 kg /100km 30%"/>
    <n v="0"/>
    <x v="0"/>
    <x v="1"/>
    <x v="3"/>
    <s v="Hydrogen km/kg"/>
    <n v="430000"/>
    <n v="195950"/>
    <n v="109200"/>
    <n v="124850"/>
    <n v="13124"/>
    <n v="574"/>
    <n v="8.1999999999999993"/>
    <n v="12.652207275318423"/>
    <n v="0.88565450927228972"/>
    <m/>
  </r>
  <r>
    <s v="2022 CITY BUS - TYPICAL"/>
    <s v="MOTORWAY"/>
    <s v="Fuel Cell 290 kW"/>
    <x v="2"/>
    <n v="7.8557813013468882"/>
    <n v="2.6407755613327026"/>
    <n v="0.336156960082371"/>
    <n v="15.122620582580566"/>
    <s v="km/kg"/>
    <s v="Hydrogen 2022 CITY BUS - TYPICAL Fuel Cell 290 kW MOTORWAY 13124 kg 6.6 kg /100km 34%"/>
    <n v="0"/>
    <x v="0"/>
    <x v="1"/>
    <x v="3"/>
    <s v="Hydrogen km/kg"/>
    <n v="430000"/>
    <n v="195950"/>
    <n v="109200"/>
    <n v="124850"/>
    <n v="13124"/>
    <n v="574"/>
    <n v="8.1999999999999993"/>
    <n v="13.686030141719318"/>
    <n v="0.9580221099203523"/>
    <m/>
  </r>
  <r>
    <s v="2022 CITY BUS - FULL"/>
    <s v="CITY ROUTE"/>
    <s v="Fuel Cell 290 kW"/>
    <x v="2"/>
    <n v="12.371840896225009"/>
    <n v="1.4611959457397461"/>
    <n v="0.11810659044165346"/>
    <n v="9.6024513244628906"/>
    <s v="km/kg"/>
    <s v="Hydrogen 2022 CITY BUS - FULL Fuel Cell 290 kW CITY ROUTE 18000 kg 10.4 kg /100km 12%"/>
    <n v="0"/>
    <x v="0"/>
    <x v="2"/>
    <x v="3"/>
    <s v="Hydrogen km/kg"/>
    <n v="430000"/>
    <n v="195950"/>
    <n v="109200"/>
    <n v="124850"/>
    <n v="18000"/>
    <n v="5450"/>
    <n v="63"/>
    <n v="2.2700625497660565"/>
    <n v="0.19637842692420651"/>
    <m/>
  </r>
  <r>
    <s v="2022 CITY BUS - FULL"/>
    <s v="RURAL ROUTE"/>
    <s v="Fuel Cell 290 kW"/>
    <x v="2"/>
    <n v="8.3321335283571578"/>
    <n v="2.3858749866485596"/>
    <n v="0.28634622555298644"/>
    <n v="14.258052825927734"/>
    <s v="km/kg"/>
    <s v="Hydrogen 2022 CITY BUS - FULL Fuel Cell 290 kW RURAL ROUTE 18000 kg 7.0 kg /100km 29%"/>
    <n v="0"/>
    <x v="0"/>
    <x v="2"/>
    <x v="3"/>
    <s v="Hydrogen km/kg"/>
    <n v="430000"/>
    <n v="195950"/>
    <n v="109200"/>
    <n v="124850"/>
    <n v="18000"/>
    <n v="5450"/>
    <n v="63"/>
    <n v="1.5288318400655334"/>
    <n v="0.13225608775170092"/>
    <m/>
  </r>
  <r>
    <s v="2022 CITY BUS - FULL"/>
    <s v="MOTORWAY"/>
    <s v="Fuel Cell 290 kW"/>
    <x v="2"/>
    <n v="8.5281719649216985"/>
    <n v="2.8799553513526917"/>
    <n v="0.33769902426904613"/>
    <n v="13.930300712585449"/>
    <s v="km/kg"/>
    <s v="Hydrogen 2022 CITY BUS - FULL Fuel Cell 290 kW MOTORWAY 18000 kg 7.2 kg /100km 34%"/>
    <n v="0"/>
    <x v="0"/>
    <x v="2"/>
    <x v="3"/>
    <s v="Hydrogen km/kg"/>
    <n v="430000"/>
    <n v="195950"/>
    <n v="109200"/>
    <n v="124850"/>
    <n v="18000"/>
    <n v="5450"/>
    <n v="63"/>
    <n v="1.5648021953984768"/>
    <n v="0.13536780896701109"/>
    <m/>
  </r>
  <r>
    <s v="2022 TOURIST BUS - EMPTY"/>
    <s v="CITY ROUTE"/>
    <s v="Fuel Cell 290 kW"/>
    <x v="2"/>
    <n v="9.310069808243135"/>
    <n v="1.1599404811859131"/>
    <n v="0.12458988010582928"/>
    <n v="12.760376930236816"/>
    <s v="km/kg"/>
    <s v="Hydrogen 2022 TOURIST BUS - EMPTY Fuel Cell 290 kW CITY ROUTE 13500 kg 7.8 kg /100km 12%"/>
    <n v="0"/>
    <x v="0"/>
    <x v="0"/>
    <x v="4"/>
    <s v="Hydrogen km/kg"/>
    <n v="1000000"/>
    <n v="765950"/>
    <n v="109200"/>
    <n v="124850"/>
    <n v="13500"/>
    <n v="0"/>
    <n v="0"/>
    <e v="#N/A"/>
    <s v=""/>
    <m/>
  </r>
  <r>
    <s v="2022 TOURIST BUS - EMPTY"/>
    <s v="RURAL ROUTE"/>
    <s v="Fuel Cell 290 kW"/>
    <x v="2"/>
    <n v="6.7573742223809559"/>
    <n v="1.9345880746841431"/>
    <n v="0.28629287220421135"/>
    <n v="17.580793380737305"/>
    <s v="km/kg"/>
    <s v="Hydrogen 2022 TOURIST BUS - EMPTY Fuel Cell 290 kW RURAL ROUTE 13500 kg 5.7 kg /100km 29%"/>
    <n v="0"/>
    <x v="0"/>
    <x v="0"/>
    <x v="4"/>
    <s v="Hydrogen km/kg"/>
    <n v="1000000"/>
    <n v="765950"/>
    <n v="109200"/>
    <n v="124850"/>
    <n v="13500"/>
    <n v="0"/>
    <n v="0"/>
    <e v="#N/A"/>
    <s v=""/>
    <m/>
  </r>
  <r>
    <s v="2022 TOURIST BUS - EMPTY"/>
    <s v="MOTORWAY"/>
    <s v="Fuel Cell 290 kW"/>
    <x v="2"/>
    <n v="7.1069327419467472"/>
    <n v="2.351988673210144"/>
    <n v="0.33094286362500203"/>
    <n v="16.716072082519531"/>
    <s v="km/kg"/>
    <s v="Hydrogen 2022 TOURIST BUS - EMPTY Fuel Cell 290 kW MOTORWAY 13500 kg 6.0 kg /100km 33%"/>
    <n v="0"/>
    <x v="0"/>
    <x v="0"/>
    <x v="4"/>
    <s v="Hydrogen km/kg"/>
    <n v="1000000"/>
    <n v="765950"/>
    <n v="109200"/>
    <n v="124850"/>
    <n v="13500"/>
    <n v="0"/>
    <n v="0"/>
    <e v="#N/A"/>
    <s v=""/>
    <m/>
  </r>
  <r>
    <s v="2022 TOURIST BUS - TYPICAL"/>
    <s v="CITY ROUTE"/>
    <s v="Fuel Cell 290 kW"/>
    <x v="2"/>
    <n v="10.0695201121907"/>
    <n v="1.2173406183719635"/>
    <n v="0.12089360811725136"/>
    <n v="11.797980308532715"/>
    <s v="km/kg"/>
    <s v="Hydrogen 2022 TOURIST BUS - TYPICAL Fuel Cell 290 kW CITY ROUTE 14711 kg 8.5 kg /100km 12%"/>
    <n v="0"/>
    <x v="0"/>
    <x v="1"/>
    <x v="4"/>
    <s v="Hydrogen km/kg"/>
    <n v="1000000"/>
    <n v="765950"/>
    <n v="109200"/>
    <n v="124850"/>
    <n v="14711"/>
    <n v="1211"/>
    <n v="17.3"/>
    <n v="8.315045509653757"/>
    <n v="0.58205318567576303"/>
    <m/>
  </r>
  <r>
    <s v="2022 TOURIST BUS - TYPICAL"/>
    <s v="RURAL ROUTE"/>
    <s v="Fuel Cell 290 kW"/>
    <x v="2"/>
    <n v="7.0212567768739822"/>
    <n v="1.9939061403274536"/>
    <n v="0.28398137309189603"/>
    <n v="16.920047760009766"/>
    <s v="km/kg"/>
    <s v="Hydrogen 2022 TOURIST BUS - TYPICAL Fuel Cell 290 kW RURAL ROUTE 14711 kg 5.9 kg /100km 28%"/>
    <n v="0"/>
    <x v="0"/>
    <x v="1"/>
    <x v="4"/>
    <s v="Hydrogen km/kg"/>
    <n v="1000000"/>
    <n v="765950"/>
    <n v="109200"/>
    <n v="124850"/>
    <n v="14711"/>
    <n v="1211"/>
    <n v="17.3"/>
    <n v="5.797899898326988"/>
    <n v="0.40585299288288912"/>
    <m/>
  </r>
  <r>
    <s v="2022 TOURIST BUS - TYPICAL"/>
    <s v="MOTORWAY"/>
    <s v="Fuel Cell 290 kW"/>
    <x v="2"/>
    <n v="7.273822459653239"/>
    <n v="2.4113911986351013"/>
    <n v="0.33151636735852613"/>
    <n v="16.332540512084961"/>
    <s v="km/kg"/>
    <s v="Hydrogen 2022 TOURIST BUS - TYPICAL Fuel Cell 290 kW MOTORWAY 14711 kg 6.1 kg /100km 33%"/>
    <n v="0"/>
    <x v="0"/>
    <x v="1"/>
    <x v="4"/>
    <s v="Hydrogen km/kg"/>
    <n v="1000000"/>
    <n v="765950"/>
    <n v="109200"/>
    <n v="124850"/>
    <n v="14711"/>
    <n v="1211"/>
    <n v="17.3"/>
    <n v="6.0064595042553588"/>
    <n v="0.42045216529787505"/>
    <m/>
  </r>
  <r>
    <s v="2022 TOURIST BUS - FULL"/>
    <s v="CITY ROUTE"/>
    <s v="Fuel Cell 290 kW"/>
    <x v="2"/>
    <n v="13.137138687587802"/>
    <n v="1.4423947036266327"/>
    <n v="0.10979519497570901"/>
    <n v="9.043065071105957"/>
    <s v="km/kg"/>
    <s v="Hydrogen 2022 TOURIST BUS - FULL Fuel Cell 290 kW CITY ROUTE 19500 kg 11.1 kg /100km 11%"/>
    <n v="0"/>
    <x v="0"/>
    <x v="2"/>
    <x v="4"/>
    <s v="Hydrogen km/kg"/>
    <n v="1000000"/>
    <n v="765950"/>
    <n v="109200"/>
    <n v="124850"/>
    <n v="19500"/>
    <n v="6000"/>
    <n v="55"/>
    <n v="2.189523114597967"/>
    <n v="0.23885706704705095"/>
    <m/>
  </r>
  <r>
    <s v="2022 TOURIST BUS - FULL"/>
    <s v="RURAL ROUTE"/>
    <s v="Fuel Cell 290 kW"/>
    <x v="2"/>
    <n v="8.1015854665404525"/>
    <n v="2.2278929948806763"/>
    <n v="0.27499469135786747"/>
    <n v="14.663796424865723"/>
    <s v="km/kg"/>
    <s v="Hydrogen 2022 TOURIST BUS - FULL Fuel Cell 290 kW RURAL ROUTE 19500 kg 6.8 kg /100km 27%"/>
    <n v="0"/>
    <x v="0"/>
    <x v="2"/>
    <x v="4"/>
    <s v="Hydrogen km/kg"/>
    <n v="1000000"/>
    <n v="765950"/>
    <n v="109200"/>
    <n v="124850"/>
    <n v="19500"/>
    <n v="6000"/>
    <n v="55"/>
    <n v="1.3502642444234088"/>
    <n v="0.14730155393709915"/>
    <m/>
  </r>
  <r>
    <s v="2022 TOURIST BUS - FULL"/>
    <s v="MOTORWAY"/>
    <s v="Fuel Cell 290 kW"/>
    <x v="2"/>
    <n v="7.96388719241952"/>
    <n v="2.646298348903656"/>
    <n v="0.33228727190191154"/>
    <n v="14.917338371276855"/>
    <s v="km/kg"/>
    <s v="Hydrogen 2022 TOURIST BUS - FULL Fuel Cell 290 kW MOTORWAY 19500 kg 6.7 kg /100km 33%"/>
    <n v="0"/>
    <x v="0"/>
    <x v="2"/>
    <x v="4"/>
    <s v="Hydrogen km/kg"/>
    <n v="1000000"/>
    <n v="765950"/>
    <n v="109200"/>
    <n v="124850"/>
    <n v="19500"/>
    <n v="6000"/>
    <n v="55"/>
    <n v="1.32731453206992"/>
    <n v="0.14479794895308218"/>
    <m/>
  </r>
  <r>
    <s v="2050 RIGID TRUCK - EMPTY"/>
    <s v="URBAN DELIVERY"/>
    <s v="2050 Diesel 735 kW"/>
    <x v="0"/>
    <n v="3.7970285019029033"/>
    <n v="0.87303620576858521"/>
    <n v="0.22992616603511348"/>
    <n v="9.4810981750488281"/>
    <s v="km/l"/>
    <s v="Diesel 2050 RIGID TRUCK - EMPTY 2050 Diesel 735 kW URBAN DELIVERY 9240 kg 10.5 l /100km 23%"/>
    <n v="0"/>
    <x v="1"/>
    <x v="0"/>
    <x v="0"/>
    <s v="Diesel km/l"/>
    <n v="174667.55319148937"/>
    <n v="141367.55319148937"/>
    <n v="33000"/>
    <n v="300"/>
    <n v="9240"/>
    <n v="0"/>
    <n v="0"/>
    <e v="#N/A"/>
    <s v=""/>
    <m/>
  </r>
  <r>
    <s v="2050 RIGID TRUCK - EMPTY"/>
    <s v="REGIONAL DELIVERY"/>
    <s v="2050 Diesel 735 kW"/>
    <x v="0"/>
    <n v="3.8969679438619615"/>
    <n v="1.4036992788314819"/>
    <n v="0.3602029318825733"/>
    <n v="9.2379512786865234"/>
    <s v="km/l"/>
    <s v="Diesel 2050 RIGID TRUCK - EMPTY 2050 Diesel 735 kW REGIONAL DELIVERY 9240 kg 10.8 l /100km 36%"/>
    <n v="0"/>
    <x v="1"/>
    <x v="0"/>
    <x v="0"/>
    <s v="Diesel km/l"/>
    <n v="174667.55319148937"/>
    <n v="141367.55319148937"/>
    <n v="33000"/>
    <n v="300"/>
    <n v="9240"/>
    <n v="0"/>
    <n v="0"/>
    <e v="#N/A"/>
    <s v=""/>
    <m/>
  </r>
  <r>
    <s v="2050 RIGID TRUCK - EMPTY"/>
    <s v="LONG HAUL"/>
    <s v="2050 Diesel 735 kW"/>
    <x v="0"/>
    <n v="4.0352518578547505"/>
    <n v="1.745176762342453"/>
    <n v="0.432482735605563"/>
    <n v="8.9213762283325195"/>
    <s v="km/l"/>
    <s v="Diesel 2050 RIGID TRUCK - EMPTY 2050 Diesel 735 kW LONG HAUL 9240 kg 11.2 l /100km 43%"/>
    <n v="0"/>
    <x v="1"/>
    <x v="0"/>
    <x v="0"/>
    <s v="Diesel km/l"/>
    <n v="174667.55319148937"/>
    <n v="141367.55319148937"/>
    <n v="33000"/>
    <n v="300"/>
    <n v="9240"/>
    <n v="0"/>
    <n v="0"/>
    <e v="#N/A"/>
    <s v=""/>
    <m/>
  </r>
  <r>
    <s v="2050 RIGID TRUCK - TYPICAL"/>
    <s v="URBAN DELIVERY"/>
    <s v="2050 Diesel 735 kW"/>
    <x v="0"/>
    <n v="6.0566337482279744"/>
    <n v="1.1643644571304321"/>
    <n v="0.1922461396103235"/>
    <n v="5.9438958168029785"/>
    <s v="km/l"/>
    <s v="Diesel 2050 RIGID TRUCK - TYPICAL 2050 Diesel 735 kW URBAN DELIVERY 16664.68 kg 16.8 l /100km 19%"/>
    <n v="0"/>
    <x v="1"/>
    <x v="1"/>
    <x v="0"/>
    <s v="Diesel km/l"/>
    <n v="174667.55319148937"/>
    <n v="141367.55319148937"/>
    <n v="33000"/>
    <n v="300"/>
    <n v="16664.68"/>
    <n v="7424.68"/>
    <n v="0"/>
    <n v="0.8157434055377436"/>
    <s v=""/>
    <m/>
  </r>
  <r>
    <s v="2050 RIGID TRUCK - TYPICAL"/>
    <s v="REGIONAL DELIVERY"/>
    <s v="2050 Diesel 735 kW"/>
    <x v="0"/>
    <n v="5.2565773995669414"/>
    <n v="1.6950621604919434"/>
    <n v="0.32246498655790545"/>
    <n v="6.8485627174377441"/>
    <s v="km/l"/>
    <s v="Diesel 2050 RIGID TRUCK - TYPICAL 2050 Diesel 735 kW REGIONAL DELIVERY 16664.68 kg 14.6 l /100km 32%"/>
    <n v="0"/>
    <x v="1"/>
    <x v="1"/>
    <x v="0"/>
    <s v="Diesel km/l"/>
    <n v="174667.55319148937"/>
    <n v="141367.55319148937"/>
    <n v="33000"/>
    <n v="300"/>
    <n v="16664.68"/>
    <n v="7424.68"/>
    <n v="0"/>
    <n v="0.70798706470406014"/>
    <s v=""/>
    <m/>
  </r>
  <r>
    <s v="2050 RIGID TRUCK - TYPICAL"/>
    <s v="LONG HAUL"/>
    <s v="2050 Diesel 735 kW"/>
    <x v="0"/>
    <n v="4.8776913159198445"/>
    <n v="2.0365433692932129"/>
    <n v="0.41752198681501795"/>
    <n v="7.3805408477783203"/>
    <s v="km/l"/>
    <s v="Diesel 2050 RIGID TRUCK - TYPICAL 2050 Diesel 735 kW LONG HAUL 16664.68 kg 13.5 l /100km 42%"/>
    <n v="0"/>
    <x v="1"/>
    <x v="1"/>
    <x v="0"/>
    <s v="Diesel km/l"/>
    <n v="174667.55319148937"/>
    <n v="141367.55319148937"/>
    <n v="33000"/>
    <n v="300"/>
    <n v="16664.68"/>
    <n v="7424.68"/>
    <n v="0"/>
    <n v="0.6569564366302445"/>
    <s v=""/>
    <m/>
  </r>
  <r>
    <s v="2050 RIGID TRUCK - FULL"/>
    <s v="URBAN DELIVERY"/>
    <s v="2050 Diesel 735 kW"/>
    <x v="0"/>
    <n v="8.9409913890040595"/>
    <n v="1.5306324362754822"/>
    <n v="0.17119269773125012"/>
    <n v="4.0263991355895996"/>
    <s v="km/l"/>
    <s v="Diesel 2050 RIGID TRUCK - FULL 2050 Diesel 735 kW URBAN DELIVERY 26000 kg 24.8 l /100km 17%"/>
    <n v="0"/>
    <x v="1"/>
    <x v="2"/>
    <x v="0"/>
    <s v="Diesel km/l"/>
    <n v="174667.55319148937"/>
    <n v="141367.55319148937"/>
    <n v="33000"/>
    <n v="300"/>
    <n v="26000"/>
    <n v="16760"/>
    <n v="0"/>
    <n v="0.53347203991670999"/>
    <s v=""/>
    <m/>
  </r>
  <r>
    <s v="2050 RIGID TRUCK - FULL"/>
    <s v="REGIONAL DELIVERY"/>
    <s v="2050 Diesel 735 kW"/>
    <x v="0"/>
    <n v="7.1547255037924637"/>
    <n v="2.0613679885864258"/>
    <n v="0.28811279866624773"/>
    <n v="5.031639575958252"/>
    <s v="km/l"/>
    <s v="Diesel 2050 RIGID TRUCK - FULL 2050 Diesel 735 kW REGIONAL DELIVERY 26000 kg 19.9 l /100km 29%"/>
    <n v="0"/>
    <x v="1"/>
    <x v="2"/>
    <x v="0"/>
    <s v="Diesel km/l"/>
    <n v="174667.55319148937"/>
    <n v="141367.55319148937"/>
    <n v="33000"/>
    <n v="300"/>
    <n v="26000"/>
    <n v="16760"/>
    <n v="0"/>
    <n v="0.42689292982055277"/>
    <s v=""/>
    <m/>
  </r>
  <r>
    <s v="2050 RIGID TRUCK - FULL"/>
    <s v="LONG HAUL"/>
    <s v="2050 Diesel 735 kW"/>
    <x v="0"/>
    <n v="6.0490499028073419"/>
    <n v="2.4028520584106445"/>
    <n v="0.39722801051707141"/>
    <n v="5.951347827911377"/>
    <s v="km/l"/>
    <s v="Diesel 2050 RIGID TRUCK - FULL 2050 Diesel 735 kW LONG HAUL 26000 kg 16.8 l /100km 40%"/>
    <n v="0"/>
    <x v="1"/>
    <x v="2"/>
    <x v="0"/>
    <s v="Diesel km/l"/>
    <n v="174667.55319148937"/>
    <n v="141367.55319148937"/>
    <n v="33000"/>
    <n v="300"/>
    <n v="26000"/>
    <n v="16760"/>
    <n v="0"/>
    <n v="0.36092183190974597"/>
    <s v=""/>
    <m/>
  </r>
  <r>
    <s v="2050 TRUCK WITH TRAILER - EMPTY"/>
    <s v="URBAN DELIVERY"/>
    <s v="2050 Diesel 735 kW"/>
    <x v="0"/>
    <n v="5.2327992303160977"/>
    <n v="1.1445613503456116"/>
    <n v="0.21872831346454544"/>
    <n v="6.8796830177307129"/>
    <s v="km/l"/>
    <s v="Diesel 2050 TRUCK WITH TRAILER - EMPTY 2050 Diesel 735 kW URBAN DELIVERY 13269.26102271 kg 14.5 l /100km 22%"/>
    <n v="0"/>
    <x v="1"/>
    <x v="0"/>
    <x v="1"/>
    <s v="Diesel km/l"/>
    <n v="199468.08510638299"/>
    <n v="166168.08510638299"/>
    <n v="33000"/>
    <n v="300"/>
    <n v="13269.261022709999"/>
    <n v="0"/>
    <n v="0"/>
    <e v="#N/A"/>
    <s v=""/>
    <m/>
  </r>
  <r>
    <s v="2050 TRUCK WITH TRAILER - EMPTY"/>
    <s v="REGIONAL DELIVERY"/>
    <s v="2050 Diesel 735 kW"/>
    <x v="0"/>
    <n v="5.1062871727326762"/>
    <n v="1.7931610941886902"/>
    <n v="0.35116730288184395"/>
    <n v="7.0501322746276855"/>
    <s v="km/l"/>
    <s v="Diesel 2050 TRUCK WITH TRAILER - EMPTY 2050 Diesel 735 kW REGIONAL DELIVERY 13269.26102271 kg 14.2 l /100km 35%"/>
    <n v="0"/>
    <x v="1"/>
    <x v="0"/>
    <x v="1"/>
    <s v="Diesel km/l"/>
    <n v="199468.08510638299"/>
    <n v="166168.08510638299"/>
    <n v="33000"/>
    <n v="300"/>
    <n v="13269.261022709999"/>
    <n v="0"/>
    <n v="0"/>
    <e v="#N/A"/>
    <s v=""/>
    <m/>
  </r>
  <r>
    <s v="2050 TRUCK WITH TRAILER - EMPTY"/>
    <s v="LONG HAUL"/>
    <s v="2050 Diesel 735 kW"/>
    <x v="0"/>
    <n v="5.1144729867185221"/>
    <n v="2.2105235457420349"/>
    <n v="0.43220944787124993"/>
    <n v="7.0388484001159668"/>
    <s v="km/l"/>
    <s v="Diesel 2050 TRUCK WITH TRAILER - EMPTY 2050 Diesel 735 kW LONG HAUL 13269.26102271 kg 14.2 l /100km 43%"/>
    <n v="0"/>
    <x v="1"/>
    <x v="0"/>
    <x v="1"/>
    <s v="Diesel km/l"/>
    <n v="199468.08510638299"/>
    <n v="166168.08510638299"/>
    <n v="33000"/>
    <n v="300"/>
    <n v="13269.261022709999"/>
    <n v="0"/>
    <n v="0"/>
    <e v="#N/A"/>
    <s v=""/>
    <m/>
  </r>
  <r>
    <s v="2050 TRUCK WITH TRAILER - TYPICAL"/>
    <s v="URBAN DELIVERY"/>
    <s v="2050 Diesel 735 kW"/>
    <x v="0"/>
    <n v="11.374435995525102"/>
    <n v="1.9274789094924927"/>
    <n v="0.16945709749923388"/>
    <n v="3.164992094039917"/>
    <s v="km/l"/>
    <s v="Diesel 2050 TRUCK WITH TRAILER - TYPICAL 2050 Diesel 735 kW URBAN DELIVERY 33223.2865660128 kg 31.6 l /100km 17%"/>
    <n v="0"/>
    <x v="1"/>
    <x v="1"/>
    <x v="1"/>
    <s v="Diesel km/l"/>
    <n v="199468.08510638299"/>
    <n v="166168.08510638299"/>
    <n v="33000"/>
    <n v="300"/>
    <n v="33223.28656601283"/>
    <n v="19954.025543302829"/>
    <n v="0"/>
    <n v="0.57003214568614735"/>
    <s v=""/>
    <m/>
  </r>
  <r>
    <s v="2050 TRUCK WITH TRAILER - TYPICAL"/>
    <s v="REGIONAL DELIVERY"/>
    <s v="2050 Diesel 735 kW"/>
    <x v="0"/>
    <n v="9.0190824490603383"/>
    <n v="2.5761605501174927"/>
    <n v="0.28563443838856273"/>
    <n v="3.9915368556976318"/>
    <s v="km/l"/>
    <s v="Diesel 2050 TRUCK WITH TRAILER - TYPICAL 2050 Diesel 735 kW REGIONAL DELIVERY 33223.2865660128 kg 25.1 l /100km 29%"/>
    <n v="0"/>
    <x v="1"/>
    <x v="1"/>
    <x v="1"/>
    <s v="Diesel km/l"/>
    <n v="199468.08510638299"/>
    <n v="166168.08510638299"/>
    <n v="33000"/>
    <n v="300"/>
    <n v="33223.28656601283"/>
    <n v="19954.025543302829"/>
    <n v="0"/>
    <n v="0.45199312938072356"/>
    <s v=""/>
    <m/>
  </r>
  <r>
    <s v="2050 TRUCK WITH TRAILER - TYPICAL"/>
    <s v="LONG HAUL"/>
    <s v="2050 Diesel 735 kW"/>
    <x v="0"/>
    <n v="7.5526187056318816"/>
    <n v="2.993531346321106"/>
    <n v="0.39635674234274154"/>
    <n v="4.7665586471557617"/>
    <s v="km/l"/>
    <s v="Diesel 2050 TRUCK WITH TRAILER - TYPICAL 2050 Diesel 735 kW LONG HAUL 33223.2865660128 kg 21.0 l /100km 40%"/>
    <n v="0"/>
    <x v="1"/>
    <x v="1"/>
    <x v="1"/>
    <s v="Diesel km/l"/>
    <n v="199468.08510638299"/>
    <n v="166168.08510638299"/>
    <n v="33000"/>
    <n v="300"/>
    <n v="33223.28656601283"/>
    <n v="19954.025543302829"/>
    <n v="0"/>
    <n v="0.37850100418292626"/>
    <s v=""/>
    <m/>
  </r>
  <r>
    <s v="2050 TRUCK WITH TRAILER - FULL"/>
    <s v="URBAN DELIVERY"/>
    <s v="2050 Diesel 735 kW"/>
    <x v="0"/>
    <n v="19.449474370015587"/>
    <n v="2.9781034588813782"/>
    <n v="0.15311999708704682"/>
    <n v="1.850949764251709"/>
    <s v="km/l"/>
    <s v="Diesel 2050 TRUCK WITH TRAILER - FULL 2050 Diesel 735 kW URBAN DELIVERY 60000 kg 54.0 l /100km 15%"/>
    <n v="0"/>
    <x v="1"/>
    <x v="2"/>
    <x v="1"/>
    <s v="Diesel km/l"/>
    <n v="199468.08510638299"/>
    <n v="166168.08510638299"/>
    <n v="33000"/>
    <n v="300"/>
    <n v="60000"/>
    <n v="46730.738977289999"/>
    <n v="0"/>
    <n v="0.41620301317014391"/>
    <s v=""/>
    <m/>
  </r>
  <r>
    <s v="2050 TRUCK WITH TRAILER - FULL"/>
    <s v="REGIONAL DELIVERY"/>
    <s v="2050 Diesel 735 kW"/>
    <x v="0"/>
    <n v="14.278036146389759"/>
    <n v="3.6267185211181641"/>
    <n v="0.25400681745963993"/>
    <n v="2.521355152130127"/>
    <s v="km/l"/>
    <s v="Diesel 2050 TRUCK WITH TRAILER - FULL 2050 Diesel 735 kW REGIONAL DELIVERY 60000 kg 39.7 l /100km 25%"/>
    <n v="0"/>
    <x v="1"/>
    <x v="2"/>
    <x v="1"/>
    <s v="Diesel km/l"/>
    <n v="199468.08510638299"/>
    <n v="166168.08510638299"/>
    <n v="33000"/>
    <n v="300"/>
    <n v="60000"/>
    <n v="46730.738977289999"/>
    <n v="0"/>
    <n v="0.30553841986809871"/>
    <s v=""/>
    <m/>
  </r>
  <r>
    <s v="2050 TRUCK WITH TRAILER - FULL"/>
    <s v="LONG HAUL"/>
    <s v="2050 Diesel 735 kW"/>
    <x v="0"/>
    <n v="11.076528168260884"/>
    <n v="4.0442637205123901"/>
    <n v="0.36512015850787805"/>
    <n v="3.2501158714294434"/>
    <s v="km/l"/>
    <s v="Diesel 2050 TRUCK WITH TRAILER - FULL 2050 Diesel 735 kW LONG HAUL 60000 kg 30.8 l /100km 37%"/>
    <n v="0"/>
    <x v="1"/>
    <x v="2"/>
    <x v="1"/>
    <s v="Diesel km/l"/>
    <n v="199468.08510638299"/>
    <n v="166168.08510638299"/>
    <n v="33000"/>
    <n v="300"/>
    <n v="60000"/>
    <n v="46730.738977289999"/>
    <n v="0"/>
    <n v="0.23702873976899458"/>
    <s v=""/>
    <m/>
  </r>
  <r>
    <s v="2050 SEMI TRUCK - EMPTY"/>
    <s v="URBAN DELIVERY"/>
    <s v="2050 Diesel 735 kW"/>
    <x v="0"/>
    <n v="4.3468239083550593"/>
    <n v="0.85847184062004089"/>
    <n v="0.197494045933162"/>
    <n v="8.2819089889526367"/>
    <s v="km/l"/>
    <s v="Diesel 2050 SEMI TRUCK - EMPTY 2050 Diesel 735 kW URBAN DELIVERY 11760 kg 12.1 l /100km 20%"/>
    <n v="0"/>
    <x v="1"/>
    <x v="0"/>
    <x v="2"/>
    <s v="Diesel km/l"/>
    <n v="159574.4680851064"/>
    <n v="126274.4680851064"/>
    <n v="33000"/>
    <n v="300"/>
    <n v="11760"/>
    <n v="0"/>
    <n v="0"/>
    <e v="#N/A"/>
    <s v=""/>
    <m/>
  </r>
  <r>
    <s v="2050 SEMI TRUCK - EMPTY"/>
    <s v="REGIONAL DELIVERY"/>
    <s v="2050 Diesel 735 kW"/>
    <x v="0"/>
    <n v="3.8768749554529585"/>
    <n v="1.2712283134460449"/>
    <n v="0.327900261951451"/>
    <n v="9.2858295440673828"/>
    <s v="km/l"/>
    <s v="Diesel 2050 SEMI TRUCK - EMPTY 2050 Diesel 735 kW REGIONAL DELIVERY 11760 kg 10.8 l /100km 33%"/>
    <n v="0"/>
    <x v="1"/>
    <x v="0"/>
    <x v="2"/>
    <s v="Diesel km/l"/>
    <n v="159574.4680851064"/>
    <n v="126274.4680851064"/>
    <n v="33000"/>
    <n v="300"/>
    <n v="11760"/>
    <n v="0"/>
    <n v="0"/>
    <e v="#N/A"/>
    <s v=""/>
    <m/>
  </r>
  <r>
    <s v="2050 SEMI TRUCK - EMPTY"/>
    <s v="LONG HAUL"/>
    <s v="2050 Diesel 735 kW"/>
    <x v="0"/>
    <n v="3.6732509096344179"/>
    <n v="1.5368246734142303"/>
    <n v="0.41838271090693979"/>
    <n v="9.8005828857421875"/>
    <s v="km/l"/>
    <s v="Diesel 2050 SEMI TRUCK - EMPTY 2050 Diesel 735 kW LONG HAUL 11760 kg 10.2 l /100km 42%"/>
    <n v="0"/>
    <x v="1"/>
    <x v="0"/>
    <x v="2"/>
    <s v="Diesel km/l"/>
    <n v="159574.4680851064"/>
    <n v="126274.4680851064"/>
    <n v="33000"/>
    <n v="300"/>
    <n v="11760"/>
    <n v="0"/>
    <n v="0"/>
    <e v="#N/A"/>
    <s v=""/>
    <m/>
  </r>
  <r>
    <s v="2050 SEMI TRUCK - TYPICAL"/>
    <s v="URBAN DELIVERY"/>
    <s v="2050 Diesel 735 kW"/>
    <x v="0"/>
    <n v="12.789475890903642"/>
    <n v="1.9278903603553772"/>
    <n v="0.15074037253759284"/>
    <n v="2.8148143291473389"/>
    <s v="km/l"/>
    <s v="Diesel 2050 SEMI TRUCK - TYPICAL 2050 Diesel 735 kW URBAN DELIVERY 39015.6 kg 35.5 l /100km 15%"/>
    <n v="0"/>
    <x v="1"/>
    <x v="1"/>
    <x v="2"/>
    <s v="Diesel km/l"/>
    <n v="159574.4680851064"/>
    <n v="126274.4680851064"/>
    <n v="33000"/>
    <n v="300"/>
    <n v="39015.599999999999"/>
    <n v="27255.599999999999"/>
    <n v="0"/>
    <n v="0.46924213339290427"/>
    <s v=""/>
    <m/>
  </r>
  <r>
    <s v="2050 SEMI TRUCK - TYPICAL"/>
    <s v="REGIONAL DELIVERY"/>
    <s v="2050 Diesel 735 kW"/>
    <x v="0"/>
    <n v="9.4314809013924403"/>
    <n v="2.3407531380653381"/>
    <n v="0.24818511138794283"/>
    <n v="3.8170039653778076"/>
    <s v="km/l"/>
    <s v="Diesel 2050 SEMI TRUCK - TYPICAL 2050 Diesel 735 kW REGIONAL DELIVERY 39015.6 kg 26.2 l /100km 25%"/>
    <n v="0"/>
    <x v="1"/>
    <x v="1"/>
    <x v="2"/>
    <s v="Diesel km/l"/>
    <n v="159574.4680851064"/>
    <n v="126274.4680851064"/>
    <n v="33000"/>
    <n v="300"/>
    <n v="39015.599999999999"/>
    <n v="27255.599999999999"/>
    <n v="0"/>
    <n v="0.34603827842323925"/>
    <s v=""/>
    <m/>
  </r>
  <r>
    <s v="2050 SEMI TRUCK - TYPICAL"/>
    <s v="LONG HAUL"/>
    <s v="2050 Diesel 735 kW"/>
    <x v="0"/>
    <n v="7.2362226573046939"/>
    <n v="2.6063551902770996"/>
    <n v="0.36018172929575104"/>
    <n v="4.9749712944030762"/>
    <s v="km/l"/>
    <s v="Diesel 2050 SEMI TRUCK - TYPICAL 2050 Diesel 735 kW LONG HAUL 39015.6 kg 20.1 l /100km 36%"/>
    <n v="0"/>
    <x v="1"/>
    <x v="1"/>
    <x v="2"/>
    <s v="Diesel km/l"/>
    <n v="159574.4680851064"/>
    <n v="126274.4680851064"/>
    <n v="33000"/>
    <n v="300"/>
    <n v="39015.599999999999"/>
    <n v="27255.599999999999"/>
    <n v="0"/>
    <n v="0.26549489489516631"/>
    <s v=""/>
    <m/>
  </r>
  <r>
    <s v="2050 SEMI TRUCK - FULL"/>
    <s v="URBAN DELIVERY"/>
    <s v="2050 Diesel 735 kW"/>
    <x v="0"/>
    <n v="19.034318133858346"/>
    <n v="2.7512238621711731"/>
    <n v="0.14454018488202536"/>
    <n v="1.8913207054138184"/>
    <s v="km/l"/>
    <s v="Diesel 2050 SEMI TRUCK - FULL 2050 Diesel 735 kW URBAN DELIVERY 60000 kg 52.9 l /100km 14%"/>
    <n v="0"/>
    <x v="1"/>
    <x v="2"/>
    <x v="2"/>
    <s v="Diesel km/l"/>
    <n v="159574.4680851064"/>
    <n v="126274.4680851064"/>
    <n v="33000"/>
    <n v="300"/>
    <n v="60000"/>
    <n v="48240"/>
    <n v="0"/>
    <n v="0.39457541736853952"/>
    <s v=""/>
    <m/>
  </r>
  <r>
    <s v="2050 SEMI TRUCK - FULL"/>
    <s v="REGIONAL DELIVERY"/>
    <s v="2050 Diesel 735 kW"/>
    <x v="0"/>
    <n v="13.518166338101556"/>
    <n v="3.1640727519989014"/>
    <n v="0.23406079440529007"/>
    <n v="2.6630830764770508"/>
    <s v="km/l"/>
    <s v="Diesel 2050 SEMI TRUCK - FULL 2050 Diesel 735 kW REGIONAL DELIVERY 60000 kg 37.6 l /100km 23%"/>
    <n v="0"/>
    <x v="1"/>
    <x v="2"/>
    <x v="2"/>
    <s v="Diesel km/l"/>
    <n v="159574.4680851064"/>
    <n v="126274.4680851064"/>
    <n v="33000"/>
    <n v="300"/>
    <n v="60000"/>
    <n v="48240"/>
    <n v="0"/>
    <n v="0.28022732873344852"/>
    <s v=""/>
    <m/>
  </r>
  <r>
    <s v="2050 SEMI TRUCK - FULL"/>
    <s v="LONG HAUL"/>
    <s v="2050 Diesel 735 kW"/>
    <x v="0"/>
    <n v="10.040885994888953"/>
    <n v="3.4297680854797363"/>
    <n v="0.34158022381944869"/>
    <n v="3.5853409767150879"/>
    <s v="km/l"/>
    <s v="Diesel 2050 SEMI TRUCK - FULL 2050 Diesel 735 kW LONG HAUL 60000 kg 27.9 l /100km 34%"/>
    <n v="0"/>
    <x v="1"/>
    <x v="2"/>
    <x v="2"/>
    <s v="Diesel km/l"/>
    <n v="159574.4680851064"/>
    <n v="126274.4680851064"/>
    <n v="33000"/>
    <n v="300"/>
    <n v="60000"/>
    <n v="48240"/>
    <n v="0"/>
    <n v="0.20814440287912422"/>
    <s v=""/>
    <m/>
  </r>
  <r>
    <s v="2050 CITY BUS - EMPTY"/>
    <s v="CITY ROUTE"/>
    <s v="2050 Diesel 735 kW"/>
    <x v="0"/>
    <n v="5.5076298547461713"/>
    <n v="0.76092469692230225"/>
    <n v="0.13815828532242039"/>
    <n v="6.5363869667053223"/>
    <s v="km/l"/>
    <s v="Diesel 2050 CITY BUS - EMPTY 2050 Diesel 735 kW CITY ROUTE 8825 kg 15.3 l /100km 14%"/>
    <n v="0"/>
    <x v="1"/>
    <x v="0"/>
    <x v="3"/>
    <s v="Diesel km/l"/>
    <n v="169400"/>
    <n v="150100"/>
    <n v="19000"/>
    <n v="300"/>
    <n v="8825"/>
    <n v="0"/>
    <n v="0"/>
    <e v="#N/A"/>
    <s v=""/>
    <m/>
  </r>
  <r>
    <s v="2050 CITY BUS - EMPTY"/>
    <s v="RURAL ROUTE"/>
    <s v="2050 Diesel 735 kW"/>
    <x v="0"/>
    <n v="3.822318123710557"/>
    <n v="1.3874135613441467"/>
    <n v="0.36297699888917145"/>
    <n v="9.4183683395385742"/>
    <s v="km/l"/>
    <s v="Diesel 2050 CITY BUS - EMPTY 2050 Diesel 735 kW RURAL ROUTE 8825 kg 10.6 l /100km 36%"/>
    <n v="0"/>
    <x v="1"/>
    <x v="0"/>
    <x v="3"/>
    <s v="Diesel km/l"/>
    <n v="169400"/>
    <n v="150100"/>
    <n v="19000"/>
    <n v="300"/>
    <n v="8825"/>
    <n v="0"/>
    <n v="0"/>
    <e v="#N/A"/>
    <s v=""/>
    <m/>
  </r>
  <r>
    <s v="2050 CITY BUS - EMPTY"/>
    <s v="MOTORWAY"/>
    <s v="2050 Diesel 735 kW"/>
    <x v="0"/>
    <n v="3.9932424670115392"/>
    <n v="1.7288905382156372"/>
    <n v="0.43295405988945707"/>
    <n v="9.0152301788330078"/>
    <s v="km/l"/>
    <s v="Diesel 2050 CITY BUS - EMPTY 2050 Diesel 735 kW MOTORWAY 8825 kg 11.1 l /100km 43%"/>
    <n v="0"/>
    <x v="1"/>
    <x v="0"/>
    <x v="3"/>
    <s v="Diesel km/l"/>
    <n v="169400"/>
    <n v="150100"/>
    <n v="19000"/>
    <n v="300"/>
    <n v="8825"/>
    <n v="0"/>
    <n v="0"/>
    <e v="#N/A"/>
    <s v=""/>
    <m/>
  </r>
  <r>
    <s v="2050 CITY BUS - TYPICAL"/>
    <s v="CITY ROUTE"/>
    <s v="2050 Diesel 735 kW"/>
    <x v="0"/>
    <n v="5.9588762209199073"/>
    <n v="0.79388225078582764"/>
    <n v="0.13322684032246457"/>
    <n v="6.041407585144043"/>
    <s v="km/l"/>
    <s v="Diesel 2050 CITY BUS - TYPICAL 2050 Diesel 735 kW CITY ROUTE 9665 kg 16.6 l /100km 13%"/>
    <n v="0"/>
    <x v="1"/>
    <x v="1"/>
    <x v="3"/>
    <s v="Diesel km/l"/>
    <n v="169400"/>
    <n v="150100"/>
    <n v="19000"/>
    <n v="300"/>
    <n v="9665"/>
    <n v="840"/>
    <n v="12"/>
    <n v="7.0939002629998891"/>
    <n v="0.4965730184099923"/>
    <m/>
  </r>
  <r>
    <s v="2050 CITY BUS - TYPICAL"/>
    <s v="RURAL ROUTE"/>
    <s v="2050 Diesel 735 kW"/>
    <x v="0"/>
    <n v="3.9742765679546141"/>
    <n v="1.4203770458698273"/>
    <n v="0.35739260254875344"/>
    <n v="9.0582523345947266"/>
    <s v="km/l"/>
    <s v="Diesel 2050 CITY BUS - TYPICAL 2050 Diesel 735 kW RURAL ROUTE 9665 kg 11.0 l /100km 36%"/>
    <n v="0"/>
    <x v="1"/>
    <x v="1"/>
    <x v="3"/>
    <s v="Diesel km/l"/>
    <n v="169400"/>
    <n v="150100"/>
    <n v="19000"/>
    <n v="300"/>
    <n v="9665"/>
    <n v="840"/>
    <n v="12"/>
    <n v="4.7312816285173982"/>
    <n v="0.33118971399621783"/>
    <m/>
  </r>
  <r>
    <s v="2050 CITY BUS - TYPICAL"/>
    <s v="MOTORWAY"/>
    <s v="2050 Diesel 735 kW"/>
    <x v="0"/>
    <n v="4.0794674447056956"/>
    <n v="1.7618549466133118"/>
    <n v="0.43188356580706017"/>
    <n v="8.824681282043457"/>
    <s v="km/l"/>
    <s v="Diesel 2050 CITY BUS - TYPICAL 2050 Diesel 735 kW MOTORWAY 9665 kg 11.3 l /100km 43%"/>
    <n v="0"/>
    <x v="1"/>
    <x v="1"/>
    <x v="3"/>
    <s v="Diesel km/l"/>
    <n v="169400"/>
    <n v="150100"/>
    <n v="19000"/>
    <n v="300"/>
    <n v="9665"/>
    <n v="840"/>
    <n v="12"/>
    <n v="4.8565088627448754"/>
    <n v="0.33995562039214128"/>
    <m/>
  </r>
  <r>
    <s v="2050 CITY BUS - FULL"/>
    <s v="CITY ROUTE"/>
    <s v="2050 Diesel 735 kW"/>
    <x v="0"/>
    <n v="10.433210671058252"/>
    <n v="1.1205986738204956"/>
    <n v="0.10740688644666581"/>
    <n v="3.4505198001861572"/>
    <s v="km/l"/>
    <s v="Diesel 2050 CITY BUS - FULL 2050 Diesel 735 kW CITY ROUTE 18000 kg 29.0 l /100km 11%"/>
    <n v="0"/>
    <x v="1"/>
    <x v="2"/>
    <x v="3"/>
    <s v="Diesel km/l"/>
    <n v="169400"/>
    <n v="150100"/>
    <n v="19000"/>
    <n v="300"/>
    <n v="18000"/>
    <n v="9175"/>
    <n v="63"/>
    <n v="1.1371346780444962"/>
    <n v="0.16560651858822623"/>
    <m/>
  </r>
  <r>
    <s v="2050 CITY BUS - FULL"/>
    <s v="RURAL ROUTE"/>
    <s v="2050 Diesel 735 kW"/>
    <x v="0"/>
    <n v="5.514136455125624"/>
    <n v="1.7474474310874939"/>
    <n v="0.31690318970310705"/>
    <n v="6.5286741256713867"/>
    <s v="km/l"/>
    <s v="Diesel 2050 CITY BUS - FULL 2050 Diesel 735 kW RURAL ROUTE 18000 kg 15.3 l /100km 32%"/>
    <n v="0"/>
    <x v="1"/>
    <x v="2"/>
    <x v="3"/>
    <s v="Diesel km/l"/>
    <n v="169400"/>
    <n v="150100"/>
    <n v="19000"/>
    <n v="300"/>
    <n v="18000"/>
    <n v="9175"/>
    <n v="63"/>
    <n v="0.60099579892377375"/>
    <n v="8.7525975478184512E-2"/>
    <m/>
  </r>
  <r>
    <s v="2050 CITY BUS - FULL"/>
    <s v="MOTORWAY"/>
    <s v="2050 Diesel 735 kW"/>
    <x v="0"/>
    <n v="5.0395408270543891"/>
    <n v="2.0889288783073425"/>
    <n v="0.41450777957648199"/>
    <n v="7.1435079574584961"/>
    <s v="km/l"/>
    <s v="Diesel 2050 CITY BUS - FULL 2050 Diesel 735 kW MOTORWAY 18000 kg 14.0 l /100km 41%"/>
    <n v="0"/>
    <x v="1"/>
    <x v="2"/>
    <x v="3"/>
    <s v="Diesel km/l"/>
    <n v="169400"/>
    <n v="150100"/>
    <n v="19000"/>
    <n v="300"/>
    <n v="18000"/>
    <n v="9175"/>
    <n v="63"/>
    <n v="0.54926875499230399"/>
    <n v="7.9992711540545852E-2"/>
    <m/>
  </r>
  <r>
    <s v="2050 TOURIST BUS - EMPTY"/>
    <s v="CITY ROUTE"/>
    <s v="2050 Diesel 735 kW"/>
    <x v="0"/>
    <n v="6.6218458237075808"/>
    <n v="0.76181226968765259"/>
    <n v="0.11504530458262963"/>
    <n v="5.4365506172180176"/>
    <s v="km/l"/>
    <s v="Diesel 2050 TOURIST BUS - EMPTY 2050 Diesel 735 kW CITY ROUTE 11200 kg 18.4 l /100km 12%"/>
    <n v="0"/>
    <x v="1"/>
    <x v="0"/>
    <x v="4"/>
    <s v="Diesel km/l"/>
    <n v="259900"/>
    <n v="240600"/>
    <n v="19000"/>
    <n v="300"/>
    <n v="11200"/>
    <n v="0"/>
    <n v="0"/>
    <e v="#N/A"/>
    <s v=""/>
    <m/>
  </r>
  <r>
    <s v="2050 TOURIST BUS - EMPTY"/>
    <s v="RURAL ROUTE"/>
    <s v="2050 Diesel 735 kW"/>
    <x v="0"/>
    <n v="3.7703992671896267"/>
    <n v="1.2492524683475494"/>
    <n v="0.33133161233577124"/>
    <n v="9.548060417175293"/>
    <s v="km/l"/>
    <s v="Diesel 2050 TOURIST BUS - EMPTY 2050 Diesel 735 kW RURAL ROUTE 11200 kg 10.5 l /100km 33%"/>
    <n v="0"/>
    <x v="1"/>
    <x v="0"/>
    <x v="4"/>
    <s v="Diesel km/l"/>
    <n v="259900"/>
    <n v="240600"/>
    <n v="19000"/>
    <n v="300"/>
    <n v="11200"/>
    <n v="0"/>
    <n v="0"/>
    <e v="#N/A"/>
    <s v=""/>
    <m/>
  </r>
  <r>
    <s v="2050 TOURIST BUS - EMPTY"/>
    <s v="MOTORWAY"/>
    <s v="2050 Diesel 735 kW"/>
    <x v="0"/>
    <n v="3.6077575788622478"/>
    <n v="1.5148498117923737"/>
    <n v="0.41988680743624157"/>
    <n v="9.9784975051879883"/>
    <s v="km/l"/>
    <s v="Diesel 2050 TOURIST BUS - EMPTY 2050 Diesel 735 kW MOTORWAY 11200 kg 10.0 l /100km 42%"/>
    <n v="0"/>
    <x v="1"/>
    <x v="0"/>
    <x v="4"/>
    <s v="Diesel km/l"/>
    <n v="259900"/>
    <n v="240600"/>
    <n v="19000"/>
    <n v="300"/>
    <n v="11200"/>
    <n v="0"/>
    <n v="0"/>
    <e v="#N/A"/>
    <s v=""/>
    <m/>
  </r>
  <r>
    <s v="2050 TOURIST BUS - TYPICAL"/>
    <s v="CITY ROUTE"/>
    <s v="2050 Diesel 735 kW"/>
    <x v="0"/>
    <n v="7.5531642515073818"/>
    <n v="0.83041444420814514"/>
    <n v="0.10994259049012732"/>
    <n v="4.7662143707275391"/>
    <s v="km/l"/>
    <s v="Diesel 2050 TOURIST BUS - TYPICAL 2050 Diesel 735 kW CITY ROUTE 12950 kg 21.0 l /100km 11%"/>
    <n v="0"/>
    <x v="1"/>
    <x v="1"/>
    <x v="4"/>
    <s v="Diesel km/l"/>
    <n v="259900"/>
    <n v="240600"/>
    <n v="19000"/>
    <n v="300"/>
    <n v="12950"/>
    <n v="1750"/>
    <n v="25"/>
    <n v="4.3160938580042183"/>
    <n v="0.30212657006029525"/>
    <m/>
  </r>
  <r>
    <s v="2050 TOURIST BUS - TYPICAL"/>
    <s v="RURAL ROUTE"/>
    <s v="2050 Diesel 735 kW"/>
    <x v="0"/>
    <n v="4.1054019763577481"/>
    <n v="1.3179236054420471"/>
    <n v="0.32102181784676037"/>
    <n v="8.7689342498779297"/>
    <s v="km/l"/>
    <s v="Diesel 2050 TOURIST BUS - TYPICAL 2050 Diesel 735 kW RURAL ROUTE 12950 kg 11.4 l /100km 32%"/>
    <n v="0"/>
    <x v="1"/>
    <x v="1"/>
    <x v="4"/>
    <s v="Diesel km/l"/>
    <n v="259900"/>
    <n v="240600"/>
    <n v="19000"/>
    <n v="300"/>
    <n v="12950"/>
    <n v="1750"/>
    <n v="25"/>
    <n v="2.3459439864901417"/>
    <n v="0.16421607905430993"/>
    <m/>
  </r>
  <r>
    <s v="2050 TOURIST BUS - TYPICAL"/>
    <s v="MOTORWAY"/>
    <s v="2050 Diesel 735 kW"/>
    <x v="0"/>
    <n v="3.817105675482976"/>
    <n v="1.583520770072937"/>
    <n v="0.41484855403500853"/>
    <n v="9.4312295913696289"/>
    <s v="km/l"/>
    <s v="Diesel 2050 TOURIST BUS - TYPICAL 2050 Diesel 735 kW MOTORWAY 12950 kg 10.6 l /100km 41%"/>
    <n v="0"/>
    <x v="1"/>
    <x v="1"/>
    <x v="4"/>
    <s v="Diesel km/l"/>
    <n v="259900"/>
    <n v="240600"/>
    <n v="19000"/>
    <n v="300"/>
    <n v="12950"/>
    <n v="1750"/>
    <n v="25"/>
    <n v="2.1812032431331292"/>
    <n v="0.15268422701931905"/>
    <m/>
  </r>
  <r>
    <s v="2050 TOURIST BUS - FULL"/>
    <s v="CITY ROUTE"/>
    <s v="2050 Diesel 735 kW"/>
    <x v="0"/>
    <n v="11.084132261762823"/>
    <n v="1.0871825814247131"/>
    <n v="9.8084591175007091E-2"/>
    <n v="3.2478861808776855"/>
    <s v="km/l"/>
    <s v="Diesel 2050 TOURIST BUS - FULL 2050 Diesel 735 kW CITY ROUTE 19500 kg 30.8 l /100km 10%"/>
    <n v="0"/>
    <x v="1"/>
    <x v="2"/>
    <x v="4"/>
    <s v="Diesel km/l"/>
    <n v="259900"/>
    <n v="240600"/>
    <n v="19000"/>
    <n v="300"/>
    <n v="19500"/>
    <n v="8300"/>
    <n v="55"/>
    <n v="1.3354376218991353"/>
    <n v="0.20152967748659678"/>
    <m/>
  </r>
  <r>
    <s v="2050 TOURIST BUS - FULL"/>
    <s v="RURAL ROUTE"/>
    <s v="2050 Diesel 735 kW"/>
    <x v="0"/>
    <n v="5.4320609533622166"/>
    <n v="1.5749465227127075"/>
    <n v="0.28993535533467862"/>
    <n v="6.6273188591003418"/>
    <s v="km/l"/>
    <s v="Diesel 2050 TOURIST BUS - FULL 2050 Diesel 735 kW RURAL ROUTE 19500 kg 15.1 l /100km 29%"/>
    <n v="0"/>
    <x v="1"/>
    <x v="2"/>
    <x v="4"/>
    <s v="Diesel km/l"/>
    <n v="259900"/>
    <n v="240600"/>
    <n v="19000"/>
    <n v="300"/>
    <n v="19500"/>
    <n v="8300"/>
    <n v="55"/>
    <n v="0.65446517510388147"/>
    <n v="9.8764744606585755E-2"/>
    <m/>
  </r>
  <r>
    <s v="2050 TOURIST BUS - FULL"/>
    <s v="MOTORWAY"/>
    <s v="2050 Diesel 735 kW"/>
    <x v="0"/>
    <n v="4.6358669818998024"/>
    <n v="1.8405457735061646"/>
    <n v="0.39702299067086244"/>
    <n v="7.7655377388000488"/>
    <s v="km/l"/>
    <s v="Diesel 2050 TOURIST BUS - FULL 2050 Diesel 735 kW MOTORWAY 19500 kg 12.9 l /100km 40%"/>
    <n v="0"/>
    <x v="1"/>
    <x v="2"/>
    <x v="4"/>
    <s v="Diesel km/l"/>
    <n v="259900"/>
    <n v="240600"/>
    <n v="19000"/>
    <n v="300"/>
    <n v="19500"/>
    <n v="8300"/>
    <n v="55"/>
    <n v="0.5585381905903376"/>
    <n v="8.4288490579996406E-2"/>
    <m/>
  </r>
  <r>
    <s v="2050 RIGID TRUCK - EMPTY"/>
    <s v="URBAN DELIVERY"/>
    <s v="2050 Electric 800 kW"/>
    <x v="1"/>
    <n v="1.4961465900191195"/>
    <n v="0.85323941707611084"/>
    <n v="0.57029132223280821"/>
    <n v="2.4061813354492188"/>
    <s v="km/kWh"/>
    <s v="Electricity 2050 RIGID TRUCK - EMPTY 2050 Electric 800 kW URBAN DELIVERY 8736 kg 41.6 kWh /100km 57%"/>
    <n v="0"/>
    <x v="1"/>
    <x v="0"/>
    <x v="0"/>
    <s v="Electricity km/kWh"/>
    <n v="177000"/>
    <n v="97000"/>
    <n v="50000"/>
    <n v="30000"/>
    <n v="8736"/>
    <n v="0"/>
    <n v="0"/>
    <e v="#N/A"/>
    <s v=""/>
    <m/>
  </r>
  <r>
    <s v="2050 RIGID TRUCK - EMPTY"/>
    <s v="REGIONAL DELIVERY"/>
    <s v="2050 Electric 800 kW"/>
    <x v="1"/>
    <n v="1.9654721879627068"/>
    <n v="1.3839121460914612"/>
    <n v="0.70411179286436165"/>
    <n v="1.8316209316253662"/>
    <s v="km/kWh"/>
    <s v="Electricity 2050 RIGID TRUCK - EMPTY 2050 Electric 800 kW REGIONAL DELIVERY 8736 kg 54.6 kWh /100km 70%"/>
    <n v="0"/>
    <x v="1"/>
    <x v="0"/>
    <x v="0"/>
    <s v="Electricity km/kWh"/>
    <n v="177000"/>
    <n v="97000"/>
    <n v="50000"/>
    <n v="30000"/>
    <n v="8736"/>
    <n v="0"/>
    <n v="0"/>
    <e v="#N/A"/>
    <s v=""/>
    <m/>
  </r>
  <r>
    <s v="2050 RIGID TRUCK - EMPTY"/>
    <s v="LONG HAUL"/>
    <s v="2050 Electric 800 kW"/>
    <x v="1"/>
    <n v="2.2653506688971867"/>
    <n v="1.7253945469856262"/>
    <n v="0.76164567838213726"/>
    <n v="1.5891579389572144"/>
    <s v="km/kWh"/>
    <s v="Electricity 2050 RIGID TRUCK - EMPTY 2050 Electric 800 kW LONG HAUL 8736 kg 62.9 kWh /100km 76%"/>
    <n v="0"/>
    <x v="1"/>
    <x v="0"/>
    <x v="0"/>
    <s v="Electricity km/kWh"/>
    <n v="177000"/>
    <n v="97000"/>
    <n v="50000"/>
    <n v="30000"/>
    <n v="8736"/>
    <n v="0"/>
    <n v="0"/>
    <e v="#N/A"/>
    <s v=""/>
    <m/>
  </r>
  <r>
    <s v="2050 RIGID TRUCK - TYPICAL"/>
    <s v="URBAN DELIVERY"/>
    <s v="2050 Electric 800 kW"/>
    <x v="1"/>
    <n v="2.2113310051582857"/>
    <n v="1.1880769729614258"/>
    <n v="0.53726781300042592"/>
    <n v="1.6279788017272949"/>
    <s v="km/kWh"/>
    <s v="Electricity 2050 RIGID TRUCK - TYPICAL 2050 Electric 800 kW URBAN DELIVERY 17269.952 kg 61.4 kWh /100km 54%"/>
    <n v="0"/>
    <x v="1"/>
    <x v="1"/>
    <x v="0"/>
    <s v="Electricity km/kWh"/>
    <n v="177000"/>
    <n v="97000"/>
    <n v="50000"/>
    <n v="30000"/>
    <n v="17269.951999999997"/>
    <n v="8533.9519999999993"/>
    <n v="0"/>
    <n v="0.25912156585346224"/>
    <s v=""/>
    <m/>
  </r>
  <r>
    <s v="2050 RIGID TRUCK - TYPICAL"/>
    <s v="REGIONAL DELIVERY"/>
    <s v="2050 Electric 800 kW"/>
    <x v="1"/>
    <n v="2.5420957200112735"/>
    <n v="1.7187904715538025"/>
    <n v="0.67613129514500747"/>
    <n v="1.4161543846130371"/>
    <s v="km/kWh"/>
    <s v="Electricity 2050 RIGID TRUCK - TYPICAL 2050 Electric 800 kW REGIONAL DELIVERY 17269.952 kg 70.6 kWh /100km 68%"/>
    <n v="0"/>
    <x v="1"/>
    <x v="1"/>
    <x v="0"/>
    <s v="Electricity km/kWh"/>
    <n v="177000"/>
    <n v="97000"/>
    <n v="50000"/>
    <n v="30000"/>
    <n v="17269.951999999997"/>
    <n v="8533.9519999999993"/>
    <n v="0"/>
    <n v="0.29788024587099549"/>
    <s v=""/>
    <m/>
  </r>
  <r>
    <s v="2050 RIGID TRUCK - TYPICAL"/>
    <s v="LONG HAUL"/>
    <s v="2050 Electric 800 kW"/>
    <x v="1"/>
    <n v="2.6681462239033089"/>
    <n v="2.0602776408195496"/>
    <n v="0.77217568601075748"/>
    <n v="1.349251389503479"/>
    <s v="km/kWh"/>
    <s v="Electricity 2050 RIGID TRUCK - TYPICAL 2050 Electric 800 kW LONG HAUL 17269.952 kg 74.1 kWh /100km 77%"/>
    <n v="0"/>
    <x v="1"/>
    <x v="1"/>
    <x v="0"/>
    <s v="Electricity km/kWh"/>
    <n v="177000"/>
    <n v="97000"/>
    <n v="50000"/>
    <n v="30000"/>
    <n v="17269.951999999997"/>
    <n v="8533.9519999999993"/>
    <n v="0"/>
    <n v="0.31265071843658238"/>
    <s v=""/>
    <m/>
  </r>
  <r>
    <s v="2050 RIGID TRUCK - FULL"/>
    <s v="URBAN DELIVERY"/>
    <s v="2050 Electric 800 kW"/>
    <x v="1"/>
    <n v="3.1030239261430914"/>
    <n v="1.6090804934501648"/>
    <n v="0.51855239654892826"/>
    <n v="1.160158634185791"/>
    <s v="km/kWh"/>
    <s v="Electricity 2050 RIGID TRUCK - FULL 2050 Electric 800 kW URBAN DELIVERY 28000 kg 86.2 kWh /100km 52%"/>
    <n v="0"/>
    <x v="1"/>
    <x v="2"/>
    <x v="0"/>
    <s v="Electricity km/kWh"/>
    <n v="177000"/>
    <n v="97000"/>
    <n v="50000"/>
    <n v="30000"/>
    <n v="28000"/>
    <n v="19264"/>
    <n v="0"/>
    <n v="0.16107889982055085"/>
    <s v=""/>
    <m/>
  </r>
  <r>
    <s v="2050 RIGID TRUCK - FULL"/>
    <s v="REGIONAL DELIVERY"/>
    <s v="2050 Electric 800 kW"/>
    <x v="1"/>
    <n v="3.3099338166436936"/>
    <n v="2.1398395299911499"/>
    <n v="0.64649012594486521"/>
    <n v="1.0876350402832031"/>
    <s v="km/kWh"/>
    <s v="Electricity 2050 RIGID TRUCK - FULL 2050 Electric 800 kW REGIONAL DELIVERY 28000 kg 91.9 kWh /100km 65%"/>
    <n v="0"/>
    <x v="1"/>
    <x v="2"/>
    <x v="0"/>
    <s v="Electricity km/kWh"/>
    <n v="177000"/>
    <n v="97000"/>
    <n v="50000"/>
    <n v="30000"/>
    <n v="28000"/>
    <n v="19264"/>
    <n v="0"/>
    <n v="0.17181965410318178"/>
    <s v=""/>
    <m/>
  </r>
  <r>
    <s v="2050 RIGID TRUCK - FULL"/>
    <s v="LONG HAUL"/>
    <s v="2050 Electric 800 kW"/>
    <x v="1"/>
    <n v="3.2126877756541177"/>
    <n v="2.4813201427459717"/>
    <n v="0.77235023009379233"/>
    <n v="1.1205570697784424"/>
    <s v="km/kWh"/>
    <s v="Electricity 2050 RIGID TRUCK - FULL 2050 Electric 800 kW LONG HAUL 28000 kg 89.2 kWh /100km 77%"/>
    <n v="0"/>
    <x v="1"/>
    <x v="2"/>
    <x v="0"/>
    <s v="Electricity km/kWh"/>
    <n v="177000"/>
    <n v="97000"/>
    <n v="50000"/>
    <n v="30000"/>
    <n v="28000"/>
    <n v="19264"/>
    <n v="0"/>
    <n v="0.16677158303852355"/>
    <s v=""/>
    <m/>
  </r>
  <r>
    <s v="2050 TRUCK WITH TRAILER - EMPTY"/>
    <s v="URBAN DELIVERY"/>
    <s v="2050 Electric 800 kW"/>
    <x v="1"/>
    <n v="1.9686411560039339"/>
    <n v="1.1247583627700806"/>
    <n v="0.57133742192669723"/>
    <n v="1.8286725282669067"/>
    <s v="km/kWh"/>
    <s v="Electricity 2050 TRUCK WITH TRAILER - EMPTY 2050 Electric 800 kW URBAN DELIVERY 12765.26102271 kg 54.7 kWh /100km 57%"/>
    <n v="0"/>
    <x v="1"/>
    <x v="0"/>
    <x v="1"/>
    <s v="Electricity km/kWh"/>
    <n v="188464.74734042553"/>
    <n v="23464.747340425529"/>
    <n v="120000"/>
    <n v="45000"/>
    <n v="12765.261022709999"/>
    <n v="0"/>
    <n v="0"/>
    <e v="#N/A"/>
    <s v=""/>
    <m/>
  </r>
  <r>
    <s v="2050 TRUCK WITH TRAILER - EMPTY"/>
    <s v="REGIONAL DELIVERY"/>
    <s v="2050 Electric 800 kW"/>
    <x v="1"/>
    <n v="2.5007965386492002"/>
    <n v="1.7733700275421143"/>
    <n v="0.70912207376134495"/>
    <n v="1.4395413398742676"/>
    <s v="km/kWh"/>
    <s v="Electricity 2050 TRUCK WITH TRAILER - EMPTY 2050 Electric 800 kW REGIONAL DELIVERY 12765.26102271 kg 69.5 kWh /100km 71%"/>
    <n v="0"/>
    <x v="1"/>
    <x v="0"/>
    <x v="1"/>
    <s v="Electricity km/kWh"/>
    <n v="188464.74734042553"/>
    <n v="23464.747340425529"/>
    <n v="120000"/>
    <n v="45000"/>
    <n v="12765.261022709999"/>
    <n v="0"/>
    <n v="0"/>
    <e v="#N/A"/>
    <s v=""/>
    <m/>
  </r>
  <r>
    <s v="2050 TRUCK WITH TRAILER - EMPTY"/>
    <s v="LONG HAUL"/>
    <s v="2050 Electric 800 kW"/>
    <x v="1"/>
    <n v="2.8081200160012409"/>
    <n v="2.1907400488853455"/>
    <n v="0.78014473612312207"/>
    <n v="1.281996488571167"/>
    <s v="km/kWh"/>
    <s v="Electricity 2050 TRUCK WITH TRAILER - EMPTY 2050 Electric 800 kW LONG HAUL 12765.26102271 kg 78.0 kWh /100km 78%"/>
    <n v="0"/>
    <x v="1"/>
    <x v="0"/>
    <x v="1"/>
    <s v="Electricity km/kWh"/>
    <n v="188464.74734042553"/>
    <n v="23464.747340425529"/>
    <n v="120000"/>
    <n v="45000"/>
    <n v="12765.261022709999"/>
    <n v="0"/>
    <n v="0"/>
    <e v="#N/A"/>
    <s v=""/>
    <m/>
  </r>
  <r>
    <s v="2050 TRUCK WITH TRAILER - TYPICAL"/>
    <s v="URBAN DELIVERY"/>
    <s v="2050 Electric 800 kW"/>
    <x v="1"/>
    <n v="4.2995993977511766"/>
    <n v="2.2158222794532776"/>
    <n v="0.5153555190774799"/>
    <n v="0.8372873067855835"/>
    <s v="km/kWh"/>
    <s v="Electricity 2050 TRUCK WITH TRAILER - TYPICAL 2050 Electric 800 kW URBAN DELIVERY 40582.8885448788 kg 119.4 kWh /100km 52%"/>
    <n v="0"/>
    <x v="1"/>
    <x v="1"/>
    <x v="1"/>
    <s v="Electricity km/kWh"/>
    <n v="188464.74734042553"/>
    <n v="23464.747340425529"/>
    <n v="120000"/>
    <n v="45000"/>
    <n v="40582.88854487885"/>
    <n v="27817.627522168848"/>
    <n v="0"/>
    <n v="0.15456384245294369"/>
    <s v=""/>
    <m/>
  </r>
  <r>
    <s v="2050 TRUCK WITH TRAILER - TYPICAL"/>
    <s v="REGIONAL DELIVERY"/>
    <s v="2050 Electric 800 kW"/>
    <x v="1"/>
    <n v="4.4629421231606372"/>
    <n v="2.8647351264953613"/>
    <n v="0.64189385554177159"/>
    <n v="0.80664277076721191"/>
    <s v="km/kWh"/>
    <s v="Electricity 2050 TRUCK WITH TRAILER - TYPICAL 2050 Electric 800 kW REGIONAL DELIVERY 40582.8885448788 kg 124.0 kWh /100km 64%"/>
    <n v="0"/>
    <x v="1"/>
    <x v="1"/>
    <x v="1"/>
    <s v="Electricity km/kWh"/>
    <n v="188464.74734042553"/>
    <n v="23464.747340425529"/>
    <n v="120000"/>
    <n v="45000"/>
    <n v="40582.88854487885"/>
    <n v="27817.627522168848"/>
    <n v="0"/>
    <n v="0.16043575677343302"/>
    <s v=""/>
    <m/>
  </r>
  <r>
    <s v="2050 TRUCK WITH TRAILER - TYPICAL"/>
    <s v="LONG HAUL"/>
    <s v="2050 Electric 800 kW"/>
    <x v="1"/>
    <n v="4.2176592883090116"/>
    <n v="3.2823300361633301"/>
    <n v="0.77823499049856071"/>
    <n v="0.85355401039123535"/>
    <s v="km/kWh"/>
    <s v="Electricity 2050 TRUCK WITH TRAILER - TYPICAL 2050 Electric 800 kW LONG HAUL 40582.8885448788 kg 117.2 kWh /100km 78%"/>
    <n v="0"/>
    <x v="1"/>
    <x v="1"/>
    <x v="1"/>
    <s v="Electricity km/kWh"/>
    <n v="188464.74734042553"/>
    <n v="23464.747340425529"/>
    <n v="120000"/>
    <n v="45000"/>
    <n v="40582.88854487885"/>
    <n v="27817.627522168848"/>
    <n v="0"/>
    <n v="0.15161822426976598"/>
    <s v=""/>
    <m/>
  </r>
  <r>
    <s v="2050 TRUCK WITH TRAILER - FULL"/>
    <s v="URBAN DELIVERY"/>
    <s v="2050 Electric 800 kW"/>
    <x v="1"/>
    <n v="6.2778363647948359"/>
    <n v="3.0488393306732178"/>
    <n v="0.48565129027106396"/>
    <n v="0.57344597578048706"/>
    <s v="km/kWh"/>
    <s v="Electricity 2050 TRUCK WITH TRAILER - FULL 2050 Electric 800 kW URBAN DELIVERY 62000 kg 174.4 kWh /100km 49%"/>
    <n v="0"/>
    <x v="1"/>
    <x v="2"/>
    <x v="1"/>
    <s v="Electricity km/kWh"/>
    <n v="188464.74734042553"/>
    <n v="23464.747340425529"/>
    <n v="120000"/>
    <n v="45000"/>
    <n v="62000"/>
    <n v="49234.738977289999"/>
    <n v="0"/>
    <n v="0.12750826946986657"/>
    <s v=""/>
    <m/>
  </r>
  <r>
    <s v="2050 TRUCK WITH TRAILER - FULL"/>
    <s v="REGIONAL DELIVERY"/>
    <s v="2050 Electric 800 kW"/>
    <x v="1"/>
    <n v="6.0577906096688388"/>
    <n v="3.7035121917724609"/>
    <n v="0.61136352020178542"/>
    <n v="0.5942760705947876"/>
    <s v="km/kWh"/>
    <s v="Electricity 2050 TRUCK WITH TRAILER - FULL 2050 Electric 800 kW REGIONAL DELIVERY 62000 kg 168.3 kWh /100km 61%"/>
    <n v="0"/>
    <x v="1"/>
    <x v="2"/>
    <x v="1"/>
    <s v="Electricity km/kWh"/>
    <n v="188464.74734042553"/>
    <n v="23464.747340425529"/>
    <n v="120000"/>
    <n v="45000"/>
    <n v="62000"/>
    <n v="49234.738977289999"/>
    <n v="0"/>
    <n v="0.12303895045453686"/>
    <s v=""/>
    <m/>
  </r>
  <r>
    <s v="2050 TRUCK WITH TRAILER - FULL"/>
    <s v="LONG HAUL"/>
    <s v="2050 Electric 800 kW"/>
    <x v="1"/>
    <n v="5.3595535732825468"/>
    <n v="4.1227357387542725"/>
    <n v="0.76923118360196463"/>
    <n v="0.67169773578643799"/>
    <s v="km/kWh"/>
    <s v="Electricity 2050 TRUCK WITH TRAILER - FULL 2050 Electric 800 kW LONG HAUL 62000 kg 148.9 kWh /100km 77%"/>
    <n v="0"/>
    <x v="1"/>
    <x v="2"/>
    <x v="1"/>
    <s v="Electricity km/kWh"/>
    <n v="188464.74734042553"/>
    <n v="23464.747340425529"/>
    <n v="120000"/>
    <n v="45000"/>
    <n v="62000"/>
    <n v="49234.738977289999"/>
    <n v="0"/>
    <n v="0.10885715420883399"/>
    <s v=""/>
    <m/>
  </r>
  <r>
    <s v="2050 SEMI TRUCK - EMPTY"/>
    <s v="URBAN DELIVERY"/>
    <s v="2050 Electric 800 kW"/>
    <x v="1"/>
    <n v="1.7792954484687591"/>
    <n v="0.93692409992218018"/>
    <n v="0.52657027854957206"/>
    <n v="2.0232727527618408"/>
    <s v="km/kWh"/>
    <s v="Electricity 2050 SEMI TRUCK - EMPTY 2050 Electric 800 kW URBAN DELIVERY 13760 kg 49.4 kWh /100km 53%"/>
    <n v="0"/>
    <x v="1"/>
    <x v="0"/>
    <x v="2"/>
    <s v="Electricity km/kWh"/>
    <n v="169914.21542553193"/>
    <n v="7914.2154255319329"/>
    <n v="90000"/>
    <n v="72000"/>
    <n v="13760"/>
    <n v="0"/>
    <n v="0"/>
    <e v="#N/A"/>
    <s v=""/>
    <m/>
  </r>
  <r>
    <s v="2050 SEMI TRUCK - EMPTY"/>
    <s v="REGIONAL DELIVERY"/>
    <s v="2050 Electric 800 kW"/>
    <x v="1"/>
    <n v="2.0360862388256757"/>
    <n v="1.349700927734375"/>
    <n v="0.66288986291308694"/>
    <n v="1.768097996711731"/>
    <s v="km/kWh"/>
    <s v="Electricity 2050 SEMI TRUCK - EMPTY 2050 Electric 800 kW REGIONAL DELIVERY 13760 kg 56.6 kWh /100km 66%"/>
    <n v="0"/>
    <x v="1"/>
    <x v="0"/>
    <x v="2"/>
    <s v="Electricity km/kWh"/>
    <n v="169914.21542553193"/>
    <n v="7914.2154255319329"/>
    <n v="90000"/>
    <n v="72000"/>
    <n v="13760"/>
    <n v="0"/>
    <n v="0"/>
    <e v="#N/A"/>
    <s v=""/>
    <m/>
  </r>
  <r>
    <s v="2050 SEMI TRUCK - EMPTY"/>
    <s v="LONG HAUL"/>
    <s v="2050 Electric 800 kW"/>
    <x v="1"/>
    <n v="2.1393652418300433"/>
    <n v="1.615300714969635"/>
    <n v="0.75503737435122764"/>
    <n v="1.6827421188354492"/>
    <s v="km/kWh"/>
    <s v="Electricity 2050 SEMI TRUCK - EMPTY 2050 Electric 800 kW LONG HAUL 13760 kg 59.4 kWh /100km 76%"/>
    <n v="0"/>
    <x v="1"/>
    <x v="0"/>
    <x v="2"/>
    <s v="Electricity km/kWh"/>
    <n v="169914.21542553193"/>
    <n v="7914.2154255319329"/>
    <n v="90000"/>
    <n v="72000"/>
    <n v="13760"/>
    <n v="0"/>
    <n v="0"/>
    <e v="#N/A"/>
    <s v=""/>
    <m/>
  </r>
  <r>
    <s v="2050 SEMI TRUCK - TYPICAL"/>
    <s v="URBAN DELIVERY"/>
    <s v="2050 Electric 800 kW"/>
    <x v="1"/>
    <n v="4.0857288761589672"/>
    <n v="2.0060800015926361"/>
    <n v="0.49099684839552327"/>
    <n v="0.88111573457717896"/>
    <s v="km/kWh"/>
    <s v="Electricity 2050 SEMI TRUCK - TYPICAL 2050 Electric 800 kW URBAN DELIVERY 41015.6 kg 113.5 kWh /100km 49%"/>
    <n v="0"/>
    <x v="1"/>
    <x v="1"/>
    <x v="2"/>
    <s v="Electricity km/kWh"/>
    <n v="169914.21542553193"/>
    <n v="7914.2154255319329"/>
    <n v="90000"/>
    <n v="72000"/>
    <n v="41015.599999999999"/>
    <n v="27255.599999999999"/>
    <n v="0"/>
    <n v="0.14990419862923463"/>
    <s v=""/>
    <m/>
  </r>
  <r>
    <s v="2050 SEMI TRUCK - TYPICAL"/>
    <s v="REGIONAL DELIVERY"/>
    <s v="2050 Electric 800 kW"/>
    <x v="1"/>
    <n v="3.9832682359334481"/>
    <n v="2.4190897345542908"/>
    <n v="0.60731278720610582"/>
    <n v="0.90378046035766602"/>
    <s v="km/kWh"/>
    <s v="Electricity 2050 SEMI TRUCK - TYPICAL 2050 Electric 800 kW REGIONAL DELIVERY 41015.6 kg 110.6 kWh /100km 61%"/>
    <n v="0"/>
    <x v="1"/>
    <x v="1"/>
    <x v="2"/>
    <s v="Electricity km/kWh"/>
    <n v="169914.21542553193"/>
    <n v="7914.2154255319329"/>
    <n v="90000"/>
    <n v="72000"/>
    <n v="41015.599999999999"/>
    <n v="27255.599999999999"/>
    <n v="0"/>
    <n v="0.1461449476780349"/>
    <s v=""/>
    <m/>
  </r>
  <r>
    <s v="2050 SEMI TRUCK - TYPICAL"/>
    <s v="LONG HAUL"/>
    <s v="2050 Electric 800 kW"/>
    <x v="1"/>
    <n v="3.5601989439766255"/>
    <n v="2.6848310232162476"/>
    <n v="0.75412387494766775"/>
    <n v="1.0111794471740723"/>
    <s v="km/kWh"/>
    <s v="Electricity 2050 SEMI TRUCK - TYPICAL 2050 Electric 800 kW LONG HAUL 41015.6 kg 98.9 kWh /100km 75%"/>
    <n v="0"/>
    <x v="1"/>
    <x v="1"/>
    <x v="2"/>
    <s v="Electricity km/kWh"/>
    <n v="169914.21542553193"/>
    <n v="7914.2154255319329"/>
    <n v="90000"/>
    <n v="72000"/>
    <n v="41015.599999999999"/>
    <n v="27255.599999999999"/>
    <n v="0"/>
    <n v="0.13062265897564632"/>
    <s v=""/>
    <m/>
  </r>
  <r>
    <s v="2050 SEMI TRUCK - FULL"/>
    <s v="URBAN DELIVERY"/>
    <s v="2050 Electric 800 kW"/>
    <x v="1"/>
    <n v="6.0374377255930654"/>
    <n v="2.8249415159225464"/>
    <n v="0.46790404213155651"/>
    <n v="0.59627944231033325"/>
    <s v="km/kWh"/>
    <s v="Electricity 2050 SEMI TRUCK - FULL 2050 Electric 800 kW URBAN DELIVERY 62000 kg 167.7 kWh /100km 47%"/>
    <n v="0"/>
    <x v="1"/>
    <x v="2"/>
    <x v="2"/>
    <s v="Electricity km/kWh"/>
    <n v="169914.21542553193"/>
    <n v="7914.2154255319329"/>
    <n v="90000"/>
    <n v="72000"/>
    <n v="62000"/>
    <n v="48240"/>
    <n v="0"/>
    <n v="0.12515418170798229"/>
    <s v=""/>
    <m/>
  </r>
  <r>
    <s v="2050 SEMI TRUCK - FULL"/>
    <s v="REGIONAL DELIVERY"/>
    <s v="2050 Electric 800 kW"/>
    <x v="1"/>
    <n v="5.5506638274009239"/>
    <n v="3.2415179014205933"/>
    <n v="0.58398742965099026"/>
    <n v="0.64857107400894165"/>
    <s v="km/kWh"/>
    <s v="Electricity 2050 SEMI TRUCK - FULL 2050 Electric 800 kW REGIONAL DELIVERY 62000 kg 154.2 kWh /100km 58%"/>
    <n v="0"/>
    <x v="1"/>
    <x v="2"/>
    <x v="2"/>
    <s v="Electricity km/kWh"/>
    <n v="169914.21542553193"/>
    <n v="7914.2154255319329"/>
    <n v="90000"/>
    <n v="72000"/>
    <n v="62000"/>
    <n v="48240"/>
    <n v="0"/>
    <n v="0.11506351217663607"/>
    <s v=""/>
    <m/>
  </r>
  <r>
    <s v="2050 SEMI TRUCK - FULL"/>
    <s v="LONG HAUL"/>
    <s v="2050 Electric 800 kW"/>
    <x v="1"/>
    <n v="4.6792559083200809"/>
    <n v="3.5082435607910156"/>
    <n v="0.7497438972194459"/>
    <n v="0.76935309171676636"/>
    <s v="km/kWh"/>
    <s v="Electricity 2050 SEMI TRUCK - FULL 2050 Electric 800 kW LONG HAUL 62000 kg 130.0 kWh /100km 75%"/>
    <n v="0"/>
    <x v="1"/>
    <x v="2"/>
    <x v="2"/>
    <s v="Electricity km/kWh"/>
    <n v="169914.21542553193"/>
    <n v="7914.2154255319329"/>
    <n v="90000"/>
    <n v="72000"/>
    <n v="62000"/>
    <n v="48240"/>
    <n v="0"/>
    <n v="9.6999500587066356E-2"/>
    <s v=""/>
    <m/>
  </r>
  <r>
    <s v="2050 CITY BUS - EMPTY"/>
    <s v="CITY ROUTE"/>
    <s v="2050 Electric 800 kW"/>
    <x v="1"/>
    <n v="1.9911162122901609"/>
    <n v="0.81663200259208679"/>
    <n v="0.41013778982433441"/>
    <n v="1.8080310821533203"/>
    <s v="km/kWh"/>
    <s v="Electricity 2050 CITY BUS - EMPTY 2050 Electric 800 kW CITY ROUTE 10250 kg 55.3 kWh /100km 41%"/>
    <n v="0"/>
    <x v="1"/>
    <x v="0"/>
    <x v="3"/>
    <s v="Electricity km/kWh"/>
    <n v="214137.93103448278"/>
    <n v="121137.93103448278"/>
    <n v="45000"/>
    <n v="48000"/>
    <n v="10250"/>
    <n v="0"/>
    <n v="0"/>
    <e v="#N/A"/>
    <s v=""/>
    <m/>
  </r>
  <r>
    <s v="2050 CITY BUS - EMPTY"/>
    <s v="RURAL ROUTE"/>
    <s v="2050 Electric 800 kW"/>
    <x v="1"/>
    <n v="2.0691387353274653"/>
    <n v="1.4433228969573975"/>
    <n v="0.69754766672471324"/>
    <n v="1.7398543357849121"/>
    <s v="km/kWh"/>
    <s v="Electricity 2050 CITY BUS - EMPTY 2050 Electric 800 kW RURAL ROUTE 10250 kg 57.5 kWh /100km 70%"/>
    <n v="0"/>
    <x v="1"/>
    <x v="0"/>
    <x v="3"/>
    <s v="Electricity km/kWh"/>
    <n v="214137.93103448278"/>
    <n v="121137.93103448278"/>
    <n v="45000"/>
    <n v="48000"/>
    <n v="10250"/>
    <n v="0"/>
    <n v="0"/>
    <e v="#N/A"/>
    <s v=""/>
    <m/>
  </r>
  <r>
    <s v="2050 CITY BUS - EMPTY"/>
    <s v="MOTORWAY"/>
    <s v="2050 Electric 800 kW"/>
    <x v="1"/>
    <n v="2.3331733897145792"/>
    <n v="1.7848064005374908"/>
    <n v="0.76496946536657917"/>
    <n v="1.542962908744812"/>
    <s v="km/kWh"/>
    <s v="Electricity 2050 CITY BUS - EMPTY 2050 Electric 800 kW MOTORWAY 10250 kg 64.8 kWh /100km 76%"/>
    <n v="0"/>
    <x v="1"/>
    <x v="0"/>
    <x v="3"/>
    <s v="Electricity km/kWh"/>
    <n v="214137.93103448278"/>
    <n v="121137.93103448278"/>
    <n v="45000"/>
    <n v="48000"/>
    <n v="10250"/>
    <n v="0"/>
    <n v="0"/>
    <e v="#N/A"/>
    <s v=""/>
    <m/>
  </r>
  <r>
    <s v="2050 CITY BUS - TYPICAL"/>
    <s v="CITY ROUTE"/>
    <s v="2050 Electric 800 kW"/>
    <x v="1"/>
    <n v="2.1003838197426417"/>
    <n v="0.84953615069389343"/>
    <n v="0.40446709915999374"/>
    <n v="1.7139724493026733"/>
    <s v="km/kWh"/>
    <s v="Electricity 2050 CITY BUS - TYPICAL 2050 Electric 800 kW CITY ROUTE 11090 kg 58.3 kWh /100km 40%"/>
    <n v="0"/>
    <x v="1"/>
    <x v="1"/>
    <x v="3"/>
    <s v="Electricity km/kWh"/>
    <n v="214137.93103448278"/>
    <n v="121137.93103448278"/>
    <n v="45000"/>
    <n v="48000"/>
    <n v="11090"/>
    <n v="840"/>
    <n v="12"/>
    <n v="2.5004569282650499"/>
    <n v="0.17503198497855346"/>
    <m/>
  </r>
  <r>
    <s v="2050 CITY BUS - TYPICAL"/>
    <s v="RURAL ROUTE"/>
    <s v="2050 Electric 800 kW"/>
    <x v="1"/>
    <n v="2.1236020534653708"/>
    <n v="1.4762859046459198"/>
    <n v="0.69518010789114792"/>
    <n v="1.6952328681945801"/>
    <s v="km/kWh"/>
    <s v="Electricity 2050 CITY BUS - TYPICAL 2050 Electric 800 kW RURAL ROUTE 11090 kg 59.0 kWh /100km 70%"/>
    <n v="0"/>
    <x v="1"/>
    <x v="1"/>
    <x v="3"/>
    <s v="Electricity km/kWh"/>
    <n v="214137.93103448278"/>
    <n v="121137.93103448278"/>
    <n v="45000"/>
    <n v="48000"/>
    <n v="11090"/>
    <n v="840"/>
    <n v="12"/>
    <n v="2.52809768269687"/>
    <n v="0.17696683778878089"/>
    <m/>
  </r>
  <r>
    <s v="2050 CITY BUS - TYPICAL"/>
    <s v="MOTORWAY"/>
    <s v="2050 Electric 800 kW"/>
    <x v="1"/>
    <n v="2.3713467022610923"/>
    <n v="1.8177686333656311"/>
    <n v="0.76655540568250879"/>
    <n v="1.5181246995925903"/>
    <s v="km/kWh"/>
    <s v="Electricity 2050 CITY BUS - TYPICAL 2050 Electric 800 kW MOTORWAY 11090 kg 65.9 kWh /100km 77%"/>
    <n v="0"/>
    <x v="1"/>
    <x v="1"/>
    <x v="3"/>
    <s v="Electricity km/kWh"/>
    <n v="214137.93103448278"/>
    <n v="121137.93103448278"/>
    <n v="45000"/>
    <n v="48000"/>
    <n v="11090"/>
    <n v="840"/>
    <n v="12"/>
    <n v="2.8230317884060625"/>
    <n v="0.19761222518842436"/>
    <m/>
  </r>
  <r>
    <s v="2050 CITY BUS - FULL"/>
    <s v="CITY ROUTE"/>
    <s v="2050 Electric 800 kW"/>
    <x v="1"/>
    <n v="3.0626880003212889"/>
    <n v="1.1203869581222534"/>
    <n v="0.36581818259147525"/>
    <n v="1.1754380464553833"/>
    <s v="km/kWh"/>
    <s v="Electricity 2050 CITY BUS - FULL 2050 Electric 800 kW CITY ROUTE 18000 kg 85.1 kWh /100km 37%"/>
    <n v="0"/>
    <x v="1"/>
    <x v="2"/>
    <x v="3"/>
    <s v="Electricity km/kWh"/>
    <n v="214137.93103448278"/>
    <n v="121137.93103448278"/>
    <n v="45000"/>
    <n v="48000"/>
    <n v="18000"/>
    <n v="7750"/>
    <n v="63"/>
    <n v="0.39518554842855336"/>
    <n v="4.8614095243195064E-2"/>
    <m/>
  </r>
  <r>
    <s v="2050 CITY BUS - FULL"/>
    <s v="RURAL ROUTE"/>
    <s v="2050 Electric 800 kW"/>
    <x v="1"/>
    <n v="2.5928673668730529"/>
    <n v="1.7474362850189209"/>
    <n v="0.67393971143471743"/>
    <n v="1.388424277305603"/>
    <s v="km/kWh"/>
    <s v="Electricity 2050 CITY BUS - FULL 2050 Electric 800 kW RURAL ROUTE 18000 kg 72.0 kWh /100km 67%"/>
    <n v="0"/>
    <x v="1"/>
    <x v="2"/>
    <x v="3"/>
    <s v="Electricity km/kWh"/>
    <n v="214137.93103448278"/>
    <n v="121137.93103448278"/>
    <n v="45000"/>
    <n v="48000"/>
    <n v="18000"/>
    <n v="7750"/>
    <n v="63"/>
    <n v="0.33456353120942617"/>
    <n v="4.1156624871000837E-2"/>
    <m/>
  </r>
  <r>
    <s v="2050 CITY BUS - FULL"/>
    <s v="MOTORWAY"/>
    <s v="2050 Electric 800 kW"/>
    <x v="1"/>
    <n v="2.7041310118337449"/>
    <n v="2.0889230370521545"/>
    <n v="0.77249328080284063"/>
    <n v="1.331296443939209"/>
    <s v="km/kWh"/>
    <s v="Electricity 2050 CITY BUS - FULL 2050 Electric 800 kW MOTORWAY 18000 kg 75.1 kWh /100km 77%"/>
    <n v="0"/>
    <x v="1"/>
    <x v="2"/>
    <x v="3"/>
    <s v="Electricity km/kWh"/>
    <n v="214137.93103448278"/>
    <n v="121137.93103448278"/>
    <n v="45000"/>
    <n v="48000"/>
    <n v="18000"/>
    <n v="7750"/>
    <n v="63"/>
    <n v="0.34892013055919291"/>
    <n v="4.2922714473551504E-2"/>
    <m/>
  </r>
  <r>
    <s v="2050 TOURIST BUS - EMPTY"/>
    <s v="CITY ROUTE"/>
    <s v="2050 Electric 800 kW"/>
    <x v="1"/>
    <n v="2.0110297889433477"/>
    <n v="0.76164537668228149"/>
    <n v="0.37873401024182324"/>
    <n v="1.7901276350021362"/>
    <s v="km/kWh"/>
    <s v="Electricity 2050 TOURIST BUS - EMPTY 2050 Electric 800 kW CITY ROUTE 11200 kg 55.9 kWh /100km 38%"/>
    <n v="0"/>
    <x v="1"/>
    <x v="0"/>
    <x v="4"/>
    <s v="Electricity km/kWh"/>
    <n v="304637.93103448278"/>
    <n v="184637.93103448278"/>
    <n v="60000"/>
    <n v="60000"/>
    <n v="11200"/>
    <n v="0"/>
    <n v="0"/>
    <e v="#N/A"/>
    <s v=""/>
    <m/>
  </r>
  <r>
    <s v="2050 TOURIST BUS - EMPTY"/>
    <s v="RURAL ROUTE"/>
    <s v="2050 Electric 800 kW"/>
    <x v="1"/>
    <n v="1.8617823698348606"/>
    <n v="1.2492440342903137"/>
    <n v="0.67099358900961192"/>
    <n v="1.9336309432983398"/>
    <s v="km/kWh"/>
    <s v="Electricity 2050 TOURIST BUS - EMPTY 2050 Electric 800 kW RURAL ROUTE 11200 kg 51.7 kWh /100km 67%"/>
    <n v="0"/>
    <x v="1"/>
    <x v="0"/>
    <x v="4"/>
    <s v="Electricity km/kWh"/>
    <n v="304637.93103448278"/>
    <n v="184637.93103448278"/>
    <n v="60000"/>
    <n v="60000"/>
    <n v="11200"/>
    <n v="0"/>
    <n v="0"/>
    <e v="#N/A"/>
    <s v=""/>
    <m/>
  </r>
  <r>
    <s v="2050 TOURIST BUS - EMPTY"/>
    <s v="MOTORWAY"/>
    <s v="2050 Electric 800 kW"/>
    <x v="1"/>
    <n v="2.0154925017497662"/>
    <n v="1.5148454010486603"/>
    <n v="0.75160061361356334"/>
    <n v="1.7861639261245728"/>
    <s v="km/kWh"/>
    <s v="Electricity 2050 TOURIST BUS - EMPTY 2050 Electric 800 kW MOTORWAY 11200 kg 56.0 kWh /100km 75%"/>
    <n v="0"/>
    <x v="1"/>
    <x v="0"/>
    <x v="4"/>
    <s v="Electricity km/kWh"/>
    <n v="304637.93103448278"/>
    <n v="184637.93103448278"/>
    <n v="60000"/>
    <n v="60000"/>
    <n v="11200"/>
    <n v="0"/>
    <n v="0"/>
    <e v="#N/A"/>
    <s v=""/>
    <m/>
  </r>
  <r>
    <s v="2050 TOURIST BUS - TYPICAL"/>
    <s v="CITY ROUTE"/>
    <s v="2050 Electric 800 kW"/>
    <x v="1"/>
    <n v="2.2410142190434703"/>
    <n v="0.83028307557106018"/>
    <n v="0.37049433623203382"/>
    <n v="1.6064155101776123"/>
    <s v="km/kWh"/>
    <s v="Electricity 2050 TOURIST BUS - TYPICAL 2050 Electric 800 kW CITY ROUTE 12950 kg 62.3 kWh /100km 37%"/>
    <n v="0"/>
    <x v="1"/>
    <x v="1"/>
    <x v="4"/>
    <s v="Electricity km/kWh"/>
    <n v="304637.93103448278"/>
    <n v="184637.93103448278"/>
    <n v="60000"/>
    <n v="60000"/>
    <n v="12950"/>
    <n v="1750"/>
    <n v="25"/>
    <n v="1.280579553739126"/>
    <n v="8.9640568761738815E-2"/>
    <m/>
  </r>
  <r>
    <s v="2050 TOURIST BUS - TYPICAL"/>
    <s v="RURAL ROUTE"/>
    <s v="2050 Electric 800 kW"/>
    <x v="1"/>
    <n v="1.9789811274239808"/>
    <n v="1.3179149627685547"/>
    <n v="0.66595630676077788"/>
    <n v="1.8191179037094116"/>
    <s v="km/kWh"/>
    <s v="Electricity 2050 TOURIST BUS - TYPICAL 2050 Electric 800 kW RURAL ROUTE 12950 kg 55.0 kWh /100km 67%"/>
    <n v="0"/>
    <x v="1"/>
    <x v="1"/>
    <x v="4"/>
    <s v="Electricity km/kWh"/>
    <n v="304637.93103448278"/>
    <n v="184637.93103448278"/>
    <n v="60000"/>
    <n v="60000"/>
    <n v="12950"/>
    <n v="1750"/>
    <n v="25"/>
    <n v="1.1308463585279891"/>
    <n v="7.9159245096959235E-2"/>
    <m/>
  </r>
  <r>
    <s v="2050 TOURIST BUS - TYPICAL"/>
    <s v="MOTORWAY"/>
    <s v="2050 Electric 800 kW"/>
    <x v="1"/>
    <n v="2.0999481392793431"/>
    <n v="1.5835158824920654"/>
    <n v="0.75407380442999605"/>
    <n v="1.7143280506134033"/>
    <s v="km/kWh"/>
    <s v="Electricity 2050 TOURIST BUS - TYPICAL 2050 Electric 800 kW MOTORWAY 12950 kg 58.3 kWh /100km 75%"/>
    <n v="0"/>
    <x v="1"/>
    <x v="1"/>
    <x v="4"/>
    <s v="Electricity km/kWh"/>
    <n v="304637.93103448278"/>
    <n v="184637.93103448278"/>
    <n v="60000"/>
    <n v="60000"/>
    <n v="12950"/>
    <n v="1750"/>
    <n v="25"/>
    <n v="1.1999703653024818"/>
    <n v="8.399792557117372E-2"/>
    <m/>
  </r>
  <r>
    <s v="2050 TOURIST BUS - FULL"/>
    <s v="CITY ROUTE"/>
    <s v="2050 Electric 800 kW"/>
    <x v="1"/>
    <n v="2.9617900403042507"/>
    <n v="1.0281851291656494"/>
    <n v="0.34714990433961646"/>
    <n v="1.215481162071228"/>
    <s v="km/kWh"/>
    <s v="Electricity 2050 TOURIST BUS - FULL 2050 Electric 800 kW CITY ROUTE 18000 kg 82.3 kWh /100km 35%"/>
    <n v="0"/>
    <x v="1"/>
    <x v="2"/>
    <x v="4"/>
    <s v="Electricity km/kWh"/>
    <n v="304637.93103448278"/>
    <n v="184637.93103448278"/>
    <n v="60000"/>
    <n v="60000"/>
    <n v="18000"/>
    <n v="6800"/>
    <n v="55"/>
    <n v="0.43555735886827218"/>
    <n v="5.3850728005531832E-2"/>
    <m/>
  </r>
  <r>
    <s v="2050 TOURIST BUS - FULL"/>
    <s v="RURAL ROUTE"/>
    <s v="2050 Electric 800 kW"/>
    <x v="1"/>
    <n v="2.3283784090104787"/>
    <n v="1.5160781741142273"/>
    <n v="0.65113048989254918"/>
    <n v="1.5461404323577881"/>
    <s v="km/kWh"/>
    <s v="Electricity 2050 TOURIST BUS - FULL 2050 Electric 800 kW RURAL ROUTE 18000 kg 64.7 kWh /100km 65%"/>
    <n v="0"/>
    <x v="1"/>
    <x v="2"/>
    <x v="4"/>
    <s v="Electricity km/kWh"/>
    <n v="304637.93103448278"/>
    <n v="184637.93103448278"/>
    <n v="60000"/>
    <n v="60000"/>
    <n v="18000"/>
    <n v="6800"/>
    <n v="55"/>
    <n v="0.34240858956036452"/>
    <n v="4.2334152891099611E-2"/>
    <m/>
  </r>
  <r>
    <s v="2050 TOURIST BUS - FULL"/>
    <s v="MOTORWAY"/>
    <s v="2050 Electric 800 kW"/>
    <x v="1"/>
    <n v="2.3499518204838155"/>
    <n v="1.7816804051399231"/>
    <n v="0.75817741862175925"/>
    <n v="1.5319463014602661"/>
    <s v="km/kWh"/>
    <s v="Electricity 2050 TOURIST BUS - FULL 2050 Electric 800 kW MOTORWAY 18000 kg 65.3 kWh /100km 76%"/>
    <n v="0"/>
    <x v="1"/>
    <x v="2"/>
    <x v="4"/>
    <s v="Electricity km/kWh"/>
    <n v="304637.93103448278"/>
    <n v="184637.93103448278"/>
    <n v="60000"/>
    <n v="60000"/>
    <n v="18000"/>
    <n v="6800"/>
    <n v="55"/>
    <n v="0.34558115007114931"/>
    <n v="4.2726396736069372E-2"/>
    <m/>
  </r>
  <r>
    <s v="2050 RIGID TRUCK - EMPTY"/>
    <s v="URBAN DELIVERY"/>
    <s v="2050 Fuel Cell 800 kW"/>
    <x v="2"/>
    <n v="3.034468152400466"/>
    <n v="0.83436691761016846"/>
    <n v="0.2749631486328597"/>
    <n v="39.150188446044922"/>
    <s v="km/kg"/>
    <s v="Hydrogen 2050 RIGID TRUCK - EMPTY 2050 Fuel Cell 800 kW URBAN DELIVERY 8254.68 kg 2.6 kg /100km 27%"/>
    <n v="0"/>
    <x v="1"/>
    <x v="0"/>
    <x v="0"/>
    <s v="Hydrogen km/kg"/>
    <n v="193542"/>
    <n v="100150"/>
    <n v="45000"/>
    <n v="48392"/>
    <n v="8254.68"/>
    <n v="0"/>
    <n v="0"/>
    <e v="#N/A"/>
    <s v=""/>
    <m/>
  </r>
  <r>
    <s v="2050 RIGID TRUCK - EMPTY"/>
    <s v="REGIONAL DELIVERY"/>
    <s v="2050 Fuel Cell 800 kW"/>
    <x v="2"/>
    <n v="3.6053880236504012"/>
    <n v="1.3650358617305756"/>
    <n v="0.3786099728451689"/>
    <n v="32.95068359375"/>
    <s v="km/kg"/>
    <s v="Hydrogen 2050 RIGID TRUCK - EMPTY 2050 Fuel Cell 800 kW REGIONAL DELIVERY 8254.68 kg 3.0 kg /100km 38%"/>
    <n v="0"/>
    <x v="1"/>
    <x v="0"/>
    <x v="0"/>
    <s v="Hydrogen km/kg"/>
    <n v="193542"/>
    <n v="100150"/>
    <n v="45000"/>
    <n v="48392"/>
    <n v="8254.68"/>
    <n v="0"/>
    <n v="0"/>
    <e v="#N/A"/>
    <s v=""/>
    <m/>
  </r>
  <r>
    <s v="2050 RIGID TRUCK - EMPTY"/>
    <s v="LONG HAUL"/>
    <s v="2050 Fuel Cell 800 kW"/>
    <x v="2"/>
    <n v="4.0120576974955036"/>
    <n v="1.7065185010433197"/>
    <n v="0.42534744754757664"/>
    <n v="29.610740661621094"/>
    <s v="km/kg"/>
    <s v="Hydrogen 2050 RIGID TRUCK - EMPTY 2050 Fuel Cell 800 kW LONG HAUL 8254.68 kg 3.4 kg /100km 43%"/>
    <n v="0"/>
    <x v="1"/>
    <x v="0"/>
    <x v="0"/>
    <s v="Hydrogen km/kg"/>
    <n v="193542"/>
    <n v="100150"/>
    <n v="45000"/>
    <n v="48392"/>
    <n v="8254.68"/>
    <n v="0"/>
    <n v="0"/>
    <e v="#N/A"/>
    <s v=""/>
    <m/>
  </r>
  <r>
    <s v="2050 RIGID TRUCK - TYPICAL"/>
    <s v="URBAN DELIVERY"/>
    <s v="2050 Fuel Cell 800 kW"/>
    <x v="2"/>
    <n v="5.3672756489827664"/>
    <n v="1.2720785140991211"/>
    <n v="0.23700636920710638"/>
    <n v="22.134134292602539"/>
    <s v="km/kg"/>
    <s v="Hydrogen 2050 RIGID TRUCK - TYPICAL 2050 Fuel Cell 800 kW URBAN DELIVERY 19410.7858 kg 4.5 kg /100km 24%"/>
    <n v="0"/>
    <x v="1"/>
    <x v="1"/>
    <x v="0"/>
    <s v="Hydrogen km/kg"/>
    <n v="193542"/>
    <n v="100150"/>
    <n v="45000"/>
    <n v="48392"/>
    <n v="19410.785799999998"/>
    <n v="11156.105799999999"/>
    <n v="0"/>
    <n v="0.48110655682225306"/>
    <s v=""/>
    <m/>
  </r>
  <r>
    <s v="2050 RIGID TRUCK - TYPICAL"/>
    <s v="REGIONAL DELIVERY"/>
    <s v="2050 Fuel Cell 800 kW"/>
    <x v="2"/>
    <n v="5.2173287035939566"/>
    <n v="1.802804708480835"/>
    <n v="0.34554171510009962"/>
    <n v="22.770273208618164"/>
    <s v="km/kg"/>
    <s v="Hydrogen 2050 RIGID TRUCK - TYPICAL 2050 Fuel Cell 800 kW REGIONAL DELIVERY 19410.7858 kg 4.4 kg /100km 35%"/>
    <n v="0"/>
    <x v="1"/>
    <x v="1"/>
    <x v="0"/>
    <s v="Hydrogen km/kg"/>
    <n v="193542"/>
    <n v="100150"/>
    <n v="45000"/>
    <n v="48392"/>
    <n v="19410.785799999998"/>
    <n v="11156.105799999999"/>
    <n v="0"/>
    <n v="0.46766576053751274"/>
    <s v=""/>
    <m/>
  </r>
  <r>
    <s v="2050 RIGID TRUCK - TYPICAL"/>
    <s v="LONG HAUL"/>
    <s v="2050 Fuel Cell 800 kW"/>
    <x v="2"/>
    <n v="5.044324271967163"/>
    <n v="2.1442912817001343"/>
    <n v="0.42508989630516225"/>
    <n v="23.55122184753418"/>
    <s v="km/kg"/>
    <s v="Hydrogen 2050 RIGID TRUCK - TYPICAL 2050 Fuel Cell 800 kW LONG HAUL 19410.7858 kg 4.2 kg /100km 43%"/>
    <n v="0"/>
    <x v="1"/>
    <x v="1"/>
    <x v="0"/>
    <s v="Hydrogen km/kg"/>
    <n v="193542"/>
    <n v="100150"/>
    <n v="45000"/>
    <n v="48392"/>
    <n v="19410.785799999998"/>
    <n v="11156.105799999999"/>
    <n v="0"/>
    <n v="0.45215816006040055"/>
    <s v=""/>
    <m/>
  </r>
  <r>
    <s v="2050 RIGID TRUCK - FULL"/>
    <s v="URBAN DELIVERY"/>
    <s v="2050 Fuel Cell 800 kW"/>
    <x v="2"/>
    <n v="7.1544043545721498"/>
    <n v="1.6090804934501648"/>
    <n v="0.22490768115753104"/>
    <n v="16.605155944824219"/>
    <s v="km/kg"/>
    <s v="Hydrogen 2050 RIGID TRUCK - FULL 2050 Fuel Cell 800 kW URBAN DELIVERY 28000 kg 6.0 kg /100km 22%"/>
    <n v="0"/>
    <x v="1"/>
    <x v="2"/>
    <x v="0"/>
    <s v="Hydrogen km/kg"/>
    <n v="193542"/>
    <n v="100150"/>
    <n v="45000"/>
    <n v="48392"/>
    <n v="28000"/>
    <n v="19745.32"/>
    <n v="0"/>
    <n v="0.36233418119190519"/>
    <s v=""/>
    <m/>
  </r>
  <r>
    <s v="2050 RIGID TRUCK - FULL"/>
    <s v="REGIONAL DELIVERY"/>
    <s v="2050 Fuel Cell 800 kW"/>
    <x v="2"/>
    <n v="6.5420248012355247"/>
    <n v="2.1398395299911499"/>
    <n v="0.32709132034886518"/>
    <n v="18.159515380859375"/>
    <s v="km/kg"/>
    <s v="Hydrogen 2050 RIGID TRUCK - FULL 2050 Fuel Cell 800 kW REGIONAL DELIVERY 28000 kg 5.5 kg /100km 33%"/>
    <n v="0"/>
    <x v="1"/>
    <x v="2"/>
    <x v="0"/>
    <s v="Hydrogen km/kg"/>
    <n v="193542"/>
    <n v="100150"/>
    <n v="45000"/>
    <n v="48392"/>
    <n v="28000"/>
    <n v="19745.32"/>
    <n v="0"/>
    <n v="0.33132027241065354"/>
    <s v=""/>
    <m/>
  </r>
  <r>
    <s v="2050 RIGID TRUCK - FULL"/>
    <s v="LONG HAUL"/>
    <s v="2050 Fuel Cell 800 kW"/>
    <x v="2"/>
    <n v="5.9270766874023364"/>
    <n v="2.4813201427459717"/>
    <n v="0.41864147768154852"/>
    <n v="20.043607711791992"/>
    <s v="km/kg"/>
    <s v="Hydrogen 2050 RIGID TRUCK - FULL 2050 Fuel Cell 800 kW LONG HAUL 28000 kg 5.0 kg /100km 42%"/>
    <n v="0"/>
    <x v="1"/>
    <x v="2"/>
    <x v="0"/>
    <s v="Hydrogen km/kg"/>
    <n v="193542"/>
    <n v="100150"/>
    <n v="45000"/>
    <n v="48392"/>
    <n v="28000"/>
    <n v="19745.32"/>
    <n v="0"/>
    <n v="0.30017627910828165"/>
    <s v=""/>
    <m/>
  </r>
  <r>
    <s v="2050 TRUCK WITH TRAILER - EMPTY"/>
    <s v="URBAN DELIVERY"/>
    <s v="2050 Fuel Cell 800 kW"/>
    <x v="2"/>
    <n v="4.1042728368794181"/>
    <n v="1.1058873236179352"/>
    <n v="0.26944780904448085"/>
    <n v="28.945444107055664"/>
    <s v="km/kg"/>
    <s v="Hydrogen 2050 TRUCK WITH TRAILER - EMPTY 2050 Fuel Cell 800 kW URBAN DELIVERY 12283.94102271 kg 3.5 kg /100km 27%"/>
    <n v="0"/>
    <x v="1"/>
    <x v="0"/>
    <x v="1"/>
    <s v="Hydrogen km/kg"/>
    <n v="218342.5319148936"/>
    <n v="112450.5319148936"/>
    <n v="45000"/>
    <n v="60892"/>
    <n v="12283.94102271"/>
    <n v="0"/>
    <n v="0"/>
    <e v="#N/A"/>
    <s v=""/>
    <m/>
  </r>
  <r>
    <s v="2050 TRUCK WITH TRAILER - EMPTY"/>
    <s v="REGIONAL DELIVERY"/>
    <s v="2050 Fuel Cell 800 kW"/>
    <x v="2"/>
    <n v="4.6363111748387205"/>
    <n v="1.7544949054718018"/>
    <n v="0.37842475177107454"/>
    <n v="25.623819351196289"/>
    <s v="km/kg"/>
    <s v="Hydrogen 2050 TRUCK WITH TRAILER - EMPTY 2050 Fuel Cell 800 kW REGIONAL DELIVERY 12283.94102271 kg 3.9 kg /100km 38%"/>
    <n v="0"/>
    <x v="1"/>
    <x v="0"/>
    <x v="1"/>
    <s v="Hydrogen km/kg"/>
    <n v="218342.5319148936"/>
    <n v="112450.5319148936"/>
    <n v="45000"/>
    <n v="60892"/>
    <n v="12283.94102271"/>
    <n v="0"/>
    <n v="0"/>
    <e v="#N/A"/>
    <s v=""/>
    <m/>
  </r>
  <r>
    <s v="2050 TRUCK WITH TRAILER - EMPTY"/>
    <s v="LONG HAUL"/>
    <s v="2050 Fuel Cell 800 kW"/>
    <x v="2"/>
    <n v="4.9902474620692443"/>
    <n v="2.17186439037323"/>
    <n v="0.43522178146104396"/>
    <n v="23.806434631347656"/>
    <s v="km/kg"/>
    <s v="Hydrogen 2050 TRUCK WITH TRAILER - EMPTY 2050 Fuel Cell 800 kW LONG HAUL 12283.94102271 kg 4.2 kg /100km 44%"/>
    <n v="0"/>
    <x v="1"/>
    <x v="0"/>
    <x v="1"/>
    <s v="Hydrogen km/kg"/>
    <n v="218342.5319148936"/>
    <n v="112450.5319148936"/>
    <n v="45000"/>
    <n v="60892"/>
    <n v="12283.94102271"/>
    <n v="0"/>
    <n v="0"/>
    <e v="#N/A"/>
    <s v=""/>
    <m/>
  </r>
  <r>
    <s v="2050 TRUCK WITH TRAILER - TYPICAL"/>
    <s v="URBAN DELIVERY"/>
    <s v="2050 Fuel Cell 800 kW"/>
    <x v="2"/>
    <n v="9.9633707433807253"/>
    <n v="2.2076535820960999"/>
    <n v="0.22157697820918476"/>
    <n v="11.923675537109375"/>
    <s v="km/kg"/>
    <s v="Hydrogen 2050 TRUCK WITH TRAILER - TYPICAL 2050 Fuel Cell 800 kW URBAN DELIVERY 40373.5143448788 kg 8.4 kg /100km 22%"/>
    <n v="0"/>
    <x v="1"/>
    <x v="1"/>
    <x v="1"/>
    <s v="Hydrogen km/kg"/>
    <n v="218342.5319148936"/>
    <n v="112450.5319148936"/>
    <n v="45000"/>
    <n v="60892"/>
    <n v="40373.514344878844"/>
    <n v="28089.573322168846"/>
    <n v="0"/>
    <n v="0.35469996746150062"/>
    <s v=""/>
    <m/>
  </r>
  <r>
    <s v="2050 TRUCK WITH TRAILER - TYPICAL"/>
    <s v="REGIONAL DELIVERY"/>
    <s v="2050 Fuel Cell 800 kW"/>
    <x v="2"/>
    <n v="8.8624084702917418"/>
    <n v="2.8565455675125122"/>
    <n v="0.32232158753324508"/>
    <n v="13.404933929443359"/>
    <s v="km/kg"/>
    <s v="Hydrogen 2050 TRUCK WITH TRAILER - TYPICAL 2050 Fuel Cell 800 kW REGIONAL DELIVERY 40373.5143448788 kg 7.5 kg /100km 32%"/>
    <n v="0"/>
    <x v="1"/>
    <x v="1"/>
    <x v="1"/>
    <s v="Hydrogen km/kg"/>
    <n v="218342.5319148936"/>
    <n v="112450.5319148936"/>
    <n v="45000"/>
    <n v="60892"/>
    <n v="40373.514344878844"/>
    <n v="28089.573322168846"/>
    <n v="0"/>
    <n v="0.31550527196144179"/>
    <s v=""/>
    <m/>
  </r>
  <r>
    <s v="2050 TRUCK WITH TRAILER - TYPICAL"/>
    <s v="LONG HAUL"/>
    <s v="2050 Fuel Cell 800 kW"/>
    <x v="2"/>
    <n v="7.8191250622349751"/>
    <n v="3.2741285562515259"/>
    <n v="0.41873336597019045"/>
    <n v="15.193515777587891"/>
    <s v="km/kg"/>
    <s v="Hydrogen 2050 TRUCK WITH TRAILER - TYPICAL 2050 Fuel Cell 800 kW LONG HAUL 40373.5143448788 kg 6.6 kg /100km 42%"/>
    <n v="0"/>
    <x v="1"/>
    <x v="1"/>
    <x v="1"/>
    <s v="Hydrogen km/kg"/>
    <n v="218342.5319148936"/>
    <n v="112450.5319148936"/>
    <n v="45000"/>
    <n v="60892"/>
    <n v="40373.514344878844"/>
    <n v="28089.573322168846"/>
    <n v="0"/>
    <n v="0.27836396703341759"/>
    <s v=""/>
    <m/>
  </r>
  <r>
    <s v="2050 TRUCK WITH TRAILER - FULL"/>
    <s v="URBAN DELIVERY"/>
    <s v="2050 Fuel Cell 800 kW"/>
    <x v="2"/>
    <n v="14.63398984379433"/>
    <n v="3.0488393306732178"/>
    <n v="0.20833958224770152"/>
    <n v="8.1180868148803711"/>
    <s v="km/kg"/>
    <s v="Hydrogen 2050 TRUCK WITH TRAILER - FULL 2050 Fuel Cell 800 kW URBAN DELIVERY 62000 kg 12.3 kg /100km 21%"/>
    <n v="0"/>
    <x v="1"/>
    <x v="2"/>
    <x v="1"/>
    <s v="Hydrogen km/kg"/>
    <n v="218342.5319148936"/>
    <n v="112450.5319148936"/>
    <n v="45000"/>
    <n v="60892"/>
    <n v="62000"/>
    <n v="49716.058977289998"/>
    <n v="0"/>
    <n v="0.29435136543061574"/>
    <s v=""/>
    <m/>
  </r>
  <r>
    <s v="2050 TRUCK WITH TRAILER - FULL"/>
    <s v="REGIONAL DELIVERY"/>
    <s v="2050 Fuel Cell 800 kW"/>
    <x v="2"/>
    <n v="12.271542072480919"/>
    <n v="3.7035121917724609"/>
    <n v="0.3017968051527633"/>
    <n v="9.6809349060058594"/>
    <s v="km/kg"/>
    <s v="Hydrogen 2050 TRUCK WITH TRAILER - FULL 2050 Fuel Cell 800 kW REGIONAL DELIVERY 62000 kg 10.3 kg /100km 30%"/>
    <n v="0"/>
    <x v="1"/>
    <x v="2"/>
    <x v="1"/>
    <s v="Hydrogen km/kg"/>
    <n v="218342.5319148936"/>
    <n v="112450.5319148936"/>
    <n v="45000"/>
    <n v="60892"/>
    <n v="62000"/>
    <n v="49716.058977289998"/>
    <n v="0"/>
    <n v="0.24683255923576902"/>
    <s v=""/>
    <m/>
  </r>
  <r>
    <s v="2050 TRUCK WITH TRAILER - FULL"/>
    <s v="LONG HAUL"/>
    <s v="2050 Fuel Cell 800 kW"/>
    <x v="2"/>
    <n v="10.181960468394857"/>
    <n v="4.1227357387542725"/>
    <n v="0.40490588738302224"/>
    <n v="11.667694091796875"/>
    <s v="km/kg"/>
    <s v="Hydrogen 2050 TRUCK WITH TRAILER - FULL 2050 Fuel Cell 800 kW LONG HAUL 62000 kg 8.6 kg /100km 40%"/>
    <n v="0"/>
    <x v="1"/>
    <x v="2"/>
    <x v="1"/>
    <s v="Hydrogen km/kg"/>
    <n v="218342.5319148936"/>
    <n v="112450.5319148936"/>
    <n v="45000"/>
    <n v="60892"/>
    <n v="62000"/>
    <n v="49716.058977289998"/>
    <n v="0"/>
    <n v="0.20480224454327556"/>
    <s v=""/>
    <m/>
  </r>
  <r>
    <s v="2050 SEMI TRUCK - EMPTY"/>
    <s v="URBAN DELIVERY"/>
    <s v="2050 Fuel Cell 800 kW"/>
    <x v="2"/>
    <n v="3.5343770225995481"/>
    <n v="0.85845762491226196"/>
    <n v="0.24288796000627658"/>
    <n v="33.612712860107422"/>
    <s v="km/kg"/>
    <s v="Hydrogen 2050 SEMI TRUCK - EMPTY 2050 Fuel Cell 800 kW URBAN DELIVERY 11760 kg 3.0 kg /100km 24%"/>
    <n v="0"/>
    <x v="1"/>
    <x v="0"/>
    <x v="2"/>
    <s v="Hydrogen km/kg"/>
    <n v="157100"/>
    <n v="36208"/>
    <n v="60000"/>
    <n v="60892"/>
    <n v="11760"/>
    <n v="0"/>
    <n v="0"/>
    <e v="#N/A"/>
    <s v=""/>
    <m/>
  </r>
  <r>
    <s v="2050 SEMI TRUCK - EMPTY"/>
    <s v="REGIONAL DELIVERY"/>
    <s v="2050 Fuel Cell 800 kW"/>
    <x v="2"/>
    <n v="3.6366602339731693"/>
    <n v="1.2712196409702301"/>
    <n v="0.34955688988888067"/>
    <n v="32.667335510253906"/>
    <s v="km/kg"/>
    <s v="Hydrogen 2050 SEMI TRUCK - EMPTY 2050 Fuel Cell 800 kW REGIONAL DELIVERY 11760 kg 3.1 kg /100km 35%"/>
    <n v="0"/>
    <x v="1"/>
    <x v="0"/>
    <x v="2"/>
    <s v="Hydrogen km/kg"/>
    <n v="157100"/>
    <n v="36208"/>
    <n v="60000"/>
    <n v="60892"/>
    <n v="11760"/>
    <n v="0"/>
    <n v="0"/>
    <e v="#N/A"/>
    <s v=""/>
    <m/>
  </r>
  <r>
    <s v="2050 SEMI TRUCK - EMPTY"/>
    <s v="LONG HAUL"/>
    <s v="2050 Fuel Cell 800 kW"/>
    <x v="2"/>
    <n v="3.6842456234162313"/>
    <n v="1.5368199050426483"/>
    <n v="0.41713285761268709"/>
    <n v="32.245407104492188"/>
    <s v="km/kg"/>
    <s v="Hydrogen 2050 SEMI TRUCK - EMPTY 2050 Fuel Cell 800 kW LONG HAUL 11760 kg 3.1 kg /100km 42%"/>
    <n v="0"/>
    <x v="1"/>
    <x v="0"/>
    <x v="2"/>
    <s v="Hydrogen km/kg"/>
    <n v="157100"/>
    <n v="36208"/>
    <n v="60000"/>
    <n v="60892"/>
    <n v="11760"/>
    <n v="0"/>
    <n v="0"/>
    <e v="#N/A"/>
    <s v=""/>
    <m/>
  </r>
  <r>
    <s v="2050 SEMI TRUCK - TYPICAL"/>
    <s v="URBAN DELIVERY"/>
    <s v="2050 Fuel Cell 800 kW"/>
    <x v="2"/>
    <n v="9.4877703476741644"/>
    <n v="1.9720191657543182"/>
    <n v="0.20784853484968044"/>
    <n v="12.521382331848145"/>
    <s v="km/kg"/>
    <s v="Hydrogen 2050 SEMI TRUCK - TYPICAL 2050 Fuel Cell 800 kW URBAN DELIVERY 40145.6 kg 8.0 kg /100km 21%"/>
    <n v="0"/>
    <x v="1"/>
    <x v="1"/>
    <x v="2"/>
    <s v="Hydrogen km/kg"/>
    <n v="157100"/>
    <n v="36208"/>
    <n v="60000"/>
    <n v="60892"/>
    <n v="40145.599999999999"/>
    <n v="28385.599999999999"/>
    <n v="0"/>
    <n v="0.33424589748584371"/>
    <s v=""/>
    <m/>
  </r>
  <r>
    <s v="2050 SEMI TRUCK - TYPICAL"/>
    <s v="REGIONAL DELIVERY"/>
    <s v="2050 Fuel Cell 800 kW"/>
    <x v="2"/>
    <n v="7.9878600212029234"/>
    <n v="2.3849749565124512"/>
    <n v="0.29857495626886166"/>
    <n v="14.87256908416748"/>
    <s v="km/kg"/>
    <s v="Hydrogen 2050 SEMI TRUCK - TYPICAL 2050 Fuel Cell 800 kW REGIONAL DELIVERY 40145.6 kg 6.7 kg /100km 30%"/>
    <n v="0"/>
    <x v="1"/>
    <x v="1"/>
    <x v="2"/>
    <s v="Hydrogen km/kg"/>
    <n v="157100"/>
    <n v="36208"/>
    <n v="60000"/>
    <n v="60892"/>
    <n v="40145.599999999999"/>
    <n v="28385.599999999999"/>
    <n v="0"/>
    <n v="0.28140536121142146"/>
    <s v=""/>
    <m/>
  </r>
  <r>
    <s v="2050 SEMI TRUCK - TYPICAL"/>
    <s v="LONG HAUL"/>
    <s v="2050 Fuel Cell 800 kW"/>
    <x v="2"/>
    <n v="6.6703529335917429"/>
    <n v="2.6506916284561157"/>
    <n v="0.39738401473590612"/>
    <n v="17.810152053833008"/>
    <s v="km/kg"/>
    <s v="Hydrogen 2050 SEMI TRUCK - TYPICAL 2050 Fuel Cell 800 kW LONG HAUL 40145.6 kg 5.6 kg /100km 40%"/>
    <n v="0"/>
    <x v="1"/>
    <x v="1"/>
    <x v="2"/>
    <s v="Hydrogen km/kg"/>
    <n v="157100"/>
    <n v="36208"/>
    <n v="60000"/>
    <n v="60892"/>
    <n v="40145.599999999999"/>
    <n v="28385.599999999999"/>
    <n v="0"/>
    <n v="0.23499073239923562"/>
    <s v=""/>
    <m/>
  </r>
  <r>
    <s v="2050 SEMI TRUCK - FULL"/>
    <s v="URBAN DELIVERY"/>
    <s v="2050 Fuel Cell 800 kW"/>
    <x v="2"/>
    <n v="14.22379645753665"/>
    <n v="2.8249415159225464"/>
    <n v="0.19860671687450343"/>
    <n v="8.3522005081176758"/>
    <s v="km/kg"/>
    <s v="Hydrogen 2050 SEMI TRUCK - FULL 2050 Fuel Cell 800 kW URBAN DELIVERY 62000 kg 12.0 kg /100km 20%"/>
    <n v="0"/>
    <x v="1"/>
    <x v="2"/>
    <x v="2"/>
    <s v="Hydrogen km/kg"/>
    <n v="157100"/>
    <n v="36208"/>
    <n v="60000"/>
    <n v="60892"/>
    <n v="62000"/>
    <n v="50240"/>
    <n v="0"/>
    <n v="0.2831169677057454"/>
    <s v=""/>
    <m/>
  </r>
  <r>
    <s v="2050 SEMI TRUCK - FULL"/>
    <s v="REGIONAL DELIVERY"/>
    <s v="2050 Fuel Cell 800 kW"/>
    <x v="2"/>
    <n v="11.441177273419449"/>
    <n v="3.2415179014205933"/>
    <n v="0.28332031083474279"/>
    <n v="10.383546829223633"/>
    <s v="km/kg"/>
    <s v="Hydrogen 2050 SEMI TRUCK - FULL 2050 Fuel Cell 800 kW REGIONAL DELIVERY 62000 kg 9.6 kg /100km 28%"/>
    <n v="0"/>
    <x v="1"/>
    <x v="2"/>
    <x v="2"/>
    <s v="Hydrogen km/kg"/>
    <n v="157100"/>
    <n v="36208"/>
    <n v="60000"/>
    <n v="60892"/>
    <n v="62000"/>
    <n v="50240"/>
    <n v="0"/>
    <n v="0.22773043935946355"/>
    <s v=""/>
    <m/>
  </r>
  <r>
    <s v="2050 SEMI TRUCK - FULL"/>
    <s v="LONG HAUL"/>
    <s v="2050 Fuel Cell 800 kW"/>
    <x v="2"/>
    <n v="9.0590740345481713"/>
    <n v="3.5082435607910156"/>
    <n v="0.3872629307820854"/>
    <n v="13.113923072814941"/>
    <s v="km/kg"/>
    <s v="Hydrogen 2050 SEMI TRUCK - FULL 2050 Fuel Cell 800 kW LONG HAUL 62000 kg 7.6 kg /100km 39%"/>
    <n v="0"/>
    <x v="1"/>
    <x v="2"/>
    <x v="2"/>
    <s v="Hydrogen km/kg"/>
    <n v="157100"/>
    <n v="36208"/>
    <n v="60000"/>
    <n v="60892"/>
    <n v="62000"/>
    <n v="50240"/>
    <n v="0"/>
    <n v="0.18031596406345882"/>
    <s v=""/>
    <m/>
  </r>
  <r>
    <s v="2050 CITY BUS - EMPTY"/>
    <s v="CITY ROUTE"/>
    <s v="2050 Fuel Cell 800 kW"/>
    <x v="2"/>
    <n v="4.817608079883664"/>
    <n v="0.82806998491287231"/>
    <n v="0.1718840493419441"/>
    <n v="24.659540176391602"/>
    <s v="km/kg"/>
    <s v="Hydrogen 2050 CITY BUS - EMPTY 2050 Fuel Cell 800 kW CITY ROUTE 10542 kg 4.1 kg /100km 17%"/>
    <n v="0"/>
    <x v="1"/>
    <x v="0"/>
    <x v="3"/>
    <s v="Hydrogen km/kg"/>
    <n v="214137.93103448278"/>
    <n v="108245.93103448278"/>
    <n v="45000"/>
    <n v="60892"/>
    <n v="10542"/>
    <n v="0"/>
    <n v="0"/>
    <e v="#N/A"/>
    <s v=""/>
    <m/>
  </r>
  <r>
    <s v="2050 CITY BUS - EMPTY"/>
    <s v="RURAL ROUTE"/>
    <s v="2050 Fuel Cell 800 kW"/>
    <x v="2"/>
    <n v="3.9293102578130203"/>
    <n v="1.4547807574272156"/>
    <n v="0.3702382000847444"/>
    <n v="30.23431396484375"/>
    <s v="km/kg"/>
    <s v="Hydrogen 2050 CITY BUS - EMPTY 2050 Fuel Cell 800 kW RURAL ROUTE 10542 kg 3.3 kg /100km 37%"/>
    <n v="0"/>
    <x v="1"/>
    <x v="0"/>
    <x v="3"/>
    <s v="Hydrogen km/kg"/>
    <n v="214137.93103448278"/>
    <n v="108245.93103448278"/>
    <n v="45000"/>
    <n v="60892"/>
    <n v="10542"/>
    <n v="0"/>
    <n v="0"/>
    <e v="#N/A"/>
    <s v=""/>
    <m/>
  </r>
  <r>
    <s v="2050 CITY BUS - EMPTY"/>
    <s v="MOTORWAY"/>
    <s v="2050 Fuel Cell 800 kW"/>
    <x v="2"/>
    <n v="4.2050749384129569"/>
    <n v="1.7962645888328552"/>
    <n v="0.42716589243729053"/>
    <n v="28.251577377319336"/>
    <s v="km/kg"/>
    <s v="Hydrogen 2050 CITY BUS - EMPTY 2050 Fuel Cell 800 kW MOTORWAY 10542 kg 3.5 kg /100km 43%"/>
    <n v="0"/>
    <x v="1"/>
    <x v="0"/>
    <x v="3"/>
    <s v="Hydrogen km/kg"/>
    <n v="214137.93103448278"/>
    <n v="108245.93103448278"/>
    <n v="45000"/>
    <n v="60892"/>
    <n v="10542"/>
    <n v="0"/>
    <n v="0"/>
    <e v="#N/A"/>
    <s v=""/>
    <m/>
  </r>
  <r>
    <s v="2050 CITY BUS - TYPICAL"/>
    <s v="CITY ROUTE"/>
    <s v="2050 Fuel Cell 800 kW"/>
    <x v="2"/>
    <n v="5.104629196252243"/>
    <n v="0.86101850867271423"/>
    <n v="0.1686740555621285"/>
    <n v="23.272993087768555"/>
    <s v="km/kg"/>
    <s v="Hydrogen 2050 CITY BUS - TYPICAL 2050 Fuel Cell 800 kW CITY ROUTE 11382 kg 4.3 kg /100km 17%"/>
    <n v="0"/>
    <x v="1"/>
    <x v="1"/>
    <x v="3"/>
    <s v="Hydrogen km/kg"/>
    <n v="214137.93103448278"/>
    <n v="108245.93103448278"/>
    <n v="45000"/>
    <n v="60892"/>
    <n v="11382"/>
    <n v="840"/>
    <n v="12"/>
    <n v="6.0769395193479081"/>
    <n v="0.4253857663543536"/>
    <m/>
  </r>
  <r>
    <s v="2050 CITY BUS - TYPICAL"/>
    <s v="RURAL ROUTE"/>
    <s v="2050 Fuel Cell 800 kW"/>
    <x v="2"/>
    <n v="4.0455579601482228"/>
    <n v="1.4877432882785797"/>
    <n v="0.36774736709595213"/>
    <n v="29.365541458129883"/>
    <s v="km/kg"/>
    <s v="Hydrogen 2050 CITY BUS - TYPICAL 2050 Fuel Cell 800 kW RURAL ROUTE 11382 kg 3.4 kg /100km 37%"/>
    <n v="0"/>
    <x v="1"/>
    <x v="1"/>
    <x v="3"/>
    <s v="Hydrogen km/kg"/>
    <n v="214137.93103448278"/>
    <n v="108245.93103448278"/>
    <n v="45000"/>
    <n v="60892"/>
    <n v="11382"/>
    <n v="840"/>
    <n v="12"/>
    <n v="4.8161404287478842"/>
    <n v="0.33712983001235192"/>
    <m/>
  </r>
  <r>
    <s v="2050 CITY BUS - TYPICAL"/>
    <s v="MOTORWAY"/>
    <s v="2050 Fuel Cell 800 kW"/>
    <x v="2"/>
    <n v="4.2785214363591608"/>
    <n v="1.8292281925678253"/>
    <n v="0.42753746119463654"/>
    <n v="27.7666015625"/>
    <s v="km/kg"/>
    <s v="Hydrogen 2050 CITY BUS - TYPICAL 2050 Fuel Cell 800 kW MOTORWAY 11382 kg 3.6 kg /100km 43%"/>
    <n v="0"/>
    <x v="1"/>
    <x v="1"/>
    <x v="3"/>
    <s v="Hydrogen km/kg"/>
    <n v="214137.93103448278"/>
    <n v="108245.93103448278"/>
    <n v="45000"/>
    <n v="60892"/>
    <n v="11382"/>
    <n v="840"/>
    <n v="12"/>
    <n v="5.0934779004275725"/>
    <n v="0.35654345302993007"/>
    <m/>
  </r>
  <r>
    <s v="2050 CITY BUS - FULL"/>
    <s v="CITY ROUTE"/>
    <s v="2050 Fuel Cell 800 kW"/>
    <x v="2"/>
    <n v="7.4662684363668932"/>
    <n v="1.1203869581222534"/>
    <n v="0.15005982810168514"/>
    <n v="15.911562919616699"/>
    <s v="km/kg"/>
    <s v="Hydrogen 2050 CITY BUS - FULL 2050 Fuel Cell 800 kW CITY ROUTE 18000 kg 6.3 kg /100km 15%"/>
    <n v="0"/>
    <x v="1"/>
    <x v="2"/>
    <x v="3"/>
    <s v="Hydrogen km/kg"/>
    <n v="214137.93103448278"/>
    <n v="108245.93103448278"/>
    <n v="45000"/>
    <n v="60892"/>
    <n v="18000"/>
    <n v="7458"/>
    <n v="63"/>
    <n v="1.0011086667158613"/>
    <n v="0.11851219740264909"/>
    <m/>
  </r>
  <r>
    <s v="2050 CITY BUS - FULL"/>
    <s v="RURAL ROUTE"/>
    <s v="2050 Fuel Cell 800 kW"/>
    <x v="2"/>
    <n v="5.009946179130063"/>
    <n v="1.7474362850189209"/>
    <n v="0.34879342462763724"/>
    <n v="23.71282958984375"/>
    <s v="km/kg"/>
    <s v="Hydrogen 2050 CITY BUS - FULL 2050 Fuel Cell 800 kW RURAL ROUTE 18000 kg 4.2 kg /100km 35%"/>
    <n v="0"/>
    <x v="1"/>
    <x v="2"/>
    <x v="3"/>
    <s v="Hydrogen km/kg"/>
    <n v="214137.93103448278"/>
    <n v="108245.93103448278"/>
    <n v="45000"/>
    <n v="60892"/>
    <n v="18000"/>
    <n v="7458"/>
    <n v="63"/>
    <n v="0.67175464992358047"/>
    <n v="7.952295522428672E-2"/>
    <m/>
  </r>
  <r>
    <s v="2050 CITY BUS - FULL"/>
    <s v="MOTORWAY"/>
    <s v="2050 Fuel Cell 800 kW"/>
    <x v="2"/>
    <n v="4.9060684871104021"/>
    <n v="2.0889230370521545"/>
    <n v="0.42578350517126551"/>
    <n v="24.214908599853516"/>
    <s v="km/kg"/>
    <s v="Hydrogen 2050 CITY BUS - FULL 2050 Fuel Cell 800 kW MOTORWAY 18000 kg 4.1 kg /100km 43%"/>
    <n v="0"/>
    <x v="1"/>
    <x v="2"/>
    <x v="3"/>
    <s v="Hydrogen km/kg"/>
    <n v="214137.93103448278"/>
    <n v="108245.93103448278"/>
    <n v="45000"/>
    <n v="60892"/>
    <n v="18000"/>
    <n v="7458"/>
    <n v="63"/>
    <n v="0.65782629218428557"/>
    <n v="7.7874102970006381E-2"/>
    <m/>
  </r>
  <r>
    <s v="2050 TOURIST BUS - EMPTY"/>
    <s v="CITY ROUTE"/>
    <s v="2050 Fuel Cell 800 kW"/>
    <x v="2"/>
    <n v="4.8733435475827172"/>
    <n v="0.76164537668228149"/>
    <n v="0.15628805341664737"/>
    <n v="24.377513885498047"/>
    <s v="km/kg"/>
    <s v="Hydrogen 2050 TOURIST BUS - EMPTY 2050 Fuel Cell 800 kW CITY ROUTE 11200 kg 4.1 kg /100km 16%"/>
    <n v="0"/>
    <x v="1"/>
    <x v="0"/>
    <x v="4"/>
    <s v="Hydrogen km/kg"/>
    <n v="400969.8825931598"/>
    <n v="295077.8825931598"/>
    <n v="45000"/>
    <n v="60892"/>
    <n v="11200"/>
    <n v="0"/>
    <n v="0"/>
    <e v="#N/A"/>
    <s v=""/>
    <m/>
  </r>
  <r>
    <s v="2050 TOURIST BUS - EMPTY"/>
    <s v="RURAL ROUTE"/>
    <s v="2050 Fuel Cell 800 kW"/>
    <x v="2"/>
    <n v="3.5565724747960972"/>
    <n v="1.2492440342903137"/>
    <n v="0.35124942431039158"/>
    <n v="33.402946472167969"/>
    <s v="km/kg"/>
    <s v="Hydrogen 2050 TOURIST BUS - EMPTY 2050 Fuel Cell 800 kW RURAL ROUTE 11200 kg 3.0 kg /100km 35%"/>
    <n v="0"/>
    <x v="1"/>
    <x v="0"/>
    <x v="4"/>
    <s v="Hydrogen km/kg"/>
    <n v="400969.8825931598"/>
    <n v="295077.8825931598"/>
    <n v="45000"/>
    <n v="60892"/>
    <n v="11200"/>
    <n v="0"/>
    <n v="0"/>
    <e v="#N/A"/>
    <s v=""/>
    <m/>
  </r>
  <r>
    <s v="2050 TOURIST BUS - EMPTY"/>
    <s v="MOTORWAY"/>
    <s v="2050 Fuel Cell 800 kW"/>
    <x v="2"/>
    <n v="3.6317746359036773"/>
    <n v="1.5148454010486603"/>
    <n v="0.4171088663026935"/>
    <n v="32.711280822753906"/>
    <s v="km/kg"/>
    <s v="Hydrogen 2050 TOURIST BUS - EMPTY 2050 Fuel Cell 800 kW MOTORWAY 11200 kg 3.1 kg /100km 42%"/>
    <n v="0"/>
    <x v="1"/>
    <x v="0"/>
    <x v="4"/>
    <s v="Hydrogen km/kg"/>
    <n v="400969.8825931598"/>
    <n v="295077.8825931598"/>
    <n v="45000"/>
    <n v="60892"/>
    <n v="11200"/>
    <n v="0"/>
    <n v="0"/>
    <e v="#N/A"/>
    <s v=""/>
    <m/>
  </r>
  <r>
    <s v="2050 TOURIST BUS - TYPICAL"/>
    <s v="CITY ROUTE"/>
    <s v="2050 Fuel Cell 800 kW"/>
    <x v="2"/>
    <n v="5.4799766320605316"/>
    <n v="0.83028307557106018"/>
    <n v="0.15151215622225464"/>
    <n v="21.678924560546875"/>
    <s v="km/kg"/>
    <s v="Hydrogen 2050 TOURIST BUS - TYPICAL 2050 Fuel Cell 800 kW CITY ROUTE 12950 kg 4.6 kg /100km 15%"/>
    <n v="0"/>
    <x v="1"/>
    <x v="1"/>
    <x v="4"/>
    <s v="Hydrogen km/kg"/>
    <n v="400969.8825931598"/>
    <n v="295077.8825931598"/>
    <n v="45000"/>
    <n v="60892"/>
    <n v="12950"/>
    <n v="1750"/>
    <n v="25"/>
    <n v="3.1314152183203041"/>
    <n v="0.21919906528242128"/>
    <m/>
  </r>
  <r>
    <s v="2050 TOURIST BUS - TYPICAL"/>
    <s v="RURAL ROUTE"/>
    <s v="2050 Fuel Cell 800 kW"/>
    <x v="2"/>
    <n v="3.8098205062583768"/>
    <n v="1.3179149627685547"/>
    <n v="0.34592573602972138"/>
    <n v="31.182571411132813"/>
    <s v="km/kg"/>
    <s v="Hydrogen 2050 TOURIST BUS - TYPICAL 2050 Fuel Cell 800 kW RURAL ROUTE 12950 kg 3.2 kg /100km 35%"/>
    <n v="0"/>
    <x v="1"/>
    <x v="1"/>
    <x v="4"/>
    <s v="Hydrogen km/kg"/>
    <n v="400969.8825931598"/>
    <n v="295077.8825931598"/>
    <n v="45000"/>
    <n v="60892"/>
    <n v="12950"/>
    <n v="1750"/>
    <n v="25"/>
    <n v="2.1770402892905012"/>
    <n v="0.15239282025033507"/>
    <m/>
  </r>
  <r>
    <s v="2050 TOURIST BUS - TYPICAL"/>
    <s v="MOTORWAY"/>
    <s v="2050 Fuel Cell 800 kW"/>
    <x v="2"/>
    <n v="3.798922390395246"/>
    <n v="1.5835158824920654"/>
    <n v="0.41683291201095418"/>
    <n v="31.272026062011719"/>
    <s v="km/kg"/>
    <s v="Hydrogen 2050 TOURIST BUS - TYPICAL 2050 Fuel Cell 800 kW MOTORWAY 12950 kg 3.2 kg /100km 42%"/>
    <n v="0"/>
    <x v="1"/>
    <x v="1"/>
    <x v="4"/>
    <s v="Hydrogen km/kg"/>
    <n v="400969.8825931598"/>
    <n v="295077.8825931598"/>
    <n v="45000"/>
    <n v="60892"/>
    <n v="12950"/>
    <n v="1750"/>
    <n v="25"/>
    <n v="2.1708127945115692"/>
    <n v="0.15195689561580983"/>
    <m/>
  </r>
  <r>
    <s v="2050 TOURIST BUS - FULL"/>
    <s v="CITY ROUTE"/>
    <s v="2050 Fuel Cell 800 kW"/>
    <x v="2"/>
    <n v="7.8563877267100199"/>
    <n v="1.0869237780570984"/>
    <n v="0.13834904995355468"/>
    <n v="15.121453285217285"/>
    <s v="km/kg"/>
    <s v="Hydrogen 2050 TOURIST BUS - FULL 2050 Fuel Cell 800 kW CITY ROUTE 19500 kg 6.6 kg /100km 14%"/>
    <n v="0"/>
    <x v="1"/>
    <x v="2"/>
    <x v="4"/>
    <s v="Hydrogen km/kg"/>
    <n v="400969.8825931598"/>
    <n v="295077.8825931598"/>
    <n v="45000"/>
    <n v="60892"/>
    <n v="19500"/>
    <n v="8300"/>
    <n v="55"/>
    <n v="0.9465527381578337"/>
    <n v="0.14284341321290944"/>
    <m/>
  </r>
  <r>
    <s v="2050 TOURIST BUS - FULL"/>
    <s v="RURAL ROUTE"/>
    <s v="2050 Fuel Cell 800 kW"/>
    <x v="2"/>
    <n v="4.7900265366550521"/>
    <n v="1.5749375224113464"/>
    <n v="0.32879515600996007"/>
    <n v="24.801532745361328"/>
    <s v="km/kg"/>
    <s v="Hydrogen 2050 TOURIST BUS - FULL 2050 Fuel Cell 800 kW RURAL ROUTE 19500 kg 4.0 kg /100km 33%"/>
    <n v="0"/>
    <x v="1"/>
    <x v="2"/>
    <x v="4"/>
    <s v="Hydrogen km/kg"/>
    <n v="400969.8825931598"/>
    <n v="295077.8825931598"/>
    <n v="45000"/>
    <n v="60892"/>
    <n v="19500"/>
    <n v="8300"/>
    <n v="55"/>
    <n v="0.57711163092229545"/>
    <n v="8.7091391575546406E-2"/>
    <m/>
  </r>
  <r>
    <s v="2050 TOURIST BUS - FULL"/>
    <s v="MOTORWAY"/>
    <s v="2050 Fuel Cell 800 kW"/>
    <x v="2"/>
    <n v="4.4520940356632623"/>
    <n v="1.8405410051345825"/>
    <n v="0.41341018190339801"/>
    <n v="26.684072494506836"/>
    <s v="km/kg"/>
    <s v="Hydrogen 2050 TOURIST BUS - FULL 2050 Fuel Cell 800 kW MOTORWAY 19500 kg 3.7 kg /100km 41%"/>
    <n v="0"/>
    <x v="1"/>
    <x v="2"/>
    <x v="4"/>
    <s v="Hydrogen km/kg"/>
    <n v="400969.8825931598"/>
    <n v="295077.8825931598"/>
    <n v="45000"/>
    <n v="60892"/>
    <n v="19500"/>
    <n v="8300"/>
    <n v="55"/>
    <n v="0.53639687176665807"/>
    <n v="8.0947164284786585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1">
  <location ref="A7:D27" firstHeaderRow="1" firstDataRow="2" firstDataCol="1" rowPageCount="1" colPageCount="1"/>
  <pivotFields count="25">
    <pivotField multipleItemSelectionAllowed="1" showAll="0"/>
    <pivotField multipleItemSelectionAllowed="1" showAll="0"/>
    <pivotField showAll="0"/>
    <pivotField axis="axisRow" multipleItemSelectionAllowed="1" showAll="0">
      <items count="4">
        <item x="0"/>
        <item x="1"/>
        <item x="2"/>
        <item t="default"/>
      </items>
    </pivotField>
    <pivotField numFmtId="2" showAll="0"/>
    <pivotField numFmtId="2" showAll="0"/>
    <pivotField dataField="1" numFmtId="165" showAll="0"/>
    <pivotField numFmtId="166" showAll="0"/>
    <pivotField showAll="0"/>
    <pivotField showAll="0"/>
    <pivotField showAll="0"/>
    <pivotField axis="axisCol" multipleItemSelectionAllowed="1" showAll="0">
      <items count="3">
        <item x="0"/>
        <item x="1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axis="axisRow" multipleItemSelectionAllowed="1" showAll="0">
      <items count="6">
        <item x="3"/>
        <item x="0"/>
        <item x="2"/>
        <item x="4"/>
        <item x="1"/>
        <item t="default"/>
      </items>
    </pivotField>
    <pivotField showAll="0"/>
    <pivotField numFmtId="168" showAll="0"/>
    <pivotField numFmtId="168" showAll="0"/>
    <pivotField numFmtId="168" showAll="0"/>
    <pivotField numFmtId="168" showAll="0"/>
    <pivotField numFmtId="1" showAll="0"/>
    <pivotField showAll="0"/>
    <pivotField showAll="0"/>
    <pivotField showAll="0"/>
    <pivotField showAll="0"/>
    <pivotField showAll="0"/>
  </pivotFields>
  <rowFields count="2">
    <field x="3"/>
    <field x="13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1"/>
  </colFields>
  <colItems count="3">
    <i>
      <x/>
    </i>
    <i>
      <x v="1"/>
    </i>
    <i t="grand">
      <x/>
    </i>
  </colItems>
  <pageFields count="1">
    <pageField fld="12" hier="-1"/>
  </pageFields>
  <dataFields count="1">
    <dataField name="Average of Efficiency %" fld="6" subtotal="average" baseField="3" baseItem="0"/>
  </dataFields>
  <chartFormats count="4">
    <chartFormat chart="0" format="204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205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tf-oecd.org/road-transport-group/weights-and-dimensions/belgium" TargetMode="External"/><Relationship Id="rId1" Type="http://schemas.openxmlformats.org/officeDocument/2006/relationships/hyperlink" Target="https://www.statista.com/statistics/1230087/heavy-duty-truck-purchase-costs-by-fuel-typ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E12"/>
  <sheetViews>
    <sheetView zoomScale="115" zoomScaleNormal="115" workbookViewId="0">
      <selection activeCell="C15" sqref="C15"/>
    </sheetView>
  </sheetViews>
  <sheetFormatPr defaultRowHeight="15" x14ac:dyDescent="0.3"/>
  <cols>
    <col min="2" max="2" width="20.42578125" bestFit="1" customWidth="1"/>
    <col min="3" max="3" width="14.28515625" customWidth="1"/>
    <col min="4" max="4" width="12.7109375" customWidth="1"/>
    <col min="5" max="5" width="12.140625" customWidth="1"/>
  </cols>
  <sheetData>
    <row r="3" spans="2:5" x14ac:dyDescent="0.3">
      <c r="B3" s="71" t="s">
        <v>97</v>
      </c>
      <c r="C3" s="70" t="s">
        <v>138</v>
      </c>
      <c r="D3" s="70"/>
      <c r="E3" s="70"/>
    </row>
    <row r="4" spans="2:5" x14ac:dyDescent="0.3">
      <c r="B4" s="71"/>
      <c r="C4" s="51" t="s">
        <v>74</v>
      </c>
      <c r="D4" s="51" t="s">
        <v>75</v>
      </c>
      <c r="E4" s="51" t="s">
        <v>76</v>
      </c>
    </row>
    <row r="5" spans="2:5" x14ac:dyDescent="0.3">
      <c r="B5" s="52" t="s">
        <v>96</v>
      </c>
      <c r="C5" s="53" t="s">
        <v>77</v>
      </c>
      <c r="D5" s="53" t="s">
        <v>82</v>
      </c>
      <c r="E5" s="53" t="s">
        <v>87</v>
      </c>
    </row>
    <row r="6" spans="2:5" x14ac:dyDescent="0.3">
      <c r="B6" s="52" t="s">
        <v>92</v>
      </c>
      <c r="C6" s="53" t="s">
        <v>78</v>
      </c>
      <c r="D6" s="53" t="s">
        <v>83</v>
      </c>
      <c r="E6" s="53" t="s">
        <v>88</v>
      </c>
    </row>
    <row r="7" spans="2:5" x14ac:dyDescent="0.3">
      <c r="B7" s="52" t="s">
        <v>93</v>
      </c>
      <c r="C7" s="53" t="s">
        <v>79</v>
      </c>
      <c r="D7" s="53" t="s">
        <v>84</v>
      </c>
      <c r="E7" s="53" t="s">
        <v>89</v>
      </c>
    </row>
    <row r="8" spans="2:5" x14ac:dyDescent="0.3">
      <c r="B8" s="52" t="s">
        <v>94</v>
      </c>
      <c r="C8" s="53" t="s">
        <v>80</v>
      </c>
      <c r="D8" s="53" t="s">
        <v>85</v>
      </c>
      <c r="E8" s="53" t="s">
        <v>90</v>
      </c>
    </row>
    <row r="9" spans="2:5" x14ac:dyDescent="0.3">
      <c r="B9" s="52" t="s">
        <v>95</v>
      </c>
      <c r="C9" s="53" t="s">
        <v>81</v>
      </c>
      <c r="D9" s="53" t="s">
        <v>86</v>
      </c>
      <c r="E9" s="53" t="s">
        <v>91</v>
      </c>
    </row>
    <row r="11" spans="2:5" x14ac:dyDescent="0.3">
      <c r="C11" s="72" t="s">
        <v>98</v>
      </c>
      <c r="D11" s="72"/>
      <c r="E11" s="72"/>
    </row>
    <row r="12" spans="2:5" x14ac:dyDescent="0.3">
      <c r="C12" s="72" t="s">
        <v>99</v>
      </c>
      <c r="D12" s="72"/>
      <c r="E12" s="72"/>
    </row>
  </sheetData>
  <mergeCells count="4">
    <mergeCell ref="C3:E3"/>
    <mergeCell ref="B3:B4"/>
    <mergeCell ref="C11:E11"/>
    <mergeCell ref="C12:E12"/>
  </mergeCells>
  <hyperlinks>
    <hyperlink ref="D5" location="'BEV L1'!A1" display="'BEV L1'!A1" xr:uid="{00000000-0004-0000-0000-000000000000}"/>
    <hyperlink ref="D6" location="'BEV L2'!A1" display="'BEV L2'!A1" xr:uid="{00000000-0004-0000-0000-000001000000}"/>
    <hyperlink ref="D7" location="'BEV L3'!A1" display="'BEV L3'!A1" xr:uid="{00000000-0004-0000-0000-000002000000}"/>
    <hyperlink ref="D8" location="'BEV B1'!A1" display="'BEV B1'!A1" xr:uid="{00000000-0004-0000-0000-000003000000}"/>
    <hyperlink ref="D9" location="'BEV B2'!A1" display="'BEV B2'!A1" xr:uid="{00000000-0004-0000-0000-000004000000}"/>
    <hyperlink ref="E5" location="'FCV L1'!A1" display="'FCV L1'!A1" xr:uid="{00000000-0004-0000-0000-000005000000}"/>
    <hyperlink ref="E6" location="'FCV L2'!A1" display="'FCV L2'!A1" xr:uid="{00000000-0004-0000-0000-000006000000}"/>
    <hyperlink ref="E7" location="'FCV L3'!A1" display="'FCV L3'!A1" xr:uid="{00000000-0004-0000-0000-000007000000}"/>
    <hyperlink ref="E8" location="'FCV B1'!A1" display="'FCV B1'!A1" xr:uid="{00000000-0004-0000-0000-000008000000}"/>
    <hyperlink ref="E9" location="'FCV B2'!A1" display="'FCV B2'!A1" xr:uid="{00000000-0004-0000-0000-000009000000}"/>
    <hyperlink ref="C11" location="Grafik!A1" display="GRAPHS" xr:uid="{00000000-0004-0000-0000-00000A000000}"/>
    <hyperlink ref="C12" location="Simulations!A1" display="DATA" xr:uid="{00000000-0004-0000-0000-00000B000000}"/>
    <hyperlink ref="C11:E11" location="Graphs!A1" display="GRAPHS" xr:uid="{00000000-0004-0000-0000-00000C000000}"/>
    <hyperlink ref="C9" location="'Diesel B2'!A1" display="'Diesel B2'!A1" xr:uid="{00000000-0004-0000-0000-00000D000000}"/>
    <hyperlink ref="C8" location="'Diesel B2'!A1" display="Diesel B1'!A1" xr:uid="{00000000-0004-0000-0000-00000E000000}"/>
    <hyperlink ref="C7" location="'Diesel L3'!A1" display="'Diesel L3'!A1" xr:uid="{00000000-0004-0000-0000-00000F000000}"/>
    <hyperlink ref="C6" location="'Diesel L2'!A1" display="'Diesel L2'!A1" xr:uid="{00000000-0004-0000-0000-000010000000}"/>
    <hyperlink ref="C5" location="'Diesel L1'!A1" display="'Diesel L1'!A1" xr:uid="{00000000-0004-0000-0000-00001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P79"/>
  <sheetViews>
    <sheetView zoomScaleNormal="100" workbookViewId="0">
      <selection activeCell="B60" sqref="B60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  <col min="16" max="16" width="1.42578125" bestFit="1" customWidth="1"/>
  </cols>
  <sheetData>
    <row r="1" spans="1:14" ht="15.75" thickBot="1" x14ac:dyDescent="0.35">
      <c r="A1" s="54" t="s">
        <v>0</v>
      </c>
      <c r="B1" s="1"/>
      <c r="C1" s="76" t="s">
        <v>139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44</v>
      </c>
      <c r="B4" s="3">
        <v>17600</v>
      </c>
      <c r="C4" s="14">
        <f>+C6-C5</f>
        <v>17829.517241379312</v>
      </c>
      <c r="D4" s="14">
        <f>+D6-D5</f>
        <v>18116.413793103449</v>
      </c>
      <c r="E4" s="14">
        <f>+E6-E5</f>
        <v>18690.206896551725</v>
      </c>
      <c r="F4" s="14">
        <f>+F6-F5</f>
        <v>19264</v>
      </c>
      <c r="G4" s="57" t="s">
        <v>111</v>
      </c>
      <c r="H4" s="57" t="s">
        <v>111</v>
      </c>
      <c r="I4" s="57" t="s">
        <v>111</v>
      </c>
      <c r="J4" s="57" t="s">
        <v>111</v>
      </c>
      <c r="K4" s="57" t="s">
        <v>111</v>
      </c>
      <c r="L4" s="57" t="s">
        <v>111</v>
      </c>
      <c r="M4" s="3"/>
      <c r="N4" s="3">
        <v>2</v>
      </c>
    </row>
    <row r="5" spans="1:14" ht="15.75" thickBot="1" x14ac:dyDescent="0.35">
      <c r="A5" s="5" t="s">
        <v>9</v>
      </c>
      <c r="B5" s="3">
        <f>+B6-B4</f>
        <v>10400</v>
      </c>
      <c r="C5" s="14">
        <f>B5+(C$2-B$2)*($F5-$B5)/($F$2-$B$2)</f>
        <v>10170.48275862069</v>
      </c>
      <c r="D5" s="14">
        <f>C5+(D$2-C$2)*($F5-$B5)/($F$2-$B$2)</f>
        <v>9883.5862068965525</v>
      </c>
      <c r="E5" s="14">
        <f>D5+(E$2-D$2)*($F5-$B5)/($F$2-$B$2)</f>
        <v>9309.7931034482772</v>
      </c>
      <c r="F5" s="3">
        <f>+B5*[1]Fremskrivninger!B47</f>
        <v>8736</v>
      </c>
      <c r="G5" s="59" t="s">
        <v>111</v>
      </c>
      <c r="H5" s="59" t="s">
        <v>111</v>
      </c>
      <c r="I5" s="59" t="s">
        <v>111</v>
      </c>
      <c r="J5" s="59" t="s">
        <v>111</v>
      </c>
      <c r="K5" s="59" t="s">
        <v>111</v>
      </c>
      <c r="L5" s="59" t="s">
        <v>111</v>
      </c>
      <c r="M5" s="3"/>
      <c r="N5" s="3">
        <v>2</v>
      </c>
    </row>
    <row r="6" spans="1:14" ht="15.75" thickBot="1" x14ac:dyDescent="0.35">
      <c r="A6" s="5" t="s">
        <v>10</v>
      </c>
      <c r="B6" s="3">
        <f>'Diesel L1'!B6+2000</f>
        <v>28000</v>
      </c>
      <c r="C6" s="3">
        <f>'Diesel L1'!C6+2000</f>
        <v>28000</v>
      </c>
      <c r="D6" s="3">
        <f>'Diesel L1'!D6+2000</f>
        <v>28000</v>
      </c>
      <c r="E6" s="3">
        <f>'Diesel L1'!E6+2000</f>
        <v>28000</v>
      </c>
      <c r="F6" s="3">
        <f>'Diesel L1'!F6+2000</f>
        <v>28000</v>
      </c>
      <c r="G6" s="3">
        <f>'Diesel L1'!G6+2000</f>
        <v>27000</v>
      </c>
      <c r="H6" s="3">
        <f>'Diesel L1'!H6+2000</f>
        <v>34000</v>
      </c>
      <c r="I6" s="3">
        <f>'Diesel L1'!I6+2000</f>
        <v>27000</v>
      </c>
      <c r="J6" s="3">
        <f>'Diesel L1'!J6+2000</f>
        <v>34000</v>
      </c>
      <c r="K6" s="3">
        <f>'Diesel L1'!K6+2000</f>
        <v>27000</v>
      </c>
      <c r="L6" s="3">
        <f>'Diesel L1'!L6+2000</f>
        <v>34000</v>
      </c>
      <c r="M6" s="3"/>
      <c r="N6" s="3">
        <v>2</v>
      </c>
    </row>
    <row r="7" spans="1:14" ht="15.75" thickBot="1" x14ac:dyDescent="0.35">
      <c r="A7" s="5" t="s">
        <v>43</v>
      </c>
      <c r="B7" s="14">
        <f>[1]Fremskrivninger!$N$3*B4</f>
        <v>7796.8</v>
      </c>
      <c r="C7" s="14">
        <f>[1]Fremskrivninger!$N$3*C4</f>
        <v>7898.4761379310348</v>
      </c>
      <c r="D7" s="14">
        <f>[1]Fremskrivninger!$N$3*D4</f>
        <v>8025.5713103448279</v>
      </c>
      <c r="E7" s="14">
        <f>[1]Fremskrivninger!$N$3*E4</f>
        <v>8279.761655172415</v>
      </c>
      <c r="F7" s="14">
        <f>[1]Fremskrivninger!$N$3*F4</f>
        <v>8533.9519999999993</v>
      </c>
      <c r="G7" s="57" t="s">
        <v>111</v>
      </c>
      <c r="H7" s="59" t="s">
        <v>111</v>
      </c>
      <c r="I7" s="57" t="s">
        <v>111</v>
      </c>
      <c r="J7" s="57" t="s">
        <v>111</v>
      </c>
      <c r="K7" s="57" t="s">
        <v>111</v>
      </c>
      <c r="L7" s="57" t="s">
        <v>111</v>
      </c>
      <c r="M7" s="3"/>
      <c r="N7" s="3">
        <v>2</v>
      </c>
    </row>
    <row r="8" spans="1:14" ht="15.75" thickBot="1" x14ac:dyDescent="0.35">
      <c r="A8" s="5" t="s">
        <v>46</v>
      </c>
      <c r="B8" s="3">
        <v>336</v>
      </c>
      <c r="C8" s="14">
        <f t="shared" ref="C8:E10" si="0">B8+(C$2-B$2)*($F8-$B8)/($F$2-$B$2)</f>
        <v>358.62068965517244</v>
      </c>
      <c r="D8" s="14">
        <f t="shared" si="0"/>
        <v>386.89655172413796</v>
      </c>
      <c r="E8" s="14">
        <f t="shared" si="0"/>
        <v>443.44827586206901</v>
      </c>
      <c r="F8" s="3">
        <v>500</v>
      </c>
      <c r="G8" s="59" t="s">
        <v>111</v>
      </c>
      <c r="H8" s="58">
        <v>624</v>
      </c>
      <c r="I8" s="59" t="s">
        <v>111</v>
      </c>
      <c r="J8" s="59" t="s">
        <v>111</v>
      </c>
      <c r="K8" s="59" t="s">
        <v>111</v>
      </c>
      <c r="L8" s="58">
        <v>1200</v>
      </c>
      <c r="M8" s="3"/>
      <c r="N8" s="3">
        <v>2</v>
      </c>
    </row>
    <row r="9" spans="1:14" ht="15.75" thickBot="1" x14ac:dyDescent="0.35">
      <c r="A9" s="5" t="s">
        <v>13</v>
      </c>
      <c r="B9" s="14">
        <f>[1]Fremskrivninger!$N$6*B8</f>
        <v>2049.6</v>
      </c>
      <c r="C9" s="14">
        <f t="shared" si="0"/>
        <v>2028.9655172413793</v>
      </c>
      <c r="D9" s="14">
        <f t="shared" si="0"/>
        <v>2003.1724137931035</v>
      </c>
      <c r="E9" s="14">
        <f t="shared" si="0"/>
        <v>1951.5862068965519</v>
      </c>
      <c r="F9" s="3">
        <f>[1]Fremskrivninger!$P$6*F8</f>
        <v>1900</v>
      </c>
      <c r="G9" s="14">
        <f>+C8/0.2</f>
        <v>1793.1034482758621</v>
      </c>
      <c r="H9" s="14">
        <f>+C8/0.14</f>
        <v>2561.576354679803</v>
      </c>
      <c r="I9" s="14">
        <f>+D8/0.25</f>
        <v>1547.5862068965519</v>
      </c>
      <c r="J9" s="14">
        <f>+D8/0.2</f>
        <v>1934.4827586206898</v>
      </c>
      <c r="K9" s="3">
        <f>+F8/0.4</f>
        <v>1250</v>
      </c>
      <c r="L9" s="3">
        <f>+F8/0.2</f>
        <v>2500</v>
      </c>
      <c r="M9" s="3"/>
      <c r="N9" s="3">
        <v>2</v>
      </c>
    </row>
    <row r="10" spans="1:14" ht="15.75" thickBot="1" x14ac:dyDescent="0.35">
      <c r="A10" s="5" t="s">
        <v>105</v>
      </c>
      <c r="B10" s="3">
        <v>160</v>
      </c>
      <c r="C10" s="14">
        <f t="shared" si="0"/>
        <v>344.82758620689651</v>
      </c>
      <c r="D10" s="14">
        <f t="shared" si="0"/>
        <v>575.86206896551721</v>
      </c>
      <c r="E10" s="14">
        <f t="shared" si="0"/>
        <v>1037.9310344827586</v>
      </c>
      <c r="F10" s="3">
        <v>1500</v>
      </c>
      <c r="G10" s="57" t="s">
        <v>111</v>
      </c>
      <c r="H10" s="57" t="s">
        <v>111</v>
      </c>
      <c r="I10" s="57" t="s">
        <v>111</v>
      </c>
      <c r="J10" s="57" t="s">
        <v>111</v>
      </c>
      <c r="K10" s="57" t="s">
        <v>111</v>
      </c>
      <c r="L10" s="57" t="s">
        <v>111</v>
      </c>
      <c r="M10" s="3"/>
      <c r="N10" s="3">
        <v>2</v>
      </c>
    </row>
    <row r="11" spans="1:14" ht="15.75" thickBot="1" x14ac:dyDescent="0.35">
      <c r="A11" s="5" t="s">
        <v>143</v>
      </c>
      <c r="B11" s="14">
        <f>+B8*0.6/B10*60</f>
        <v>75.599999999999994</v>
      </c>
      <c r="C11" s="14">
        <f>+C8*0.6/C10*60</f>
        <v>37.440000000000005</v>
      </c>
      <c r="D11" s="14">
        <f>+D8*0.6/D10*60</f>
        <v>24.186826347305391</v>
      </c>
      <c r="E11" s="14">
        <f>+E8*0.6/E10*60</f>
        <v>15.380730897009967</v>
      </c>
      <c r="F11" s="14">
        <f>+F8*0.6/F10*60</f>
        <v>12</v>
      </c>
      <c r="G11" s="57" t="s">
        <v>111</v>
      </c>
      <c r="H11" s="57" t="s">
        <v>111</v>
      </c>
      <c r="I11" s="57" t="s">
        <v>111</v>
      </c>
      <c r="J11" s="57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122</v>
      </c>
      <c r="B12" s="3">
        <f>+'Diesel L1'!B12</f>
        <v>4</v>
      </c>
      <c r="C12" s="3">
        <f>+'Diesel L1'!C12</f>
        <v>4</v>
      </c>
      <c r="D12" s="3">
        <f>+'Diesel L1'!D12</f>
        <v>4</v>
      </c>
      <c r="E12" s="3">
        <f>+'Diesel L1'!E12</f>
        <v>4</v>
      </c>
      <c r="F12" s="3">
        <f>+'Diesel L1'!F12</f>
        <v>4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f>+'Diesel L1'!B13</f>
        <v>3</v>
      </c>
      <c r="C13" s="3">
        <f>+'Diesel L1'!C13</f>
        <v>3</v>
      </c>
      <c r="D13" s="3">
        <f>+'Diesel L1'!D13</f>
        <v>3</v>
      </c>
      <c r="E13" s="3">
        <f>+'Diesel L1'!E13</f>
        <v>3</v>
      </c>
      <c r="F13" s="3">
        <f>+'Diesel L1'!F13</f>
        <v>3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330</v>
      </c>
      <c r="C14" s="14">
        <f>B14+(C$2-B$2)*($F14-$B14)/($F$2-$B$2)</f>
        <v>353.44827586206895</v>
      </c>
      <c r="D14" s="14">
        <f>C14+(D$2-C$2)*($F14-$B14)/($F$2-$B$2)</f>
        <v>382.75862068965517</v>
      </c>
      <c r="E14" s="14">
        <f>D14+(E$2-D$2)*($F14-$B14)/($F$2-$B$2)</f>
        <v>441.37931034482756</v>
      </c>
      <c r="F14" s="3">
        <v>500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f>+'Diesel L1'!B15</f>
        <v>12</v>
      </c>
      <c r="C15" s="3">
        <f>+'Diesel L1'!C15</f>
        <v>12</v>
      </c>
      <c r="D15" s="3">
        <f>+'Diesel L1'!D15</f>
        <v>12</v>
      </c>
      <c r="E15" s="3">
        <f>+'Diesel L1'!E15</f>
        <v>12</v>
      </c>
      <c r="F15" s="3">
        <f>+'Diesel L1'!F15</f>
        <v>12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14">
        <f>+'Diesel L1'!B16</f>
        <v>10.5</v>
      </c>
      <c r="C16" s="14">
        <f>+'Diesel L1'!C16</f>
        <v>10.5</v>
      </c>
      <c r="D16" s="14">
        <f>+'Diesel L1'!D16</f>
        <v>10.5</v>
      </c>
      <c r="E16" s="14">
        <f>+'Diesel L1'!E16</f>
        <v>10.5</v>
      </c>
      <c r="F16" s="3">
        <f>+'Diesel L1'!F16</f>
        <v>10.5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6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  <c r="P17" t="s">
        <v>100</v>
      </c>
    </row>
    <row r="18" spans="1:16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6" ht="15.75" thickBot="1" x14ac:dyDescent="0.35">
      <c r="A19" s="60" t="s">
        <v>146</v>
      </c>
      <c r="B19" s="25">
        <f>Simulations!G50</f>
        <v>0.47946825013339817</v>
      </c>
      <c r="C19" s="27">
        <f t="shared" ref="C19:E21" si="1">B19+(C$2-B$2)*($F19-$B19)/($F$2-$B$2)</f>
        <v>0.48744060363229852</v>
      </c>
      <c r="D19" s="27">
        <f t="shared" si="1"/>
        <v>0.49740604550592399</v>
      </c>
      <c r="E19" s="27">
        <f t="shared" si="1"/>
        <v>0.51733692925317498</v>
      </c>
      <c r="F19" s="19">
        <f>+Simulations!G185</f>
        <v>0.53726781300042592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6" ht="15.75" thickBot="1" x14ac:dyDescent="0.35">
      <c r="A20" s="60" t="s">
        <v>147</v>
      </c>
      <c r="B20" s="25">
        <f>Simulations!G51</f>
        <v>0.63987338460611354</v>
      </c>
      <c r="C20" s="27">
        <f t="shared" si="1"/>
        <v>0.64487447571492651</v>
      </c>
      <c r="D20" s="27">
        <f t="shared" si="1"/>
        <v>0.65112583960094272</v>
      </c>
      <c r="E20" s="27">
        <f t="shared" si="1"/>
        <v>0.66362856737297515</v>
      </c>
      <c r="F20" s="19">
        <f>+Simulations!G186</f>
        <v>0.67613129514500747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6" ht="15.75" thickBot="1" x14ac:dyDescent="0.35">
      <c r="A21" s="60" t="s">
        <v>148</v>
      </c>
      <c r="B21" s="25">
        <f>Simulations!G52</f>
        <v>0.73120110497590429</v>
      </c>
      <c r="C21" s="27">
        <f t="shared" si="1"/>
        <v>0.73685277132553917</v>
      </c>
      <c r="D21" s="27">
        <f t="shared" si="1"/>
        <v>0.74391735426258288</v>
      </c>
      <c r="E21" s="27">
        <f t="shared" si="1"/>
        <v>0.75804652013667018</v>
      </c>
      <c r="F21" s="19">
        <f>+Simulations!G187</f>
        <v>0.77217568601075748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6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6" ht="15.75" thickBot="1" x14ac:dyDescent="0.35">
      <c r="A23" s="60" t="s">
        <v>146</v>
      </c>
      <c r="B23" s="28">
        <f>+Simulations!E47</f>
        <v>2.1366846727292526</v>
      </c>
      <c r="C23" s="13">
        <f t="shared" ref="C23:E25" si="2">B23+(C$2-B$2)*($F23-$B23)/($F$2-$B$2)</f>
        <v>2.0483345923554412</v>
      </c>
      <c r="D23" s="13">
        <f t="shared" si="2"/>
        <v>1.937896991888177</v>
      </c>
      <c r="E23" s="13">
        <f t="shared" si="2"/>
        <v>1.7170217909536483</v>
      </c>
      <c r="F23" s="28">
        <f>+Simulations!E182</f>
        <v>1.4961465900191195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6" ht="15.75" thickBot="1" x14ac:dyDescent="0.35">
      <c r="A24" s="60" t="s">
        <v>147</v>
      </c>
      <c r="B24" s="28">
        <f>+Simulations!E48</f>
        <v>2.7970565458733097</v>
      </c>
      <c r="C24" s="13">
        <f t="shared" si="2"/>
        <v>2.6823552551270198</v>
      </c>
      <c r="D24" s="13">
        <f t="shared" si="2"/>
        <v>2.5389786416941571</v>
      </c>
      <c r="E24" s="13">
        <f t="shared" si="2"/>
        <v>2.2522254148284322</v>
      </c>
      <c r="F24" s="28">
        <f>+Simulations!E183</f>
        <v>1.9654721879627068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6" ht="15.75" thickBot="1" x14ac:dyDescent="0.35">
      <c r="A25" s="60" t="s">
        <v>148</v>
      </c>
      <c r="B25" s="28">
        <f>+Simulations!E49</f>
        <v>3.1885906295375586</v>
      </c>
      <c r="C25" s="13">
        <f t="shared" si="2"/>
        <v>3.0612471866906108</v>
      </c>
      <c r="D25" s="13">
        <f t="shared" si="2"/>
        <v>2.902067883131926</v>
      </c>
      <c r="E25" s="13">
        <f t="shared" si="2"/>
        <v>2.5837092760145564</v>
      </c>
      <c r="F25" s="28">
        <f>+Simulations!E184</f>
        <v>2.2653506688971867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6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6" ht="15.75" thickBot="1" x14ac:dyDescent="0.35">
      <c r="A27" s="60" t="s">
        <v>146</v>
      </c>
      <c r="B27" s="28">
        <f>+Simulations!E53</f>
        <v>4.8595668967126429</v>
      </c>
      <c r="C27" s="13">
        <f t="shared" ref="C27:E29" si="3">B27+(C$2-B$2)*($F27-$B27)/($F$2-$B$2)</f>
        <v>4.6172851076685664</v>
      </c>
      <c r="D27" s="13">
        <f t="shared" si="3"/>
        <v>4.3144328713634712</v>
      </c>
      <c r="E27" s="13">
        <f t="shared" si="3"/>
        <v>3.7087283987532809</v>
      </c>
      <c r="F27" s="28">
        <f>+Simulations!E188</f>
        <v>3.1030239261430914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6" ht="15.75" thickBot="1" x14ac:dyDescent="0.35">
      <c r="A28" s="60" t="s">
        <v>147</v>
      </c>
      <c r="B28" s="28">
        <f>+Simulations!E54</f>
        <v>4.45613997706044</v>
      </c>
      <c r="C28" s="13">
        <f t="shared" si="3"/>
        <v>4.2980425756236471</v>
      </c>
      <c r="D28" s="13">
        <f t="shared" si="3"/>
        <v>4.1004208238276565</v>
      </c>
      <c r="E28" s="13">
        <f t="shared" si="3"/>
        <v>3.7051773202356753</v>
      </c>
      <c r="F28" s="28">
        <f>+Simulations!E189</f>
        <v>3.3099338166436936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6" ht="15.75" thickBot="1" x14ac:dyDescent="0.35">
      <c r="A29" s="60" t="s">
        <v>148</v>
      </c>
      <c r="B29" s="28">
        <f>+Simulations!E55</f>
        <v>4.2862612707075405</v>
      </c>
      <c r="C29" s="13">
        <f t="shared" si="3"/>
        <v>4.1381821679415509</v>
      </c>
      <c r="D29" s="13">
        <f t="shared" si="3"/>
        <v>3.9530832894840642</v>
      </c>
      <c r="E29" s="13">
        <f t="shared" si="3"/>
        <v>3.5828855325690907</v>
      </c>
      <c r="F29" s="28">
        <f>+Simulations!E190</f>
        <v>3.2126877756541177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6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6" ht="15.75" thickBot="1" x14ac:dyDescent="0.35">
      <c r="A31" s="60" t="s">
        <v>146</v>
      </c>
      <c r="B31" s="28">
        <f>Simulations!E50</f>
        <v>3.2222755041776279</v>
      </c>
      <c r="C31" s="13">
        <f t="shared" ref="C31:E33" si="4">B31+(C$2-B$2)*($F31-$B31)/($F$2-$B$2)</f>
        <v>3.082834883623236</v>
      </c>
      <c r="D31" s="13">
        <f t="shared" si="4"/>
        <v>2.908534107930246</v>
      </c>
      <c r="E31" s="13">
        <f t="shared" si="4"/>
        <v>2.5599325565442661</v>
      </c>
      <c r="F31" s="28">
        <f>+Simulations!E185</f>
        <v>2.2113310051582857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6" ht="15.75" thickBot="1" x14ac:dyDescent="0.35">
      <c r="A32" s="60" t="s">
        <v>147</v>
      </c>
      <c r="B32" s="28">
        <f>Simulations!E51</f>
        <v>3.4908199112400422</v>
      </c>
      <c r="C32" s="13">
        <f t="shared" si="4"/>
        <v>3.3599614021050397</v>
      </c>
      <c r="D32" s="13">
        <f t="shared" si="4"/>
        <v>3.1963882656862865</v>
      </c>
      <c r="E32" s="13">
        <f t="shared" si="4"/>
        <v>2.8692419928487802</v>
      </c>
      <c r="F32" s="28">
        <f>+Simulations!E186</f>
        <v>2.5420957200112735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8">
        <f>Simulations!E52</f>
        <v>3.6577556918915928</v>
      </c>
      <c r="C33" s="13">
        <f t="shared" si="4"/>
        <v>3.5212578342380363</v>
      </c>
      <c r="D33" s="13">
        <f t="shared" si="4"/>
        <v>3.3506355121710909</v>
      </c>
      <c r="E33" s="13">
        <f t="shared" si="4"/>
        <v>3.0093908680372001</v>
      </c>
      <c r="F33" s="28">
        <f>+Simulations!E187</f>
        <v>2.6681462239033089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+B$8*[1]Fremskrivninger!$S$9/B23</f>
        <v>566.11067390441906</v>
      </c>
      <c r="C35" s="14">
        <f>+C$8*[1]Fremskrivninger!$S$9/C23</f>
        <v>630.28495812006076</v>
      </c>
      <c r="D35" s="14">
        <f>+D$8*[1]Fremskrivninger!$S$9/D23</f>
        <v>718.73148678031873</v>
      </c>
      <c r="E35" s="14">
        <f>+E$8*[1]Fremskrivninger!$S$9/E23</f>
        <v>929.75744484686288</v>
      </c>
      <c r="F35" s="14">
        <f>+F$8*[1]Fremskrivninger!$S$9/F23</f>
        <v>1203.0906677246094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+B$8*[1]Fremskrivninger!$S$9/B24</f>
        <v>432.45461082458502</v>
      </c>
      <c r="C36" s="14">
        <f>+C$8*[1]Fremskrivninger!$S$9/C24</f>
        <v>481.30629986127082</v>
      </c>
      <c r="D36" s="14">
        <f>+D$8*[1]Fremskrivninger!$S$9/D24</f>
        <v>548.5779058296921</v>
      </c>
      <c r="E36" s="14">
        <f>+E$8*[1]Fremskrivninger!$S$9/E24</f>
        <v>708.8161702611186</v>
      </c>
      <c r="F36" s="14">
        <f>+F$8*[1]Fremskrivninger!$S$9/F24</f>
        <v>915.81046581268311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+B$8*[1]Fremskrivninger!$S$9/B25</f>
        <v>379.35255432128912</v>
      </c>
      <c r="C37" s="14">
        <f>+C$8*[1]Fremskrivninger!$S$9/C25</f>
        <v>421.7348041581397</v>
      </c>
      <c r="D37" s="14">
        <f>+D$8*[1]Fremskrivninger!$S$9/D25</f>
        <v>479.94314478397052</v>
      </c>
      <c r="E37" s="14">
        <f>+E$8*[1]Fremskrivninger!$S$9/E25</f>
        <v>617.87671233892115</v>
      </c>
      <c r="F37" s="14">
        <f>+F$8*[1]Fremskrivninger!$S$9/F25</f>
        <v>794.57896947860718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+B$8*[1]Fremskrivninger!$S$9/B27</f>
        <v>248.91107082366943</v>
      </c>
      <c r="C39" s="14">
        <f>+C$8*[1]Fremskrivninger!$S$9/C27</f>
        <v>279.60900240152392</v>
      </c>
      <c r="D39" s="14">
        <f>+D$8*[1]Fremskrivninger!$S$9/D27</f>
        <v>322.8298197549027</v>
      </c>
      <c r="E39" s="14">
        <f>+E$8*[1]Fremskrivninger!$S$9/E27</f>
        <v>430.44774959527797</v>
      </c>
      <c r="F39" s="14">
        <f>+F$8*[1]Fremskrivninger!$S$9/F27</f>
        <v>580.07931709289551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+B$8*[1]Fremskrivninger!$S$9/B28</f>
        <v>271.44569206237793</v>
      </c>
      <c r="C40" s="14">
        <f>+C$8*[1]Fremskrivninger!$S$9/C28</f>
        <v>300.37731363591519</v>
      </c>
      <c r="D40" s="14">
        <f>+D$8*[1]Fremskrivninger!$S$9/D28</f>
        <v>339.67918075948154</v>
      </c>
      <c r="E40" s="14">
        <f>+E$8*[1]Fremskrivninger!$S$9/E28</f>
        <v>430.86029496744982</v>
      </c>
      <c r="F40" s="14">
        <f>+F$8*[1]Fremskrivninger!$S$9/F28</f>
        <v>543.81752014160156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+B$8*[1]Fremskrivninger!$S$9/B29</f>
        <v>282.20398235321045</v>
      </c>
      <c r="C41" s="14">
        <f>+C$8*[1]Fremskrivninger!$S$9/C29</f>
        <v>311.98106568634171</v>
      </c>
      <c r="D41" s="14">
        <f>+D$8*[1]Fremskrivninger!$S$9/D29</f>
        <v>352.33954971606011</v>
      </c>
      <c r="E41" s="14">
        <f>+E$8*[1]Fremskrivninger!$S$9/E29</f>
        <v>445.56650738399327</v>
      </c>
      <c r="F41" s="14">
        <f>+F$8*[1]Fremskrivninger!$S$9/F29</f>
        <v>560.27853488922119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+B$8*[1]Fremskrivninger!$S$9/B31</f>
        <v>375.38689613342291</v>
      </c>
      <c r="C43" s="14">
        <f>+C$8*[1]Fremskrivninger!$S$9/C31</f>
        <v>418.78158626558564</v>
      </c>
      <c r="D43" s="14">
        <f>+D$8*[1]Fremskrivninger!$S$9/D31</f>
        <v>478.87613984284769</v>
      </c>
      <c r="E43" s="14">
        <f>+E$8*[1]Fremskrivninger!$S$9/E31</f>
        <v>623.6155671454477</v>
      </c>
      <c r="F43" s="14">
        <f>+F$8*[1]Fremskrivninger!$S$9/F31</f>
        <v>813.98940086364735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+B$8*[1]Fremskrivninger!$S$9/B32</f>
        <v>346.50885200500488</v>
      </c>
      <c r="C44" s="14">
        <f>+C$8*[1]Fremskrivninger!$S$9/C32</f>
        <v>384.24086715691993</v>
      </c>
      <c r="D44" s="14">
        <f>+D$8*[1]Fremskrivninger!$S$9/D32</f>
        <v>435.75043781730534</v>
      </c>
      <c r="E44" s="14">
        <f>+E$8*[1]Fremskrivninger!$S$9/E32</f>
        <v>556.38868979413598</v>
      </c>
      <c r="F44" s="14">
        <f>+F$8*[1]Fremskrivninger!$S$9/F32</f>
        <v>708.07719230651844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+B$8*[1]Fremskrivninger!$S$9/B33</f>
        <v>330.69458484649658</v>
      </c>
      <c r="C45" s="14">
        <f>+C$8*[1]Fremskrivninger!$S$9/C33</f>
        <v>366.64014495206294</v>
      </c>
      <c r="D45" s="14">
        <f>+D$8*[1]Fremskrivninger!$S$9/D33</f>
        <v>415.69057008662656</v>
      </c>
      <c r="E45" s="14">
        <f>+E$8*[1]Fremskrivninger!$S$9/E33</f>
        <v>530.47738333328209</v>
      </c>
      <c r="F45" s="14">
        <f>+F$8*[1]Fremskrivninger!$S$9/F33</f>
        <v>674.6256947517395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5" ht="15.75" thickBot="1" x14ac:dyDescent="0.35">
      <c r="A65" s="5" t="s">
        <v>54</v>
      </c>
      <c r="B65" s="32">
        <f>'Diesel L1'!B65+B8*[1]Fremskrivninger!N11/1000</f>
        <v>47.25</v>
      </c>
      <c r="C65" s="13">
        <f>B65+(C$2-B$2)*($F65-$B65)/($F$2-$B$2)</f>
        <v>47.047037874505371</v>
      </c>
      <c r="D65" s="13">
        <f>C65+(D$2-C$2)*($F65-$B65)/($F$2-$B$2)</f>
        <v>46.793335217637086</v>
      </c>
      <c r="E65" s="13">
        <f>D65+(E$2-D$2)*($F65-$B65)/($F$2-$B$2)</f>
        <v>46.285929903900517</v>
      </c>
      <c r="F65" s="32">
        <f>'Diesel L1'!F65+F8*[1]Fremskrivninger!P11/1000</f>
        <v>45.77852459016394</v>
      </c>
      <c r="G65" s="57" t="s">
        <v>111</v>
      </c>
      <c r="H65" s="57" t="s">
        <v>111</v>
      </c>
      <c r="I65" s="57" t="s">
        <v>111</v>
      </c>
      <c r="J65" s="57" t="s">
        <v>111</v>
      </c>
      <c r="K65" s="57" t="s">
        <v>111</v>
      </c>
      <c r="L65" s="57" t="s">
        <v>111</v>
      </c>
      <c r="M65" s="3"/>
      <c r="N65" s="3">
        <v>3</v>
      </c>
    </row>
    <row r="66" spans="1:15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5" ht="15.75" thickBot="1" x14ac:dyDescent="0.35">
      <c r="A67" s="5" t="s">
        <v>37</v>
      </c>
      <c r="B67" s="3">
        <f>'Diesel L1'!B67</f>
        <v>13.8</v>
      </c>
      <c r="C67" s="3">
        <f>'Diesel L1'!C67</f>
        <v>13.8</v>
      </c>
      <c r="D67" s="3">
        <f>'Diesel L1'!D67</f>
        <v>13.8</v>
      </c>
      <c r="E67" s="3">
        <f>'Diesel L1'!E67</f>
        <v>13.8</v>
      </c>
      <c r="F67" s="3">
        <f>'Diesel L1'!F67</f>
        <v>13.8</v>
      </c>
      <c r="G67" s="3">
        <f>'Diesel L1'!G67</f>
        <v>7</v>
      </c>
      <c r="H67" s="3">
        <f>'Diesel L1'!H67</f>
        <v>20</v>
      </c>
      <c r="I67" s="57" t="s">
        <v>111</v>
      </c>
      <c r="J67" s="57" t="s">
        <v>111</v>
      </c>
      <c r="K67" s="57" t="s">
        <v>111</v>
      </c>
      <c r="L67" s="57" t="s">
        <v>111</v>
      </c>
      <c r="M67" s="3"/>
      <c r="N67" s="15">
        <v>4</v>
      </c>
    </row>
    <row r="68" spans="1:15" ht="15.75" thickBot="1" x14ac:dyDescent="0.35">
      <c r="A68" s="5" t="s">
        <v>116</v>
      </c>
      <c r="B68" s="3">
        <f>+B67</f>
        <v>13.8</v>
      </c>
      <c r="C68" s="3">
        <f t="shared" ref="C68:F68" si="5">+C67</f>
        <v>13.8</v>
      </c>
      <c r="D68" s="3">
        <f t="shared" si="5"/>
        <v>13.8</v>
      </c>
      <c r="E68" s="3">
        <f t="shared" si="5"/>
        <v>13.8</v>
      </c>
      <c r="F68" s="3">
        <f t="shared" si="5"/>
        <v>13.8</v>
      </c>
      <c r="G68" s="3">
        <f>B67/2</f>
        <v>6.9</v>
      </c>
      <c r="H68" s="3">
        <f>+H67</f>
        <v>20</v>
      </c>
      <c r="I68" s="57" t="s">
        <v>111</v>
      </c>
      <c r="J68" s="57" t="s">
        <v>111</v>
      </c>
      <c r="K68" s="57" t="s">
        <v>111</v>
      </c>
      <c r="L68" s="57" t="s">
        <v>111</v>
      </c>
      <c r="M68" s="3"/>
      <c r="N68" s="15">
        <v>4</v>
      </c>
    </row>
    <row r="69" spans="1:15" ht="15.75" thickBot="1" x14ac:dyDescent="0.35">
      <c r="A69" s="5" t="s">
        <v>39</v>
      </c>
      <c r="B69" s="14">
        <f>'Diesel L1'!B69</f>
        <v>469562</v>
      </c>
      <c r="C69" s="14">
        <f>'Diesel L1'!C69</f>
        <v>469562</v>
      </c>
      <c r="D69" s="14">
        <f>'Diesel L1'!D69</f>
        <v>469562</v>
      </c>
      <c r="E69" s="14">
        <f>'Diesel L1'!E69</f>
        <v>469562</v>
      </c>
      <c r="F69" s="14">
        <f>'Diesel L1'!F69</f>
        <v>469562</v>
      </c>
      <c r="G69" s="14">
        <f>'Diesel L1'!G69</f>
        <v>400000</v>
      </c>
      <c r="H69" s="14">
        <f>'Diesel L1'!H69</f>
        <v>1500000</v>
      </c>
      <c r="I69" s="57" t="s">
        <v>111</v>
      </c>
      <c r="J69" s="57" t="s">
        <v>111</v>
      </c>
      <c r="K69" s="57" t="s">
        <v>111</v>
      </c>
      <c r="L69" s="57" t="s">
        <v>111</v>
      </c>
      <c r="M69" s="3"/>
      <c r="N69" s="15">
        <v>4</v>
      </c>
    </row>
    <row r="70" spans="1:15" ht="15.75" thickBot="1" x14ac:dyDescent="0.35">
      <c r="A70" s="5" t="s">
        <v>40</v>
      </c>
      <c r="B70" s="14">
        <f>'Diesel L1'!B70</f>
        <v>67080.28571428571</v>
      </c>
      <c r="C70" s="14">
        <f>'Diesel L1'!C70</f>
        <v>67080.28571428571</v>
      </c>
      <c r="D70" s="14">
        <f>'Diesel L1'!D70</f>
        <v>67080.28571428571</v>
      </c>
      <c r="E70" s="14">
        <f>'Diesel L1'!E70</f>
        <v>67080.28571428571</v>
      </c>
      <c r="F70" s="14">
        <f>'Diesel L1'!F70</f>
        <v>67080.28571428571</v>
      </c>
      <c r="G70" s="14">
        <f>'Diesel L1'!G70</f>
        <v>40248.171428571426</v>
      </c>
      <c r="H70" s="14">
        <f>'Diesel L1'!H70</f>
        <v>93912.4</v>
      </c>
      <c r="I70" s="57" t="s">
        <v>111</v>
      </c>
      <c r="J70" s="57" t="s">
        <v>111</v>
      </c>
      <c r="K70" s="57" t="s">
        <v>111</v>
      </c>
      <c r="L70" s="57" t="s">
        <v>111</v>
      </c>
      <c r="M70" s="3"/>
      <c r="N70" s="15">
        <v>4</v>
      </c>
    </row>
    <row r="71" spans="1:15" ht="15.75" thickBot="1" x14ac:dyDescent="0.35">
      <c r="A71" s="5" t="s">
        <v>41</v>
      </c>
      <c r="B71" s="14">
        <v>380500</v>
      </c>
      <c r="C71" s="14">
        <f t="shared" ref="C71:E71" si="6">B71+(C$2-B$2)*($F71-$B71)/($F$2-$B$2)</f>
        <v>352431.03448275861</v>
      </c>
      <c r="D71" s="14">
        <f t="shared" si="6"/>
        <v>317344.8275862069</v>
      </c>
      <c r="E71" s="14">
        <f t="shared" si="6"/>
        <v>247172.41379310345</v>
      </c>
      <c r="F71" s="14">
        <v>177000</v>
      </c>
      <c r="G71" s="57" t="s">
        <v>111</v>
      </c>
      <c r="H71" s="57" t="s">
        <v>111</v>
      </c>
      <c r="I71" s="57" t="s">
        <v>111</v>
      </c>
      <c r="J71" s="57" t="s">
        <v>111</v>
      </c>
      <c r="K71" s="57" t="s">
        <v>111</v>
      </c>
      <c r="L71" s="57" t="s">
        <v>111</v>
      </c>
      <c r="M71" s="3"/>
      <c r="N71" s="15">
        <v>4</v>
      </c>
      <c r="O71" s="17"/>
    </row>
    <row r="72" spans="1:15" ht="15.75" thickBot="1" x14ac:dyDescent="0.35">
      <c r="A72" s="5" t="s">
        <v>42</v>
      </c>
      <c r="B72" s="3">
        <f>+B8*[1]Fremskrivninger!N8</f>
        <v>84000</v>
      </c>
      <c r="C72" s="14">
        <f t="shared" ref="C72:E73" si="7">B72+(C$2-B$2)*($F72-$B72)/($F$2-$B$2)</f>
        <v>76551.724137931029</v>
      </c>
      <c r="D72" s="14">
        <f t="shared" si="7"/>
        <v>67241.379310344826</v>
      </c>
      <c r="E72" s="14">
        <f t="shared" si="7"/>
        <v>48620.689655172413</v>
      </c>
      <c r="F72" s="3">
        <f>+F8*[1]Fremskrivninger!P8</f>
        <v>30000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5" ht="15.75" thickBot="1" x14ac:dyDescent="0.35">
      <c r="A73" s="5" t="s">
        <v>137</v>
      </c>
      <c r="B73" s="3">
        <f>[1]Fremskrivninger!$N$12*B14</f>
        <v>99000</v>
      </c>
      <c r="C73" s="14">
        <f t="shared" si="7"/>
        <v>92241.379310344826</v>
      </c>
      <c r="D73" s="14">
        <f t="shared" si="7"/>
        <v>83793.103448275855</v>
      </c>
      <c r="E73" s="14">
        <f t="shared" si="7"/>
        <v>66896.551724137928</v>
      </c>
      <c r="F73" s="14">
        <f>[1]Fremskrivninger!$P$12*F14</f>
        <v>50000</v>
      </c>
      <c r="G73" s="14">
        <f>170*C14</f>
        <v>60086.206896551725</v>
      </c>
      <c r="H73" s="14">
        <f>340*C14</f>
        <v>120172.41379310345</v>
      </c>
      <c r="I73" s="3">
        <f>+K73</f>
        <v>55000</v>
      </c>
      <c r="J73" s="3">
        <f>+L73</f>
        <v>110000</v>
      </c>
      <c r="K73" s="3">
        <f>110*F14</f>
        <v>55000</v>
      </c>
      <c r="L73" s="3">
        <f>220*F14</f>
        <v>110000</v>
      </c>
      <c r="M73" s="15"/>
      <c r="N73" s="15">
        <v>4</v>
      </c>
    </row>
    <row r="74" spans="1:15" ht="15.75" thickBot="1" x14ac:dyDescent="0.35">
      <c r="A74" s="5" t="s">
        <v>113</v>
      </c>
      <c r="B74" s="14">
        <v>6400</v>
      </c>
      <c r="C74" s="14">
        <v>6400</v>
      </c>
      <c r="D74" s="14">
        <v>6400</v>
      </c>
      <c r="E74" s="14">
        <v>6400</v>
      </c>
      <c r="F74" s="14"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5" ht="15.75" thickBot="1" x14ac:dyDescent="0.35">
      <c r="A75" s="5" t="s">
        <v>112</v>
      </c>
      <c r="B75" s="13">
        <v>0.107</v>
      </c>
      <c r="C75" s="13">
        <v>0.107</v>
      </c>
      <c r="D75" s="13">
        <v>0.107</v>
      </c>
      <c r="E75" s="13">
        <v>0.107</v>
      </c>
      <c r="F75" s="13"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  <row r="77" spans="1:15" x14ac:dyDescent="0.3">
      <c r="B77" s="9"/>
      <c r="C77" s="9"/>
      <c r="D77" s="9"/>
      <c r="E77" s="9"/>
      <c r="F77" s="9"/>
    </row>
    <row r="78" spans="1:15" x14ac:dyDescent="0.3">
      <c r="B78" s="9"/>
      <c r="C78" s="9"/>
      <c r="D78" s="9"/>
      <c r="E78" s="9"/>
      <c r="F78" s="9"/>
    </row>
    <row r="79" spans="1:15" x14ac:dyDescent="0.3">
      <c r="B79" s="9"/>
      <c r="C79" s="9"/>
      <c r="D79" s="9"/>
      <c r="E79" s="9"/>
      <c r="F79" s="9"/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STARTSIDE!A1" display="Vehicle segment &amp; subcategory" xr:uid="{00000000-0004-0000-0900-000000000000}"/>
    <hyperlink ref="N2" location="References!A1" display="Ref" xr:uid="{E0801FD0-B02F-466E-82D2-E98B20A84243}"/>
  </hyperlinks>
  <pageMargins left="0.7" right="0.7" top="0.75" bottom="0.75" header="0.3" footer="0.3"/>
  <pageSetup paperSize="9" scale="4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pageSetUpPr fitToPage="1"/>
  </sheetPr>
  <dimension ref="A1:N75"/>
  <sheetViews>
    <sheetView topLeftCell="A12" zoomScaleNormal="100" workbookViewId="0">
      <selection activeCell="A18" sqref="A18:A45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">
        <v>140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44</v>
      </c>
      <c r="B4" s="14">
        <f>+B6-B5</f>
        <v>42803.260687250004</v>
      </c>
      <c r="C4" s="14">
        <f>+C6-C5</f>
        <v>43690.361141048619</v>
      </c>
      <c r="D4" s="14">
        <f>+D6-D5</f>
        <v>44799.236708296899</v>
      </c>
      <c r="E4" s="14">
        <f>+E6-E5</f>
        <v>47016.987842793445</v>
      </c>
      <c r="F4" s="14">
        <f>+F6-F5</f>
        <v>49234.738977289999</v>
      </c>
      <c r="G4" s="59" t="s">
        <v>111</v>
      </c>
      <c r="H4" s="59" t="s">
        <v>111</v>
      </c>
      <c r="I4" s="59" t="s">
        <v>111</v>
      </c>
      <c r="J4" s="59" t="s">
        <v>111</v>
      </c>
      <c r="K4" s="59" t="s">
        <v>111</v>
      </c>
      <c r="L4" s="59" t="s">
        <v>111</v>
      </c>
      <c r="M4" s="3"/>
      <c r="N4" s="3">
        <v>2</v>
      </c>
    </row>
    <row r="5" spans="1:14" ht="15.75" thickBot="1" x14ac:dyDescent="0.35">
      <c r="A5" s="5" t="s">
        <v>9</v>
      </c>
      <c r="B5" s="14">
        <f>'BEV L1'!B5+10575*0.45359237</f>
        <v>15196.73931275</v>
      </c>
      <c r="C5" s="14">
        <f>B5+(C$2-B$2)*($F5-$B5)/($F$2-$B$2)</f>
        <v>14861.362996882413</v>
      </c>
      <c r="D5" s="14">
        <f>C5+(D$2-C$2)*($F5-$B5)/($F$2-$B$2)</f>
        <v>14442.14260204793</v>
      </c>
      <c r="E5" s="14">
        <f>D5+(E$2-D$2)*($F5-$B5)/($F$2-$B$2)</f>
        <v>13603.701812378964</v>
      </c>
      <c r="F5" s="14">
        <f>+B5*[1]Fremskrivninger!B47</f>
        <v>12765.261022709999</v>
      </c>
      <c r="G5" s="59" t="s">
        <v>111</v>
      </c>
      <c r="H5" s="59" t="s">
        <v>111</v>
      </c>
      <c r="I5" s="59" t="s">
        <v>111</v>
      </c>
      <c r="J5" s="59" t="s">
        <v>111</v>
      </c>
      <c r="K5" s="59" t="s">
        <v>111</v>
      </c>
      <c r="L5" s="59" t="s">
        <v>111</v>
      </c>
      <c r="M5" s="3"/>
      <c r="N5" s="3">
        <v>2</v>
      </c>
    </row>
    <row r="6" spans="1:14" ht="15.75" thickBot="1" x14ac:dyDescent="0.35">
      <c r="A6" s="5" t="s">
        <v>10</v>
      </c>
      <c r="B6" s="14">
        <f>+'Diesel L2'!B6+2000</f>
        <v>58000</v>
      </c>
      <c r="C6" s="14">
        <f>+'Diesel L2'!C6+2000</f>
        <v>58551.724137931036</v>
      </c>
      <c r="D6" s="14">
        <f>+'Diesel L2'!D6+2000</f>
        <v>59241.379310344826</v>
      </c>
      <c r="E6" s="14">
        <f>+'Diesel L2'!E6+2000</f>
        <v>60620.689655172413</v>
      </c>
      <c r="F6" s="14">
        <f>+'Diesel L2'!F6+2000</f>
        <v>62000</v>
      </c>
      <c r="G6" s="69">
        <f>+'Diesel L2'!G6+2000</f>
        <v>42000</v>
      </c>
      <c r="H6" s="69">
        <f>+'Diesel L2'!H6+2000</f>
        <v>55000</v>
      </c>
      <c r="I6" s="69">
        <f>+'Diesel L2'!I6+2000</f>
        <v>44000</v>
      </c>
      <c r="J6" s="69">
        <f>+'Diesel L2'!J6+2000</f>
        <v>62000</v>
      </c>
      <c r="K6" s="69">
        <f>+'Diesel L2'!K6+2000</f>
        <v>49000</v>
      </c>
      <c r="L6" s="69">
        <f>+'Diesel L2'!L6+2000</f>
        <v>76000</v>
      </c>
      <c r="M6" s="3"/>
      <c r="N6" s="3">
        <v>2</v>
      </c>
    </row>
    <row r="7" spans="1:14" ht="15.75" thickBot="1" x14ac:dyDescent="0.35">
      <c r="A7" s="5" t="s">
        <v>11</v>
      </c>
      <c r="B7" s="14">
        <f>[1]Fremskrivninger!$P$3*B4</f>
        <v>24183.842288296251</v>
      </c>
      <c r="C7" s="14">
        <f>[1]Fremskrivninger!$P$3*C4</f>
        <v>24685.054044692468</v>
      </c>
      <c r="D7" s="14">
        <f>[1]Fremskrivninger!$P$3*D4</f>
        <v>25311.568740187748</v>
      </c>
      <c r="E7" s="14">
        <f>[1]Fremskrivninger!$P$3*E4</f>
        <v>26564.598131178293</v>
      </c>
      <c r="F7" s="14">
        <f>[1]Fremskrivninger!$P$3*F4</f>
        <v>27817.627522168848</v>
      </c>
      <c r="G7" s="59" t="s">
        <v>111</v>
      </c>
      <c r="H7" s="59" t="s">
        <v>111</v>
      </c>
      <c r="I7" s="59" t="s">
        <v>111</v>
      </c>
      <c r="J7" s="59" t="s">
        <v>111</v>
      </c>
      <c r="K7" s="59" t="s">
        <v>111</v>
      </c>
      <c r="L7" s="59" t="s">
        <v>111</v>
      </c>
      <c r="M7" s="3"/>
      <c r="N7" s="3">
        <v>2</v>
      </c>
    </row>
    <row r="8" spans="1:14" ht="15.75" thickBot="1" x14ac:dyDescent="0.35">
      <c r="A8" s="5" t="s">
        <v>46</v>
      </c>
      <c r="B8" s="3">
        <v>540</v>
      </c>
      <c r="C8" s="14">
        <f t="shared" ref="C8:E10" si="0">B8+(C$2-B$2)*($F8-$B8)/($F$2-$B$2)</f>
        <v>568.9655172413793</v>
      </c>
      <c r="D8" s="14">
        <f t="shared" si="0"/>
        <v>605.17241379310349</v>
      </c>
      <c r="E8" s="14">
        <f t="shared" si="0"/>
        <v>677.58620689655174</v>
      </c>
      <c r="F8" s="3">
        <v>750</v>
      </c>
      <c r="G8" s="59" t="s">
        <v>111</v>
      </c>
      <c r="H8" s="59" t="s">
        <v>111</v>
      </c>
      <c r="I8" s="59" t="s">
        <v>111</v>
      </c>
      <c r="J8" s="59" t="s">
        <v>111</v>
      </c>
      <c r="K8" s="59" t="s">
        <v>111</v>
      </c>
      <c r="L8" s="58">
        <v>1200</v>
      </c>
      <c r="M8" s="3"/>
      <c r="N8" s="3">
        <v>2</v>
      </c>
    </row>
    <row r="9" spans="1:14" ht="15.75" thickBot="1" x14ac:dyDescent="0.35">
      <c r="A9" s="5" t="s">
        <v>13</v>
      </c>
      <c r="B9" s="14">
        <f>[1]Fremskrivninger!$N$6*B8</f>
        <v>3294</v>
      </c>
      <c r="C9" s="14">
        <f t="shared" si="0"/>
        <v>3232.7586206896553</v>
      </c>
      <c r="D9" s="14">
        <f t="shared" si="0"/>
        <v>3156.2068965517242</v>
      </c>
      <c r="E9" s="14">
        <f t="shared" si="0"/>
        <v>3003.1034482758623</v>
      </c>
      <c r="F9" s="3">
        <f>[1]Fremskrivninger!$P$6*F8</f>
        <v>2850</v>
      </c>
      <c r="G9" s="69">
        <f>+C8/0.2</f>
        <v>2844.8275862068963</v>
      </c>
      <c r="H9" s="69">
        <f>+C8/0.14</f>
        <v>4064.0394088669946</v>
      </c>
      <c r="I9" s="69">
        <f>+D8/0.25</f>
        <v>2420.6896551724139</v>
      </c>
      <c r="J9" s="69">
        <f>+D8/0.2</f>
        <v>3025.8620689655172</v>
      </c>
      <c r="K9" s="50">
        <f>+F8/0.4</f>
        <v>1875</v>
      </c>
      <c r="L9" s="50">
        <f>+F8/0.2</f>
        <v>3750</v>
      </c>
      <c r="M9" s="3"/>
      <c r="N9" s="3">
        <v>2</v>
      </c>
    </row>
    <row r="10" spans="1:14" ht="15.75" thickBot="1" x14ac:dyDescent="0.35">
      <c r="A10" s="5" t="s">
        <v>105</v>
      </c>
      <c r="B10" s="3">
        <v>160</v>
      </c>
      <c r="C10" s="14">
        <f t="shared" si="0"/>
        <v>344.82758620689651</v>
      </c>
      <c r="D10" s="14">
        <f t="shared" si="0"/>
        <v>575.86206896551721</v>
      </c>
      <c r="E10" s="14">
        <f t="shared" si="0"/>
        <v>1037.9310344827586</v>
      </c>
      <c r="F10" s="3">
        <v>1500</v>
      </c>
      <c r="G10" s="59" t="s">
        <v>111</v>
      </c>
      <c r="H10" s="59" t="s">
        <v>111</v>
      </c>
      <c r="I10" s="59" t="s">
        <v>111</v>
      </c>
      <c r="J10" s="59" t="s">
        <v>111</v>
      </c>
      <c r="K10" s="59" t="s">
        <v>111</v>
      </c>
      <c r="L10" s="59" t="s">
        <v>111</v>
      </c>
      <c r="M10" s="3"/>
      <c r="N10" s="3">
        <v>2</v>
      </c>
    </row>
    <row r="11" spans="1:14" ht="15.75" thickBot="1" x14ac:dyDescent="0.35">
      <c r="A11" s="5" t="s">
        <v>143</v>
      </c>
      <c r="B11" s="14">
        <f>+B8*0.6/B10*60</f>
        <v>121.5</v>
      </c>
      <c r="C11" s="14">
        <f>+C8*0.6/C10*60</f>
        <v>59.4</v>
      </c>
      <c r="D11" s="14">
        <f>+D8*0.6/D10*60</f>
        <v>37.832335329341326</v>
      </c>
      <c r="E11" s="14">
        <f>+E8*0.6/E10*60</f>
        <v>23.501661129568106</v>
      </c>
      <c r="F11" s="14">
        <f>+F8*0.6/F10*60</f>
        <v>18</v>
      </c>
      <c r="G11" s="59" t="s">
        <v>111</v>
      </c>
      <c r="H11" s="59" t="s">
        <v>111</v>
      </c>
      <c r="I11" s="59" t="s">
        <v>111</v>
      </c>
      <c r="J11" s="59" t="s">
        <v>111</v>
      </c>
      <c r="K11" s="59" t="s">
        <v>111</v>
      </c>
      <c r="L11" s="59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f>+'Diesel L2'!B12</f>
        <v>6</v>
      </c>
      <c r="C12" s="3">
        <f>+'Diesel L2'!C12</f>
        <v>6</v>
      </c>
      <c r="D12" s="3">
        <f>+'Diesel L2'!D12</f>
        <v>6</v>
      </c>
      <c r="E12" s="3">
        <f>+'Diesel L2'!E12</f>
        <v>6</v>
      </c>
      <c r="F12" s="3">
        <f>+'Diesel L2'!F12</f>
        <v>8</v>
      </c>
      <c r="G12" s="59" t="s">
        <v>111</v>
      </c>
      <c r="H12" s="59" t="s">
        <v>111</v>
      </c>
      <c r="I12" s="59" t="s">
        <v>111</v>
      </c>
      <c r="J12" s="59" t="s">
        <v>111</v>
      </c>
      <c r="K12" s="59" t="s">
        <v>111</v>
      </c>
      <c r="L12" s="59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f>+'Diesel L2'!B13</f>
        <v>5</v>
      </c>
      <c r="C13" s="3">
        <f>+'Diesel L2'!C13</f>
        <v>5</v>
      </c>
      <c r="D13" s="3">
        <f>+'Diesel L2'!D13</f>
        <v>5</v>
      </c>
      <c r="E13" s="3">
        <f>+'Diesel L2'!E13</f>
        <v>5</v>
      </c>
      <c r="F13" s="3">
        <f>+'Diesel L2'!F13</f>
        <v>5</v>
      </c>
      <c r="G13" s="59" t="s">
        <v>111</v>
      </c>
      <c r="H13" s="59" t="s">
        <v>111</v>
      </c>
      <c r="I13" s="59" t="s">
        <v>111</v>
      </c>
      <c r="J13" s="59" t="s">
        <v>111</v>
      </c>
      <c r="K13" s="59" t="s">
        <v>111</v>
      </c>
      <c r="L13" s="59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490</v>
      </c>
      <c r="C14" s="14">
        <f>B14+(C$2-B$2)*($F14-$B14)/($F$2-$B$2)</f>
        <v>587.93103448275861</v>
      </c>
      <c r="D14" s="14">
        <f>C14+(D$2-C$2)*($F14-$B14)/($F$2-$B$2)</f>
        <v>710.34482758620686</v>
      </c>
      <c r="E14" s="14">
        <f>D14+(E$2-D$2)*($F14-$B14)/($F$2-$B$2)</f>
        <v>955.17241379310337</v>
      </c>
      <c r="F14" s="3">
        <v>1200</v>
      </c>
      <c r="G14" s="59" t="s">
        <v>111</v>
      </c>
      <c r="H14" s="59" t="s">
        <v>111</v>
      </c>
      <c r="I14" s="59" t="s">
        <v>111</v>
      </c>
      <c r="J14" s="59" t="s">
        <v>111</v>
      </c>
      <c r="K14" s="59" t="s">
        <v>111</v>
      </c>
      <c r="L14" s="59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f>+'Diesel L2'!B15</f>
        <v>25.25</v>
      </c>
      <c r="C15" s="3">
        <f>+'Diesel L2'!C15</f>
        <v>25.25</v>
      </c>
      <c r="D15" s="3">
        <f>+'Diesel L2'!D15</f>
        <v>25.25</v>
      </c>
      <c r="E15" s="3">
        <f>+'Diesel L2'!E15</f>
        <v>25.25</v>
      </c>
      <c r="F15" s="3">
        <f>+'Diesel L2'!F15</f>
        <v>25.25</v>
      </c>
      <c r="G15" s="50">
        <f>+'Diesel L2'!G15</f>
        <v>18</v>
      </c>
      <c r="H15" s="50">
        <f>+'Diesel L2'!H15</f>
        <v>25.25</v>
      </c>
      <c r="I15" s="50">
        <f>+'Diesel L2'!I15</f>
        <v>18</v>
      </c>
      <c r="J15" s="50">
        <f>+'Diesel L2'!J15</f>
        <v>25.25</v>
      </c>
      <c r="K15" s="50">
        <f>+'Diesel L2'!K15</f>
        <v>18</v>
      </c>
      <c r="L15" s="50">
        <f>+'Diesel L2'!L15</f>
        <v>34.5</v>
      </c>
      <c r="M15" s="3"/>
      <c r="N15" s="3">
        <v>2</v>
      </c>
    </row>
    <row r="16" spans="1:14" ht="15.75" thickBot="1" x14ac:dyDescent="0.35">
      <c r="A16" s="5" t="s">
        <v>107</v>
      </c>
      <c r="B16" s="3">
        <f>+'Diesel L2'!B16</f>
        <v>18.75</v>
      </c>
      <c r="C16" s="13">
        <f>+'Diesel L2'!C16</f>
        <v>19.646551724137932</v>
      </c>
      <c r="D16" s="13">
        <f>+'Diesel L2'!D16</f>
        <v>20.767241379310345</v>
      </c>
      <c r="E16" s="13">
        <f>+'Diesel L2'!E16</f>
        <v>23.008620689655174</v>
      </c>
      <c r="F16" s="3">
        <f>+'Diesel L2'!F16</f>
        <v>25.25</v>
      </c>
      <c r="G16" s="50" t="str">
        <f>+'Diesel L2'!G16</f>
        <v>no data</v>
      </c>
      <c r="H16" s="50" t="str">
        <f>+'Diesel L2'!H16</f>
        <v>no data</v>
      </c>
      <c r="I16" s="50" t="str">
        <f>+'Diesel L2'!I16</f>
        <v>no data</v>
      </c>
      <c r="J16" s="50" t="str">
        <f>+'Diesel L2'!J16</f>
        <v>no data</v>
      </c>
      <c r="K16" s="50" t="str">
        <f>+'Diesel L2'!K16</f>
        <v>no data</v>
      </c>
      <c r="L16" s="50" t="str">
        <f>+'Diesel L2'!L16</f>
        <v>no data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146</v>
      </c>
      <c r="B19" s="25">
        <f>+Simulations!G59</f>
        <v>0.38112380300516341</v>
      </c>
      <c r="C19" s="27">
        <f t="shared" ref="C19:E21" si="1">B19+(C$2-B$2)*($F19-$B19)/($F$2-$B$2)</f>
        <v>0.39963852246341397</v>
      </c>
      <c r="D19" s="27">
        <f t="shared" si="1"/>
        <v>0.42278192178622714</v>
      </c>
      <c r="E19" s="27">
        <f t="shared" si="1"/>
        <v>0.46906872043185355</v>
      </c>
      <c r="F19" s="19">
        <f>Simulations!G194</f>
        <v>0.5153555190774799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147</v>
      </c>
      <c r="B20" s="25">
        <f>+Simulations!G60</f>
        <v>0.59408530131706683</v>
      </c>
      <c r="C20" s="27">
        <f t="shared" si="1"/>
        <v>0.60067958465840543</v>
      </c>
      <c r="D20" s="27">
        <f t="shared" si="1"/>
        <v>0.60892243883507868</v>
      </c>
      <c r="E20" s="27">
        <f t="shared" si="1"/>
        <v>0.62540814718842519</v>
      </c>
      <c r="F20" s="19">
        <f>Simulations!G195</f>
        <v>0.64189385554177159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148</v>
      </c>
      <c r="B21" s="25">
        <f>+Simulations!G61</f>
        <v>0.74687849375863513</v>
      </c>
      <c r="C21" s="27">
        <f t="shared" si="1"/>
        <v>0.75120352779172828</v>
      </c>
      <c r="D21" s="27">
        <f t="shared" si="1"/>
        <v>0.75660982033309476</v>
      </c>
      <c r="E21" s="27">
        <f t="shared" si="1"/>
        <v>0.76742240541582774</v>
      </c>
      <c r="F21" s="19">
        <f>Simulations!G196</f>
        <v>0.77823499049856071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146</v>
      </c>
      <c r="B23" s="29">
        <f>+Simulations!E56</f>
        <v>2.9132879803456451</v>
      </c>
      <c r="C23" s="13">
        <f t="shared" ref="C23:E25" si="2">B23+(C$2-B$2)*($F23-$B23)/($F$2-$B$2)</f>
        <v>2.7829918666433402</v>
      </c>
      <c r="D23" s="13">
        <f t="shared" si="2"/>
        <v>2.6201217245154589</v>
      </c>
      <c r="E23" s="13">
        <f t="shared" si="2"/>
        <v>2.2943814402596963</v>
      </c>
      <c r="F23" s="28">
        <f>+Simulations!E191</f>
        <v>1.9686411560039339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147</v>
      </c>
      <c r="B24" s="29">
        <f>+Simulations!E57</f>
        <v>3.5467547575377227</v>
      </c>
      <c r="C24" s="13">
        <f t="shared" si="2"/>
        <v>3.4024846583806854</v>
      </c>
      <c r="D24" s="13">
        <f t="shared" si="2"/>
        <v>3.2221470344343883</v>
      </c>
      <c r="E24" s="13">
        <f t="shared" si="2"/>
        <v>2.8614717865417942</v>
      </c>
      <c r="F24" s="28">
        <f>+Simulations!E192</f>
        <v>2.5007965386492002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148</v>
      </c>
      <c r="B25" s="29">
        <f>+Simulations!E58</f>
        <v>3.9179894280802365</v>
      </c>
      <c r="C25" s="13">
        <f t="shared" si="2"/>
        <v>3.7649039919314093</v>
      </c>
      <c r="D25" s="13">
        <f t="shared" si="2"/>
        <v>3.5735471967453756</v>
      </c>
      <c r="E25" s="13">
        <f t="shared" si="2"/>
        <v>3.190833606373308</v>
      </c>
      <c r="F25" s="28">
        <f>+Simulations!E193</f>
        <v>2.8081200160012409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4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146</v>
      </c>
      <c r="B27" s="29">
        <f>+Simulations!E62</f>
        <v>9.8002614842749622</v>
      </c>
      <c r="C27" s="13">
        <f t="shared" ref="C27:E29" si="3">B27+(C$2-B$2)*($F27-$B27)/($F$2-$B$2)</f>
        <v>9.3144097436570146</v>
      </c>
      <c r="D27" s="13">
        <f t="shared" si="3"/>
        <v>8.7070950678845787</v>
      </c>
      <c r="E27" s="13">
        <f t="shared" si="3"/>
        <v>7.4924657163397077</v>
      </c>
      <c r="F27" s="28">
        <f>+Simulations!E197</f>
        <v>6.2778363647948359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147</v>
      </c>
      <c r="B28" s="29">
        <f>+Simulations!E63</f>
        <v>7.7755181159546236</v>
      </c>
      <c r="C28" s="13">
        <f t="shared" si="3"/>
        <v>7.5385901840531364</v>
      </c>
      <c r="D28" s="13">
        <f t="shared" si="3"/>
        <v>7.2424302691762765</v>
      </c>
      <c r="E28" s="13">
        <f t="shared" si="3"/>
        <v>6.6501104394225576</v>
      </c>
      <c r="F28" s="28">
        <f>+Simulations!E198</f>
        <v>6.0577906096688388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148</v>
      </c>
      <c r="B29" s="29">
        <f>+Simulations!E64</f>
        <v>6.6682746431911992</v>
      </c>
      <c r="C29" s="13">
        <f t="shared" si="3"/>
        <v>6.4877613921693165</v>
      </c>
      <c r="D29" s="13">
        <f t="shared" si="3"/>
        <v>6.2621198283919624</v>
      </c>
      <c r="E29" s="13">
        <f t="shared" si="3"/>
        <v>5.810836700837255</v>
      </c>
      <c r="F29" s="28">
        <f>+Simulations!E199</f>
        <v>5.3595535732825468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4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146</v>
      </c>
      <c r="B31" s="29">
        <f>+Simulations!E59</f>
        <v>6.9348528671180283</v>
      </c>
      <c r="C31" s="13">
        <f t="shared" ref="C31:E33" si="4">B31+(C$2-B$2)*($F31-$B31)/($F$2-$B$2)</f>
        <v>6.5713696299639794</v>
      </c>
      <c r="D31" s="13">
        <f t="shared" si="4"/>
        <v>6.1170155835214191</v>
      </c>
      <c r="E31" s="13">
        <f t="shared" si="4"/>
        <v>5.2083074906362974</v>
      </c>
      <c r="F31" s="28">
        <f>+Simulations!E194</f>
        <v>4.2995993977511766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147</v>
      </c>
      <c r="B32" s="29">
        <f>+Simulations!E60</f>
        <v>5.9467290713418715</v>
      </c>
      <c r="C32" s="13">
        <f t="shared" si="4"/>
        <v>5.7420688026272186</v>
      </c>
      <c r="D32" s="13">
        <f t="shared" si="4"/>
        <v>5.4862434667339022</v>
      </c>
      <c r="E32" s="13">
        <f t="shared" si="4"/>
        <v>4.9745927949472701</v>
      </c>
      <c r="F32" s="28">
        <f>+Simulations!E195</f>
        <v>4.4629421231606372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9">
        <f>+Simulations!E61</f>
        <v>5.4654050086684771</v>
      </c>
      <c r="C33" s="13">
        <f t="shared" si="4"/>
        <v>5.293302150687861</v>
      </c>
      <c r="D33" s="13">
        <f t="shared" si="4"/>
        <v>5.0781735782120911</v>
      </c>
      <c r="E33" s="13">
        <f t="shared" si="4"/>
        <v>4.6479164332605514</v>
      </c>
      <c r="F33" s="28">
        <f>+Simulations!E196</f>
        <v>4.2176592883090116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4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+B$8*[1]Fremskrivninger!$S$9/B23</f>
        <v>667.28727579116821</v>
      </c>
      <c r="C35" s="14">
        <f>+C$8*[1]Fremskrivninger!$S$9/C23</f>
        <v>735.99778950826033</v>
      </c>
      <c r="D35" s="14">
        <f>+D$8*[1]Fremskrivninger!$S$9/D23</f>
        <v>831.49598328606908</v>
      </c>
      <c r="E35" s="14">
        <f>+E$8*[1]Fremskrivninger!$S$9/E23</f>
        <v>1063.1668745330708</v>
      </c>
      <c r="F35" s="14">
        <f>+F$8*[1]Fremskrivninger!$S$9/F23</f>
        <v>1371.5043962001803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+B$8*[1]Fremskrivninger!$S$9/B24</f>
        <v>548.10668706893921</v>
      </c>
      <c r="C36" s="14">
        <f>+C$8*[1]Fremskrivninger!$S$9/C24</f>
        <v>601.99415066393965</v>
      </c>
      <c r="D36" s="14">
        <f>+D$8*[1]Fremskrivninger!$S$9/D24</f>
        <v>676.13943943982838</v>
      </c>
      <c r="E36" s="14">
        <f>+E$8*[1]Fremskrivninger!$S$9/E24</f>
        <v>852.46702633947439</v>
      </c>
      <c r="F36" s="14">
        <f>+F$8*[1]Fremskrivninger!$S$9/F24</f>
        <v>1079.6560049057007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+B$8*[1]Fremskrivninger!$S$9/B25</f>
        <v>496.17285490036011</v>
      </c>
      <c r="C37" s="14">
        <f>+C$8*[1]Fremskrivninger!$S$9/C25</f>
        <v>544.04464667854461</v>
      </c>
      <c r="D37" s="14">
        <f>+D$8*[1]Fremskrivninger!$S$9/D25</f>
        <v>609.65213825617343</v>
      </c>
      <c r="E37" s="14">
        <f>+E$8*[1]Fremskrivninger!$S$9/E25</f>
        <v>764.47431791972986</v>
      </c>
      <c r="F37" s="14">
        <f>+F$8*[1]Fremskrivninger!$S$9/F25</f>
        <v>961.49736642837524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+B$8*[1]Fremskrivninger!$S$9/B27</f>
        <v>198.36205422878265</v>
      </c>
      <c r="C39" s="14">
        <f>+C$8*[1]Fremskrivninger!$S$9/C27</f>
        <v>219.90398945717558</v>
      </c>
      <c r="D39" s="14">
        <f>+D$8*[1]Fremskrivninger!$S$9/D27</f>
        <v>250.21211697697436</v>
      </c>
      <c r="E39" s="14">
        <f>+E$8*[1]Fremskrivninger!$S$9/E27</f>
        <v>325.56843597000295</v>
      </c>
      <c r="F39" s="14">
        <f>+F$8*[1]Fremskrivninger!$S$9/F27</f>
        <v>430.08448183536524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+B$8*[1]Fremskrivninger!$S$9/B28</f>
        <v>250.01549363136289</v>
      </c>
      <c r="C40" s="14">
        <f>+C$8*[1]Fremskrivninger!$S$9/C28</f>
        <v>271.70542661966357</v>
      </c>
      <c r="D40" s="14">
        <f>+D$8*[1]Fremskrivninger!$S$9/D28</f>
        <v>300.8134850710768</v>
      </c>
      <c r="E40" s="14">
        <f>+E$8*[1]Fremskrivninger!$S$9/E28</f>
        <v>366.80749395785926</v>
      </c>
      <c r="F40" s="14">
        <f>+F$8*[1]Fremskrivninger!$S$9/F28</f>
        <v>445.7070529460907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+B$8*[1]Fremskrivninger!$S$9/B29</f>
        <v>291.52968406677246</v>
      </c>
      <c r="C41" s="14">
        <f>+C$8*[1]Fremskrivninger!$S$9/C29</f>
        <v>315.71380916400847</v>
      </c>
      <c r="D41" s="14">
        <f>+D$8*[1]Fremskrivninger!$S$9/D29</f>
        <v>347.90466317451745</v>
      </c>
      <c r="E41" s="14">
        <f>+E$8*[1]Fremskrivninger!$S$9/E29</f>
        <v>419.78642154513108</v>
      </c>
      <c r="F41" s="14">
        <f>+F$8*[1]Fremskrivninger!$S$9/F29</f>
        <v>503.77330183982855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+B$8*[1]Fremskrivninger!$S$9/B31</f>
        <v>280.32317876815796</v>
      </c>
      <c r="C43" s="14">
        <f>+C$8*[1]Fremskrivninger!$S$9/C31</f>
        <v>311.69694864359548</v>
      </c>
      <c r="D43" s="14">
        <f>+D$8*[1]Fremskrivninger!$S$9/D31</f>
        <v>356.1574529128456</v>
      </c>
      <c r="E43" s="14">
        <f>+E$8*[1]Fremskrivninger!$S$9/E31</f>
        <v>468.3499100644645</v>
      </c>
      <c r="F43" s="14">
        <f>+F$8*[1]Fremskrivninger!$S$9/F31</f>
        <v>627.96548008918774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+B$8*[1]Fremskrivninger!$S$9/B32</f>
        <v>326.90239906311035</v>
      </c>
      <c r="C44" s="14">
        <f>+C$8*[1]Fremskrivninger!$S$9/C32</f>
        <v>356.71391835844952</v>
      </c>
      <c r="D44" s="14">
        <f>+D$8*[1]Fremskrivninger!$S$9/D32</f>
        <v>397.10608959761674</v>
      </c>
      <c r="E44" s="14">
        <f>+E$8*[1]Fremskrivninger!$S$9/E32</f>
        <v>490.35377273597379</v>
      </c>
      <c r="F44" s="14">
        <f>+F$8*[1]Fremskrivninger!$S$9/F32</f>
        <v>604.98207807540894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+B$8*[1]Fremskrivninger!$S$9/B33</f>
        <v>355.6918466091156</v>
      </c>
      <c r="C45" s="14">
        <f>+C$8*[1]Fremskrivninger!$S$9/C33</f>
        <v>386.95615775547475</v>
      </c>
      <c r="D45" s="14">
        <f>+D$8*[1]Fremskrivninger!$S$9/D33</f>
        <v>429.01658560915422</v>
      </c>
      <c r="E45" s="14">
        <f>+E$8*[1]Fremskrivninger!$S$9/E33</f>
        <v>524.81802972442654</v>
      </c>
      <c r="F45" s="14">
        <f>+F$8*[1]Fremskrivninger!$S$9/F33</f>
        <v>640.1655077934264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4" ht="15.75" thickBot="1" x14ac:dyDescent="0.35">
      <c r="A65" s="5" t="s">
        <v>54</v>
      </c>
      <c r="B65" s="3">
        <f>+'Diesel L2'!B65+'BEV L2'!B8*[1]Fremskrivninger!N11/1000</f>
        <v>89.990000000000009</v>
      </c>
      <c r="C65" s="13">
        <f>B65+(C$2-B$2)*($F65-$B65)/($F$2-$B$2)</f>
        <v>89.387625777275304</v>
      </c>
      <c r="D65" s="13">
        <f>C65+(D$2-C$2)*($F65-$B65)/($F$2-$B$2)</f>
        <v>88.634657998869429</v>
      </c>
      <c r="E65" s="13">
        <f>D65+(E$2-D$2)*($F65-$B65)/($F$2-$B$2)</f>
        <v>87.128722442057679</v>
      </c>
      <c r="F65" s="32">
        <f>+'Diesel L2'!F65+'BEV L2'!F8*[1]Fremskrivninger!P11/1000</f>
        <v>85.622786885245915</v>
      </c>
      <c r="G65" s="59" t="s">
        <v>111</v>
      </c>
      <c r="H65" s="59" t="s">
        <v>111</v>
      </c>
      <c r="I65" s="59" t="s">
        <v>111</v>
      </c>
      <c r="J65" s="59" t="s">
        <v>111</v>
      </c>
      <c r="K65" s="59" t="s">
        <v>111</v>
      </c>
      <c r="L65" s="59" t="s">
        <v>111</v>
      </c>
      <c r="M65" s="3"/>
      <c r="N65" s="3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f>'Diesel L2'!B67</f>
        <v>13.8</v>
      </c>
      <c r="C67" s="3">
        <f>'Diesel L2'!C67</f>
        <v>13.8</v>
      </c>
      <c r="D67" s="3">
        <f>'Diesel L2'!D67</f>
        <v>13.8</v>
      </c>
      <c r="E67" s="3">
        <f>'Diesel L2'!E67</f>
        <v>13.8</v>
      </c>
      <c r="F67" s="3">
        <f>'Diesel L2'!F67</f>
        <v>13.8</v>
      </c>
      <c r="G67" s="3">
        <f>'Diesel L2'!G67</f>
        <v>8</v>
      </c>
      <c r="H67" s="3">
        <f>'Diesel L2'!H67</f>
        <v>20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4" ht="15.75" thickBot="1" x14ac:dyDescent="0.35">
      <c r="A68" s="5" t="str">
        <f>'BEV L1'!A68</f>
        <v>Typical battery lifetime (years)</v>
      </c>
      <c r="B68" s="3">
        <f>+'BEV L1'!B68</f>
        <v>13.8</v>
      </c>
      <c r="C68" s="3">
        <f>+'BEV L1'!C68</f>
        <v>13.8</v>
      </c>
      <c r="D68" s="3">
        <f>+'BEV L1'!D68</f>
        <v>13.8</v>
      </c>
      <c r="E68" s="3">
        <f>+'BEV L1'!E68</f>
        <v>13.8</v>
      </c>
      <c r="F68" s="3">
        <f>+'BEV L1'!F68</f>
        <v>13.8</v>
      </c>
      <c r="G68" s="3">
        <f>+'BEV L1'!G68</f>
        <v>6.9</v>
      </c>
      <c r="H68" s="3">
        <f>+'BEV L1'!H68</f>
        <v>20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4" ht="15.75" thickBot="1" x14ac:dyDescent="0.35">
      <c r="A69" s="5" t="s">
        <v>39</v>
      </c>
      <c r="B69" s="3">
        <f>'Diesel L2'!B69</f>
        <v>656856</v>
      </c>
      <c r="C69" s="3">
        <f>'Diesel L2'!C69</f>
        <v>656856</v>
      </c>
      <c r="D69" s="3">
        <f>'Diesel L2'!D69</f>
        <v>656856</v>
      </c>
      <c r="E69" s="3">
        <f>'Diesel L2'!E69</f>
        <v>656856</v>
      </c>
      <c r="F69" s="3">
        <f>'Diesel L2'!F69</f>
        <v>656856</v>
      </c>
      <c r="G69" s="3">
        <f>'Diesel L2'!G69</f>
        <v>400000</v>
      </c>
      <c r="H69" s="3">
        <f>'Diesel L2'!H69</f>
        <v>1500000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4" ht="15.75" thickBot="1" x14ac:dyDescent="0.35">
      <c r="A70" s="5" t="s">
        <v>40</v>
      </c>
      <c r="B70" s="14">
        <f>'Diesel L2'!B70</f>
        <v>93836.571428571435</v>
      </c>
      <c r="C70" s="14">
        <f>'Diesel L2'!C70</f>
        <v>93836.571428571435</v>
      </c>
      <c r="D70" s="14">
        <f>'Diesel L2'!D70</f>
        <v>93836.571428571435</v>
      </c>
      <c r="E70" s="14">
        <f>'Diesel L2'!E70</f>
        <v>93836.571428571435</v>
      </c>
      <c r="F70" s="14">
        <f>'Diesel L2'!F70</f>
        <v>93836.571428571435</v>
      </c>
      <c r="G70" s="59" t="s">
        <v>111</v>
      </c>
      <c r="H70" s="59" t="s">
        <v>111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4" ht="15.75" thickBot="1" x14ac:dyDescent="0.35">
      <c r="A71" s="5" t="s">
        <v>41</v>
      </c>
      <c r="B71" s="14">
        <f>+'BEV L1'!B71+'Diesel L2'!B71-'Diesel L1'!B71</f>
        <v>405300.5319148936</v>
      </c>
      <c r="C71" s="14">
        <f>B71+(C$2-B$2)*($D71-$B71)/($D$2-$B$2)</f>
        <v>308929.07210401888</v>
      </c>
      <c r="D71" s="14">
        <f>+B71*0.465</f>
        <v>188464.74734042553</v>
      </c>
      <c r="E71" s="14">
        <f>+D71</f>
        <v>188464.74734042553</v>
      </c>
      <c r="F71" s="14">
        <f>+E71</f>
        <v>188464.74734042553</v>
      </c>
      <c r="G71" s="59" t="s">
        <v>111</v>
      </c>
      <c r="H71" s="59" t="s">
        <v>111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</row>
    <row r="72" spans="1:14" ht="15.75" thickBot="1" x14ac:dyDescent="0.35">
      <c r="A72" s="5" t="s">
        <v>42</v>
      </c>
      <c r="B72" s="3">
        <f>+B8*[1]Fremskrivninger!N8</f>
        <v>135000</v>
      </c>
      <c r="C72" s="14">
        <f t="shared" ref="C72:E73" si="5">B72+(C$2-B$2)*($F72-$B72)/($F$2-$B$2)</f>
        <v>122586.20689655172</v>
      </c>
      <c r="D72" s="14">
        <f t="shared" si="5"/>
        <v>107068.96551724138</v>
      </c>
      <c r="E72" s="14">
        <f t="shared" si="5"/>
        <v>76034.482758620696</v>
      </c>
      <c r="F72" s="3">
        <f>+F8*[1]Fremskrivninger!P8</f>
        <v>45000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4" ht="15.75" thickBot="1" x14ac:dyDescent="0.35">
      <c r="A73" s="5" t="s">
        <v>137</v>
      </c>
      <c r="B73" s="3">
        <f>[1]Fremskrivninger!$N$12*B14</f>
        <v>147000</v>
      </c>
      <c r="C73" s="14">
        <f t="shared" si="5"/>
        <v>143275.86206896551</v>
      </c>
      <c r="D73" s="14">
        <f t="shared" si="5"/>
        <v>138620.68965517241</v>
      </c>
      <c r="E73" s="14">
        <f t="shared" si="5"/>
        <v>129310.3448275862</v>
      </c>
      <c r="F73" s="14">
        <f>[1]Fremskrivninger!$P$12*F14</f>
        <v>120000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4" ht="15.75" thickBot="1" x14ac:dyDescent="0.35">
      <c r="A74" s="5" t="s">
        <v>113</v>
      </c>
      <c r="B74" s="14">
        <f>'BEV L1'!B74</f>
        <v>6400</v>
      </c>
      <c r="C74" s="14">
        <f>'BEV L1'!C74</f>
        <v>6400</v>
      </c>
      <c r="D74" s="14">
        <f>'BEV L1'!D74</f>
        <v>6400</v>
      </c>
      <c r="E74" s="14">
        <f>'BEV L1'!E74</f>
        <v>6400</v>
      </c>
      <c r="F74" s="14">
        <f>'BEV L1'!F74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4" ht="15.75" thickBot="1" x14ac:dyDescent="0.35">
      <c r="A75" s="5" t="s">
        <v>112</v>
      </c>
      <c r="B75" s="13">
        <f>'BEV L1'!B75</f>
        <v>0.107</v>
      </c>
      <c r="C75" s="13">
        <f>'BEV L1'!C75</f>
        <v>0.107</v>
      </c>
      <c r="D75" s="13">
        <f>'BEV L1'!D75</f>
        <v>0.107</v>
      </c>
      <c r="E75" s="13">
        <f>'BEV L1'!E75</f>
        <v>0.107</v>
      </c>
      <c r="F75" s="13">
        <f>'BEV L1'!F75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A00-000001000000}"/>
    <hyperlink ref="N2" location="References!A1" display="Ref" xr:uid="{B7AB048E-609E-4E00-9897-E86C9D9E168D}"/>
  </hyperlinks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pageSetUpPr fitToPage="1"/>
  </sheetPr>
  <dimension ref="A1:N75"/>
  <sheetViews>
    <sheetView topLeftCell="A10" zoomScaleNormal="100" workbookViewId="0">
      <selection activeCell="A18" sqref="A18:A45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">
        <v>141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65" t="s">
        <v>7</v>
      </c>
      <c r="H3" s="65" t="s">
        <v>8</v>
      </c>
      <c r="I3" s="65" t="s">
        <v>7</v>
      </c>
      <c r="J3" s="65" t="s">
        <v>8</v>
      </c>
      <c r="K3" s="65" t="s">
        <v>7</v>
      </c>
      <c r="L3" s="65" t="s">
        <v>8</v>
      </c>
      <c r="M3" s="3"/>
      <c r="N3" s="3"/>
    </row>
    <row r="4" spans="1:14" ht="15.75" thickBot="1" x14ac:dyDescent="0.35">
      <c r="A4" s="5" t="s">
        <v>44</v>
      </c>
      <c r="B4" s="14">
        <f>+B6-B5</f>
        <v>36000</v>
      </c>
      <c r="C4" s="14">
        <f>+C6-C5</f>
        <v>37688.275862068964</v>
      </c>
      <c r="D4" s="14">
        <f>+D6-D5</f>
        <v>39798.620689655174</v>
      </c>
      <c r="E4" s="14">
        <f>+E6-E5</f>
        <v>44019.310344827587</v>
      </c>
      <c r="F4" s="62">
        <f>+F6-F5</f>
        <v>48240</v>
      </c>
      <c r="G4" s="59" t="s">
        <v>111</v>
      </c>
      <c r="H4" s="59" t="s">
        <v>111</v>
      </c>
      <c r="I4" s="59" t="s">
        <v>111</v>
      </c>
      <c r="J4" s="59" t="s">
        <v>111</v>
      </c>
      <c r="K4" s="59" t="s">
        <v>111</v>
      </c>
      <c r="L4" s="59" t="s">
        <v>111</v>
      </c>
      <c r="M4" s="3"/>
      <c r="N4" s="3">
        <v>2</v>
      </c>
    </row>
    <row r="5" spans="1:14" ht="15.75" thickBot="1" x14ac:dyDescent="0.35">
      <c r="A5" s="5" t="s">
        <v>9</v>
      </c>
      <c r="B5" s="14">
        <f>+'Diesel L3'!B5+2000</f>
        <v>16000</v>
      </c>
      <c r="C5" s="14">
        <f>+'Diesel L3'!C5+2000</f>
        <v>15691.034482758621</v>
      </c>
      <c r="D5" s="14">
        <f>+'Diesel L3'!D5+2000</f>
        <v>15304.827586206897</v>
      </c>
      <c r="E5" s="14">
        <f>+'Diesel L3'!E5+2000</f>
        <v>14532.413793103449</v>
      </c>
      <c r="F5" s="62">
        <f>+'Diesel L3'!F5+2000</f>
        <v>13760</v>
      </c>
      <c r="G5" s="59" t="s">
        <v>111</v>
      </c>
      <c r="H5" s="59" t="s">
        <v>111</v>
      </c>
      <c r="I5" s="59" t="s">
        <v>111</v>
      </c>
      <c r="J5" s="59" t="s">
        <v>111</v>
      </c>
      <c r="K5" s="59" t="s">
        <v>111</v>
      </c>
      <c r="L5" s="59" t="s">
        <v>111</v>
      </c>
      <c r="M5" s="3"/>
      <c r="N5" s="3">
        <v>2</v>
      </c>
    </row>
    <row r="6" spans="1:14" ht="15.75" thickBot="1" x14ac:dyDescent="0.35">
      <c r="A6" s="5" t="s">
        <v>10</v>
      </c>
      <c r="B6" s="14">
        <f>+'Diesel L3'!B6+2000</f>
        <v>52000</v>
      </c>
      <c r="C6" s="14">
        <f>+'Diesel L3'!C6+2000</f>
        <v>53379.310344827587</v>
      </c>
      <c r="D6" s="14">
        <f>+'Diesel L3'!D6+2000</f>
        <v>55103.448275862072</v>
      </c>
      <c r="E6" s="14">
        <f>+'Diesel L3'!E6+2000</f>
        <v>58551.724137931036</v>
      </c>
      <c r="F6" s="62">
        <f>+'Diesel L3'!F6+2000</f>
        <v>62000</v>
      </c>
      <c r="G6" s="69">
        <f>+'Diesel L3'!G6+2000</f>
        <v>42000</v>
      </c>
      <c r="H6" s="69">
        <f>+'Diesel L3'!H6+2000</f>
        <v>49000</v>
      </c>
      <c r="I6" s="69">
        <f>+'Diesel L3'!I6+2000</f>
        <v>44000</v>
      </c>
      <c r="J6" s="69">
        <f>+'Diesel L3'!J6+2000</f>
        <v>62000</v>
      </c>
      <c r="K6" s="69">
        <f>+'Diesel L3'!K6+2000</f>
        <v>46000</v>
      </c>
      <c r="L6" s="69">
        <f>+'Diesel L3'!L6+2000</f>
        <v>76000</v>
      </c>
      <c r="M6" s="3"/>
      <c r="N6" s="3">
        <v>2</v>
      </c>
    </row>
    <row r="7" spans="1:14" ht="15.75" thickBot="1" x14ac:dyDescent="0.35">
      <c r="A7" s="5" t="s">
        <v>11</v>
      </c>
      <c r="B7" s="14">
        <f>[1]Fremskrivninger!$P$3*B4</f>
        <v>20339.999999999996</v>
      </c>
      <c r="C7" s="14">
        <f>[1]Fremskrivninger!$P$3*C4</f>
        <v>21293.875862068962</v>
      </c>
      <c r="D7" s="14">
        <f>[1]Fremskrivninger!$P$3*D4</f>
        <v>22486.220689655172</v>
      </c>
      <c r="E7" s="14">
        <f>[1]Fremskrivninger!$P$3*E4</f>
        <v>24870.910344827586</v>
      </c>
      <c r="F7" s="62">
        <f>[1]Fremskrivninger!$P$3*F4</f>
        <v>27255.599999999999</v>
      </c>
      <c r="G7" s="59" t="s">
        <v>111</v>
      </c>
      <c r="H7" s="59" t="s">
        <v>111</v>
      </c>
      <c r="I7" s="59" t="s">
        <v>111</v>
      </c>
      <c r="J7" s="59" t="s">
        <v>111</v>
      </c>
      <c r="K7" s="59" t="s">
        <v>111</v>
      </c>
      <c r="L7" s="59" t="s">
        <v>111</v>
      </c>
      <c r="M7" s="3"/>
      <c r="N7" s="3">
        <v>2</v>
      </c>
    </row>
    <row r="8" spans="1:14" ht="15.75" thickBot="1" x14ac:dyDescent="0.35">
      <c r="A8" s="5" t="s">
        <v>46</v>
      </c>
      <c r="B8" s="3">
        <v>600</v>
      </c>
      <c r="C8" s="14">
        <f t="shared" ref="C8:E10" si="0">B8+(C$2-B$2)*($F8-$B8)/($F$2-$B$2)</f>
        <v>682.75862068965512</v>
      </c>
      <c r="D8" s="14">
        <f t="shared" si="0"/>
        <v>786.20689655172407</v>
      </c>
      <c r="E8" s="14">
        <f t="shared" si="0"/>
        <v>993.10344827586198</v>
      </c>
      <c r="F8" s="63">
        <v>1200</v>
      </c>
      <c r="G8" s="59" t="s">
        <v>111</v>
      </c>
      <c r="H8" s="59" t="s">
        <v>111</v>
      </c>
      <c r="I8" s="59" t="s">
        <v>111</v>
      </c>
      <c r="J8" s="59" t="s">
        <v>111</v>
      </c>
      <c r="K8" s="59" t="s">
        <v>111</v>
      </c>
      <c r="L8" s="59" t="s">
        <v>111</v>
      </c>
      <c r="M8" s="3"/>
      <c r="N8" s="3">
        <v>2</v>
      </c>
    </row>
    <row r="9" spans="1:14" ht="15.75" thickBot="1" x14ac:dyDescent="0.35">
      <c r="A9" s="5" t="s">
        <v>13</v>
      </c>
      <c r="B9" s="3">
        <f>[1]Fremskrivninger!$N$6*B8</f>
        <v>3660</v>
      </c>
      <c r="C9" s="14">
        <f t="shared" si="0"/>
        <v>3784.1379310344828</v>
      </c>
      <c r="D9" s="14">
        <f t="shared" si="0"/>
        <v>3939.3103448275861</v>
      </c>
      <c r="E9" s="14">
        <f t="shared" si="0"/>
        <v>4249.6551724137926</v>
      </c>
      <c r="F9" s="63">
        <f>[1]Fremskrivninger!$P$6*F8</f>
        <v>4560</v>
      </c>
      <c r="G9" s="69">
        <f>+C8/0.2</f>
        <v>3413.7931034482754</v>
      </c>
      <c r="H9" s="69">
        <f>+C8/0.14</f>
        <v>4876.8472906403931</v>
      </c>
      <c r="I9" s="69">
        <f>+D8/0.25</f>
        <v>3144.8275862068963</v>
      </c>
      <c r="J9" s="69">
        <f>+D8/0.2</f>
        <v>3931.03448275862</v>
      </c>
      <c r="K9" s="50">
        <f>+F8/0.4</f>
        <v>3000</v>
      </c>
      <c r="L9" s="50">
        <f>+F8/0.2</f>
        <v>6000</v>
      </c>
      <c r="M9" s="3"/>
      <c r="N9" s="3">
        <v>2</v>
      </c>
    </row>
    <row r="10" spans="1:14" ht="15.75" thickBot="1" x14ac:dyDescent="0.35">
      <c r="A10" s="5" t="s">
        <v>105</v>
      </c>
      <c r="B10" s="3">
        <v>160</v>
      </c>
      <c r="C10" s="14">
        <f t="shared" si="0"/>
        <v>344.82758620689651</v>
      </c>
      <c r="D10" s="14">
        <f t="shared" si="0"/>
        <v>575.86206896551721</v>
      </c>
      <c r="E10" s="14">
        <f t="shared" si="0"/>
        <v>1037.9310344827586</v>
      </c>
      <c r="F10" s="63">
        <v>1500</v>
      </c>
      <c r="G10" s="59" t="s">
        <v>111</v>
      </c>
      <c r="H10" s="59" t="s">
        <v>111</v>
      </c>
      <c r="I10" s="59" t="s">
        <v>111</v>
      </c>
      <c r="J10" s="59" t="s">
        <v>111</v>
      </c>
      <c r="K10" s="59" t="s">
        <v>111</v>
      </c>
      <c r="L10" s="59" t="s">
        <v>111</v>
      </c>
      <c r="M10" s="3"/>
      <c r="N10" s="3">
        <v>2</v>
      </c>
    </row>
    <row r="11" spans="1:14" ht="15.75" thickBot="1" x14ac:dyDescent="0.35">
      <c r="A11" s="5" t="s">
        <v>143</v>
      </c>
      <c r="B11" s="14">
        <f>+B8*0.6/B10*60</f>
        <v>135</v>
      </c>
      <c r="C11" s="14">
        <f>+C8*0.6/C10*60</f>
        <v>71.280000000000015</v>
      </c>
      <c r="D11" s="14">
        <f>+D8*0.6/D10*60</f>
        <v>49.14970059880239</v>
      </c>
      <c r="E11" s="14">
        <f>+E8*0.6/E10*60</f>
        <v>34.44518272425249</v>
      </c>
      <c r="F11" s="62">
        <f>+F8*0.6/F10*60</f>
        <v>28.799999999999997</v>
      </c>
      <c r="G11" s="59" t="s">
        <v>111</v>
      </c>
      <c r="H11" s="59" t="s">
        <v>111</v>
      </c>
      <c r="I11" s="59" t="s">
        <v>111</v>
      </c>
      <c r="J11" s="59" t="s">
        <v>111</v>
      </c>
      <c r="K11" s="59" t="s">
        <v>111</v>
      </c>
      <c r="L11" s="59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3</v>
      </c>
      <c r="C12" s="3">
        <v>3</v>
      </c>
      <c r="D12" s="3">
        <v>3</v>
      </c>
      <c r="E12" s="3">
        <v>3</v>
      </c>
      <c r="F12" s="63">
        <v>3</v>
      </c>
      <c r="G12" s="59" t="s">
        <v>111</v>
      </c>
      <c r="H12" s="59" t="s">
        <v>111</v>
      </c>
      <c r="I12" s="59" t="s">
        <v>111</v>
      </c>
      <c r="J12" s="59" t="s">
        <v>111</v>
      </c>
      <c r="K12" s="59" t="s">
        <v>111</v>
      </c>
      <c r="L12" s="59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2</v>
      </c>
      <c r="C13" s="3">
        <v>3</v>
      </c>
      <c r="D13" s="3">
        <v>3</v>
      </c>
      <c r="E13" s="3">
        <v>3</v>
      </c>
      <c r="F13" s="63">
        <v>3</v>
      </c>
      <c r="G13" s="59" t="s">
        <v>111</v>
      </c>
      <c r="H13" s="59" t="s">
        <v>111</v>
      </c>
      <c r="I13" s="59" t="s">
        <v>111</v>
      </c>
      <c r="J13" s="59" t="s">
        <v>111</v>
      </c>
      <c r="K13" s="59" t="s">
        <v>111</v>
      </c>
      <c r="L13" s="59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400</v>
      </c>
      <c r="C14" s="14">
        <f>B14+(C$2-B$2)*($F14-$B14)/($F$2-$B$2)</f>
        <v>468.9655172413793</v>
      </c>
      <c r="D14" s="14">
        <f>C14+(D$2-C$2)*($F14-$B14)/($F$2-$B$2)</f>
        <v>555.17241379310349</v>
      </c>
      <c r="E14" s="14">
        <f>D14+(E$2-D$2)*($F14-$B14)/($F$2-$B$2)</f>
        <v>727.58620689655174</v>
      </c>
      <c r="F14" s="63">
        <v>900</v>
      </c>
      <c r="G14" s="59" t="s">
        <v>111</v>
      </c>
      <c r="H14" s="59" t="s">
        <v>111</v>
      </c>
      <c r="I14" s="59" t="s">
        <v>111</v>
      </c>
      <c r="J14" s="59" t="s">
        <v>111</v>
      </c>
      <c r="K14" s="59" t="s">
        <v>111</v>
      </c>
      <c r="L14" s="59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2">
        <f>'Diesel L3'!B15</f>
        <v>16.5</v>
      </c>
      <c r="C15" s="32">
        <f>'Diesel L3'!C15</f>
        <v>17.741379310344829</v>
      </c>
      <c r="D15" s="32">
        <f>'Diesel L3'!D15</f>
        <v>19.293103448275865</v>
      </c>
      <c r="E15" s="32">
        <f>'Diesel L3'!E15</f>
        <v>22.396551724137932</v>
      </c>
      <c r="F15" s="64">
        <f>'Diesel L3'!F15</f>
        <v>25.5</v>
      </c>
      <c r="G15" s="50">
        <f>'Diesel L3'!G15</f>
        <v>16.5</v>
      </c>
      <c r="H15" s="50">
        <f>'Diesel L3'!H15</f>
        <v>25.25</v>
      </c>
      <c r="I15" s="50">
        <f>'Diesel L3'!I15</f>
        <v>16.5</v>
      </c>
      <c r="J15" s="50">
        <f>'Diesel L3'!J15</f>
        <v>25.25</v>
      </c>
      <c r="K15" s="50">
        <f>'Diesel L3'!K15</f>
        <v>16.5</v>
      </c>
      <c r="L15" s="50">
        <f>'Diesel L3'!L15</f>
        <v>34.5</v>
      </c>
      <c r="M15" s="3"/>
      <c r="N15" s="3">
        <v>2</v>
      </c>
    </row>
    <row r="16" spans="1:14" ht="15.75" thickBot="1" x14ac:dyDescent="0.35">
      <c r="A16" s="5" t="s">
        <v>107</v>
      </c>
      <c r="B16" s="32">
        <f>'Diesel L3'!B16</f>
        <v>16.5</v>
      </c>
      <c r="C16" s="32">
        <f>'Diesel L3'!C16</f>
        <v>16.810344827586206</v>
      </c>
      <c r="D16" s="32">
        <f>'Diesel L3'!D16</f>
        <v>17.198275862068964</v>
      </c>
      <c r="E16" s="32">
        <f>'Diesel L3'!E16</f>
        <v>17.97413793103448</v>
      </c>
      <c r="F16" s="64">
        <f>'Diesel L3'!F16</f>
        <v>18.75</v>
      </c>
      <c r="G16" s="50" t="str">
        <f>'Diesel L3'!G16</f>
        <v>no data</v>
      </c>
      <c r="H16" s="50" t="str">
        <f>'Diesel L3'!H16</f>
        <v>no data</v>
      </c>
      <c r="I16" s="50" t="str">
        <f>'Diesel L3'!I16</f>
        <v>no data</v>
      </c>
      <c r="J16" s="50" t="str">
        <f>'Diesel L3'!J16</f>
        <v>no data</v>
      </c>
      <c r="K16" s="50" t="str">
        <f>'Diesel L3'!K16</f>
        <v>no data</v>
      </c>
      <c r="L16" s="50" t="str">
        <f>'Diesel L3'!L16</f>
        <v>no data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81"/>
      <c r="H17" s="81"/>
      <c r="I17" s="81"/>
      <c r="J17" s="81"/>
      <c r="K17" s="81"/>
      <c r="L17" s="81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146</v>
      </c>
      <c r="B19" s="19">
        <f>+Simulations!G68</f>
        <v>0.38049606174265843</v>
      </c>
      <c r="C19" s="27">
        <f t="shared" ref="C19:E21" si="1">B19+(C$2-B$2)*($F19-$B19)/($F$2-$B$2)</f>
        <v>0.3957375495568467</v>
      </c>
      <c r="D19" s="27">
        <f t="shared" si="1"/>
        <v>0.41478940932458203</v>
      </c>
      <c r="E19" s="27">
        <f t="shared" si="1"/>
        <v>0.45289312886005267</v>
      </c>
      <c r="F19" s="19">
        <f>+Simulations!G203</f>
        <v>0.49099684839552327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147</v>
      </c>
      <c r="B20" s="19">
        <f>+Simulations!G69</f>
        <v>0.58828539150173298</v>
      </c>
      <c r="C20" s="27">
        <f t="shared" si="1"/>
        <v>0.59090985987474998</v>
      </c>
      <c r="D20" s="27">
        <f t="shared" si="1"/>
        <v>0.59419044534102117</v>
      </c>
      <c r="E20" s="27">
        <f t="shared" si="1"/>
        <v>0.60075161627356355</v>
      </c>
      <c r="F20" s="19">
        <f>+Simulations!G204</f>
        <v>0.60731278720610582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148</v>
      </c>
      <c r="B21" s="19">
        <f>+Simulations!G70</f>
        <v>0.73913279186731429</v>
      </c>
      <c r="C21" s="27">
        <f t="shared" si="1"/>
        <v>0.74120052746460441</v>
      </c>
      <c r="D21" s="27">
        <f t="shared" si="1"/>
        <v>0.74378519696121703</v>
      </c>
      <c r="E21" s="27">
        <f t="shared" si="1"/>
        <v>0.74895453595444239</v>
      </c>
      <c r="F21" s="19">
        <f>+Simulations!G205</f>
        <v>0.75412387494766775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146</v>
      </c>
      <c r="B23" s="28">
        <f>+Simulations!E65</f>
        <v>2.9056210929753874</v>
      </c>
      <c r="C23" s="13">
        <f t="shared" ref="C23:E25" si="2">B23+(C$2-B$2)*($F23-$B23)/($F$2-$B$2)</f>
        <v>2.7502658316641284</v>
      </c>
      <c r="D23" s="13">
        <f t="shared" si="2"/>
        <v>2.5560717550250547</v>
      </c>
      <c r="E23" s="13">
        <f t="shared" si="2"/>
        <v>2.1676836017469068</v>
      </c>
      <c r="F23" s="28">
        <f>+Simulations!E200</f>
        <v>1.7792954484687591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147</v>
      </c>
      <c r="B24" s="28">
        <f>+Simulations!E66</f>
        <v>3.3435635188176409</v>
      </c>
      <c r="C24" s="13">
        <f t="shared" si="2"/>
        <v>3.1632218250256456</v>
      </c>
      <c r="D24" s="13">
        <f t="shared" si="2"/>
        <v>2.9377947077856517</v>
      </c>
      <c r="E24" s="13">
        <f t="shared" si="2"/>
        <v>2.4869404733056637</v>
      </c>
      <c r="F24" s="28">
        <f>+Simulations!E201</f>
        <v>2.0360862388256757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148</v>
      </c>
      <c r="B25" s="28">
        <f>+Simulations!E67</f>
        <v>3.5955710130598608</v>
      </c>
      <c r="C25" s="13">
        <f t="shared" si="2"/>
        <v>3.3947150446143688</v>
      </c>
      <c r="D25" s="13">
        <f t="shared" si="2"/>
        <v>3.1436450840575039</v>
      </c>
      <c r="E25" s="13">
        <f t="shared" si="2"/>
        <v>2.6415051629437736</v>
      </c>
      <c r="F25" s="28">
        <f>+Simulations!E202</f>
        <v>2.1393652418300433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146</v>
      </c>
      <c r="B27" s="28">
        <f>+Simulations!E71</f>
        <v>8.8718685368330021</v>
      </c>
      <c r="C27" s="13">
        <f t="shared" ref="C27:E29" si="3">B27+(C$2-B$2)*($F27-$B27)/($F$2-$B$2)</f>
        <v>8.4809125628688733</v>
      </c>
      <c r="D27" s="13">
        <f t="shared" si="3"/>
        <v>7.9922175954137114</v>
      </c>
      <c r="E27" s="13">
        <f t="shared" si="3"/>
        <v>7.0148276605033884</v>
      </c>
      <c r="F27" s="28">
        <f>+Simulations!E206</f>
        <v>6.0374377255930654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147</v>
      </c>
      <c r="B28" s="28">
        <f>+Simulations!E72</f>
        <v>6.944514529411177</v>
      </c>
      <c r="C28" s="13">
        <f t="shared" si="3"/>
        <v>6.7522592601683833</v>
      </c>
      <c r="D28" s="13">
        <f t="shared" si="3"/>
        <v>6.5119401736148914</v>
      </c>
      <c r="E28" s="13">
        <f t="shared" si="3"/>
        <v>6.0313020005079077</v>
      </c>
      <c r="F28" s="28">
        <f>+Simulations!E207</f>
        <v>5.5506638274009239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148</v>
      </c>
      <c r="B29" s="28">
        <f>+Simulations!E73</f>
        <v>5.9233459630359064</v>
      </c>
      <c r="C29" s="13">
        <f t="shared" si="3"/>
        <v>5.7517473347992407</v>
      </c>
      <c r="D29" s="13">
        <f t="shared" si="3"/>
        <v>5.5372490495034086</v>
      </c>
      <c r="E29" s="13">
        <f t="shared" si="3"/>
        <v>5.1082524789117443</v>
      </c>
      <c r="F29" s="28">
        <f>+Simulations!E208</f>
        <v>4.6792559083200809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146</v>
      </c>
      <c r="B31" s="28">
        <f>+Simulations!E68</f>
        <v>6.3160147707669996</v>
      </c>
      <c r="C31" s="13">
        <f t="shared" ref="C31:E33" si="4">B31+(C$2-B$2)*($F31-$B31)/($F$2-$B$2)</f>
        <v>6.008389130131409</v>
      </c>
      <c r="D31" s="13">
        <f t="shared" si="4"/>
        <v>5.6238570793369203</v>
      </c>
      <c r="E31" s="13">
        <f t="shared" si="4"/>
        <v>4.8547929777479437</v>
      </c>
      <c r="F31" s="28">
        <f>+Simulations!E203</f>
        <v>4.0857288761589672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147</v>
      </c>
      <c r="B32" s="28">
        <f>+Simulations!E69</f>
        <v>5.3698694891313847</v>
      </c>
      <c r="C32" s="13">
        <f t="shared" si="4"/>
        <v>5.1786141438627036</v>
      </c>
      <c r="D32" s="13">
        <f t="shared" si="4"/>
        <v>4.9395449622768526</v>
      </c>
      <c r="E32" s="13">
        <f t="shared" si="4"/>
        <v>4.4614065991051506</v>
      </c>
      <c r="F32" s="28">
        <f>+Simulations!E204</f>
        <v>3.9832682359334481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8">
        <f>+Simulations!E70</f>
        <v>4.9054963947861276</v>
      </c>
      <c r="C33" s="13">
        <f t="shared" si="4"/>
        <v>4.7199381257089552</v>
      </c>
      <c r="D33" s="13">
        <f t="shared" si="4"/>
        <v>4.4879902893624894</v>
      </c>
      <c r="E33" s="13">
        <f t="shared" si="4"/>
        <v>4.0240946166695579</v>
      </c>
      <c r="F33" s="28">
        <f>+Simulations!E205</f>
        <v>3.5601989439766255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+B$8*[1]Fremskrivninger!$S$9/B23</f>
        <v>743.38667392730713</v>
      </c>
      <c r="C35" s="14">
        <f>+C$8*[1]Fremskrivninger!$S$9/C23</f>
        <v>893.70671234188148</v>
      </c>
      <c r="D35" s="14">
        <f>+D$8*[1]Fremskrivninger!$S$9/D23</f>
        <v>1107.3025716206716</v>
      </c>
      <c r="E35" s="14">
        <f>+E$8*[1]Fremskrivninger!$S$9/E23</f>
        <v>1649.3054664029014</v>
      </c>
      <c r="F35" s="14">
        <f>+F$8*[1]Fremskrivninger!$S$9/F23</f>
        <v>2427.927303314209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+B$8*[1]Fremskrivninger!$S$9/B24</f>
        <v>646.01733684539795</v>
      </c>
      <c r="C36" s="14">
        <f>+C$8*[1]Fremskrivninger!$S$9/C24</f>
        <v>777.03404011599184</v>
      </c>
      <c r="D36" s="14">
        <f>+D$8*[1]Fremskrivninger!$S$9/D24</f>
        <v>963.42498680568633</v>
      </c>
      <c r="E36" s="14">
        <f>+E$8*[1]Fremskrivninger!$S$9/E24</f>
        <v>1437.5786039787884</v>
      </c>
      <c r="F36" s="14">
        <f>+F$8*[1]Fremskrivninger!$S$9/F24</f>
        <v>2121.7175960540771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+B$8*[1]Fremskrivninger!$S$9/B25</f>
        <v>600.73907375335693</v>
      </c>
      <c r="C37" s="14">
        <f>+C$8*[1]Fremskrivninger!$S$9/C25</f>
        <v>724.04634915740723</v>
      </c>
      <c r="D37" s="14">
        <f>+D$8*[1]Fremskrivninger!$S$9/D25</f>
        <v>900.33854074044496</v>
      </c>
      <c r="E37" s="14">
        <f>+E$8*[1]Fremskrivninger!$S$9/E25</f>
        <v>1353.4603164692749</v>
      </c>
      <c r="F37" s="14">
        <f>+F$8*[1]Fremskrivninger!$S$9/F25</f>
        <v>2019.2905426025388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+B$8*[1]Fremskrivninger!$S$9/B27</f>
        <v>243.46618652343747</v>
      </c>
      <c r="C39" s="14">
        <f>+C$8*[1]Fremskrivninger!$S$9/C27</f>
        <v>289.81916937147435</v>
      </c>
      <c r="D39" s="14">
        <f>+D$8*[1]Fremskrivninger!$S$9/D27</f>
        <v>354.13760871705796</v>
      </c>
      <c r="E39" s="14">
        <f>+E$8*[1]Fremskrivninger!$S$9/E27</f>
        <v>509.65933688191944</v>
      </c>
      <c r="F39" s="14">
        <f>+F$8*[1]Fremskrivninger!$S$9/F27</f>
        <v>715.5353307723999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+B$8*[1]Fremskrivninger!$S$9/B28</f>
        <v>311.03686094284052</v>
      </c>
      <c r="C40" s="14">
        <f>+C$8*[1]Fremskrivninger!$S$9/C28</f>
        <v>364.0160929516004</v>
      </c>
      <c r="D40" s="14">
        <f>+D$8*[1]Fremskrivninger!$S$9/D28</f>
        <v>434.63925529509783</v>
      </c>
      <c r="E40" s="14">
        <f>+E$8*[1]Fremskrivninger!$S$9/E28</f>
        <v>592.76958996449378</v>
      </c>
      <c r="F40" s="14">
        <f>+F$8*[1]Fremskrivninger!$S$9/F28</f>
        <v>778.28528881072998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+B$8*[1]Fremskrivninger!$S$9/B29</f>
        <v>364.6587610244751</v>
      </c>
      <c r="C41" s="14">
        <f>+C$8*[1]Fremskrivninger!$S$9/C29</f>
        <v>427.3364060364363</v>
      </c>
      <c r="D41" s="14">
        <f>+D$8*[1]Fremskrivninger!$S$9/D29</f>
        <v>511.14638375170023</v>
      </c>
      <c r="E41" s="14">
        <f>+E$8*[1]Fremskrivninger!$S$9/E29</f>
        <v>699.8816970289522</v>
      </c>
      <c r="F41" s="14">
        <f>+F$8*[1]Fremskrivninger!$S$9/F29</f>
        <v>923.22371006011963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+B$8*[1]Fremskrivninger!$S$9/B31</f>
        <v>341.98780059814447</v>
      </c>
      <c r="C43" s="14">
        <f>+C$8*[1]Fremskrivninger!$S$9/C31</f>
        <v>409.08319705135364</v>
      </c>
      <c r="D43" s="14">
        <f>+D$8*[1]Fremskrivninger!$S$9/D31</f>
        <v>503.27467210811795</v>
      </c>
      <c r="E43" s="14">
        <f>+E$8*[1]Fremskrivninger!$S$9/E31</f>
        <v>736.42118833490713</v>
      </c>
      <c r="F43" s="14">
        <f>+F$8*[1]Fremskrivninger!$S$9/F31</f>
        <v>1057.3388814926147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+B$8*[1]Fremskrivninger!$S$9/B32</f>
        <v>402.24441289901733</v>
      </c>
      <c r="C44" s="14">
        <f>+C$8*[1]Fremskrivninger!$S$9/C32</f>
        <v>474.63104340293631</v>
      </c>
      <c r="D44" s="14">
        <f>+D$8*[1]Fremskrivninger!$S$9/D32</f>
        <v>572.99707750439757</v>
      </c>
      <c r="E44" s="14">
        <f>+E$8*[1]Fremskrivninger!$S$9/E32</f>
        <v>801.35543227783717</v>
      </c>
      <c r="F44" s="14">
        <f>+F$8*[1]Fremskrivninger!$S$9/F32</f>
        <v>1084.5365524291992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+B$8*[1]Fremskrivninger!$S$9/B33</f>
        <v>440.32241106033325</v>
      </c>
      <c r="C45" s="14">
        <f>+C$8*[1]Fremskrivninger!$S$9/C33</f>
        <v>520.7549270815</v>
      </c>
      <c r="D45" s="14">
        <f>+D$8*[1]Fremskrivninger!$S$9/D33</f>
        <v>630.64860775094314</v>
      </c>
      <c r="E45" s="14">
        <f>+E$8*[1]Fremskrivninger!$S$9/E33</f>
        <v>888.44143946893723</v>
      </c>
      <c r="F45" s="14">
        <f>+F$8*[1]Fremskrivninger!$S$9/F33</f>
        <v>1213.4153366088867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4" ht="15.75" thickBot="1" x14ac:dyDescent="0.35">
      <c r="A65" s="5" t="s">
        <v>54</v>
      </c>
      <c r="B65" s="32">
        <f>+'Diesel L3'!B65+'BEV L3'!B8*[1]Fremskrivninger!N11/1000</f>
        <v>93.52</v>
      </c>
      <c r="C65" s="32">
        <f>B65+(C$2-B$2)*($F65-$B65)/($F$2-$B$2)</f>
        <v>94.741028829847366</v>
      </c>
      <c r="D65" s="32">
        <f>C65+(D$2-C$2)*($F65-$B65)/($F$2-$B$2)</f>
        <v>96.267314867156585</v>
      </c>
      <c r="E65" s="32">
        <f>D65+(E$2-D$2)*($F65-$B65)/($F$2-$B$2)</f>
        <v>99.31988694177501</v>
      </c>
      <c r="F65" s="32">
        <f>+'Diesel L3'!F65+'BEV L3'!F8*[1]Fremskrivninger!P11/1000</f>
        <v>102.37245901639344</v>
      </c>
      <c r="G65" s="3"/>
      <c r="H65" s="3"/>
      <c r="I65" s="3"/>
      <c r="J65" s="3"/>
      <c r="K65" s="3"/>
      <c r="L65" s="3"/>
      <c r="M65" s="3"/>
      <c r="N65" s="3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f>'Diesel L3'!B67</f>
        <v>10.5</v>
      </c>
      <c r="C67" s="3">
        <f>'Diesel L3'!C67</f>
        <v>10.5</v>
      </c>
      <c r="D67" s="3">
        <f>'Diesel L3'!D67</f>
        <v>10.5</v>
      </c>
      <c r="E67" s="3">
        <f>'Diesel L3'!E67</f>
        <v>10.5</v>
      </c>
      <c r="F67" s="3">
        <f>'Diesel L3'!F67</f>
        <v>10.5</v>
      </c>
      <c r="G67" s="3">
        <f>'Diesel L3'!G67</f>
        <v>6</v>
      </c>
      <c r="H67" s="3">
        <f>'Diesel L3'!H67</f>
        <v>20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4" ht="15.75" thickBot="1" x14ac:dyDescent="0.35">
      <c r="A68" s="5" t="str">
        <f>'BEV L1'!A68</f>
        <v>Typical battery lifetime (years)</v>
      </c>
      <c r="B68" s="3">
        <f>+'BEV L1'!B68</f>
        <v>13.8</v>
      </c>
      <c r="C68" s="3">
        <f>+'BEV L1'!C68</f>
        <v>13.8</v>
      </c>
      <c r="D68" s="3">
        <f>+'BEV L1'!D68</f>
        <v>13.8</v>
      </c>
      <c r="E68" s="3">
        <f>+'BEV L1'!E68</f>
        <v>13.8</v>
      </c>
      <c r="F68" s="3">
        <f>+'BEV L1'!F68</f>
        <v>13.8</v>
      </c>
      <c r="G68" s="3">
        <f>+'BEV L1'!G68</f>
        <v>6.9</v>
      </c>
      <c r="H68" s="3">
        <f>+'BEV L1'!H68</f>
        <v>20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4" ht="15.75" thickBot="1" x14ac:dyDescent="0.35">
      <c r="A69" s="5" t="s">
        <v>39</v>
      </c>
      <c r="B69" s="3">
        <f>'Diesel L3'!B69</f>
        <v>931962</v>
      </c>
      <c r="C69" s="3">
        <f>'Diesel L3'!C69</f>
        <v>931962</v>
      </c>
      <c r="D69" s="3">
        <f>'Diesel L3'!D69</f>
        <v>931962</v>
      </c>
      <c r="E69" s="3">
        <f>'Diesel L3'!E69</f>
        <v>931962</v>
      </c>
      <c r="F69" s="3">
        <f>'Diesel L3'!F69</f>
        <v>931962</v>
      </c>
      <c r="G69" s="3">
        <f>'Diesel L3'!G69</f>
        <v>500000</v>
      </c>
      <c r="H69" s="3">
        <f>'Diesel L3'!H69</f>
        <v>2500000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4" ht="15.75" thickBot="1" x14ac:dyDescent="0.35">
      <c r="A70" s="5" t="s">
        <v>40</v>
      </c>
      <c r="B70" s="14">
        <f>'Diesel L3'!B70</f>
        <v>133137.42857142858</v>
      </c>
      <c r="C70" s="14">
        <f>'Diesel L3'!C70</f>
        <v>133137.42857142858</v>
      </c>
      <c r="D70" s="14">
        <f>'Diesel L3'!D70</f>
        <v>133137.42857142858</v>
      </c>
      <c r="E70" s="14">
        <f>'Diesel L3'!E70</f>
        <v>133137.42857142858</v>
      </c>
      <c r="F70" s="14">
        <f>'Diesel L3'!F70</f>
        <v>133137.42857142858</v>
      </c>
      <c r="G70" s="14">
        <f>'Diesel L3'!G70</f>
        <v>99853.071428571435</v>
      </c>
      <c r="H70" s="14">
        <f>'Diesel L3'!H70</f>
        <v>166421.78571428574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4" ht="15.75" thickBot="1" x14ac:dyDescent="0.35">
      <c r="A71" s="5" t="s">
        <v>41</v>
      </c>
      <c r="B71" s="14">
        <f>+'BEV L2'!B71-'Diesel L2'!B71+'Diesel L3'!B71</f>
        <v>365406.91489361704</v>
      </c>
      <c r="C71" s="14">
        <f>B71+(C$2-B$2)*($D71-$B71)/($D$2-$B$2)</f>
        <v>278521.27068557922</v>
      </c>
      <c r="D71" s="14">
        <f>+B71*0.465</f>
        <v>169914.21542553193</v>
      </c>
      <c r="E71" s="14">
        <f>+D71</f>
        <v>169914.21542553193</v>
      </c>
      <c r="F71" s="14">
        <f>+E71</f>
        <v>169914.21542553193</v>
      </c>
      <c r="G71" s="59" t="s">
        <v>111</v>
      </c>
      <c r="H71" s="59" t="s">
        <v>111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</row>
    <row r="72" spans="1:14" ht="15.75" thickBot="1" x14ac:dyDescent="0.35">
      <c r="A72" s="5" t="s">
        <v>42</v>
      </c>
      <c r="B72" s="3">
        <f>+B8*[1]Fremskrivninger!N8</f>
        <v>150000</v>
      </c>
      <c r="C72" s="14">
        <f t="shared" ref="C72:E73" si="5">B72+(C$2-B$2)*($F72-$B72)/($F$2-$B$2)</f>
        <v>139241.37931034484</v>
      </c>
      <c r="D72" s="14">
        <f t="shared" si="5"/>
        <v>125793.10344827587</v>
      </c>
      <c r="E72" s="14">
        <f t="shared" si="5"/>
        <v>98896.551724137942</v>
      </c>
      <c r="F72" s="3">
        <f>+F8*[1]Fremskrivninger!P8</f>
        <v>72000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4" ht="15.75" thickBot="1" x14ac:dyDescent="0.35">
      <c r="A73" s="5" t="s">
        <v>137</v>
      </c>
      <c r="B73" s="3">
        <f>[1]Fremskrivninger!$N$12*B14</f>
        <v>120000</v>
      </c>
      <c r="C73" s="14">
        <f t="shared" si="5"/>
        <v>115862.06896551725</v>
      </c>
      <c r="D73" s="14">
        <f t="shared" si="5"/>
        <v>110689.6551724138</v>
      </c>
      <c r="E73" s="14">
        <f t="shared" si="5"/>
        <v>100344.8275862069</v>
      </c>
      <c r="F73" s="14">
        <f>[1]Fremskrivninger!$P$12*F14</f>
        <v>90000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4" ht="15.75" thickBot="1" x14ac:dyDescent="0.35">
      <c r="A74" s="5" t="s">
        <v>113</v>
      </c>
      <c r="B74" s="14">
        <f>'BEV L1'!B74</f>
        <v>6400</v>
      </c>
      <c r="C74" s="14">
        <f>'BEV L1'!C74</f>
        <v>6400</v>
      </c>
      <c r="D74" s="14">
        <f>'BEV L1'!D74</f>
        <v>6400</v>
      </c>
      <c r="E74" s="14">
        <f>'BEV L1'!E74</f>
        <v>6400</v>
      </c>
      <c r="F74" s="14">
        <f>'BEV L1'!F74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4" ht="15.75" thickBot="1" x14ac:dyDescent="0.35">
      <c r="A75" s="5" t="s">
        <v>112</v>
      </c>
      <c r="B75" s="13">
        <f>'BEV L1'!B75</f>
        <v>0.107</v>
      </c>
      <c r="C75" s="13">
        <f>'BEV L1'!C75</f>
        <v>0.107</v>
      </c>
      <c r="D75" s="13">
        <f>'BEV L1'!D75</f>
        <v>0.107</v>
      </c>
      <c r="E75" s="13">
        <f>'BEV L1'!E75</f>
        <v>0.107</v>
      </c>
      <c r="F75" s="13">
        <f>'BEV L1'!F75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B00-000001000000}"/>
    <hyperlink ref="N2" location="References!A1" display="Ref" xr:uid="{FBC75358-8FD5-4BF1-8109-88B14240E649}"/>
  </hyperlinks>
  <pageMargins left="0.7" right="0.7" top="0.75" bottom="0.75" header="0.3" footer="0.3"/>
  <pageSetup paperSize="9" scale="5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pageSetUpPr fitToPage="1"/>
  </sheetPr>
  <dimension ref="A1:O75"/>
  <sheetViews>
    <sheetView zoomScaleNormal="100" workbookViewId="0">
      <selection activeCell="A18" sqref="A18:A45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  <col min="15" max="15" width="1.42578125" bestFit="1" customWidth="1"/>
  </cols>
  <sheetData>
    <row r="1" spans="1:14" ht="15.75" thickBot="1" x14ac:dyDescent="0.35">
      <c r="A1" s="54" t="s">
        <v>0</v>
      </c>
      <c r="B1" s="1"/>
      <c r="C1" s="76" t="str">
        <f>+'Diesel B1'!C1</f>
        <v>City bus &gt; 12 meters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48</v>
      </c>
      <c r="B4" s="3">
        <f>+'Diesel B1'!B4</f>
        <v>45</v>
      </c>
      <c r="C4" s="3">
        <f>+'Diesel B1'!C4</f>
        <v>45</v>
      </c>
      <c r="D4" s="3">
        <f>+'Diesel B1'!D4</f>
        <v>45</v>
      </c>
      <c r="E4" s="3">
        <f>+'Diesel B1'!E4</f>
        <v>45</v>
      </c>
      <c r="F4" s="3">
        <f>+'Diesel B1'!F4</f>
        <v>45</v>
      </c>
      <c r="G4" s="57" t="s">
        <v>111</v>
      </c>
      <c r="H4" s="57" t="s">
        <v>111</v>
      </c>
      <c r="I4" s="57" t="s">
        <v>111</v>
      </c>
      <c r="J4" s="57" t="s">
        <v>111</v>
      </c>
      <c r="K4" s="57" t="s">
        <v>111</v>
      </c>
      <c r="L4" s="57" t="s">
        <v>111</v>
      </c>
      <c r="M4" s="3"/>
      <c r="N4" s="3">
        <v>2</v>
      </c>
    </row>
    <row r="5" spans="1:14" ht="15.75" thickBot="1" x14ac:dyDescent="0.35">
      <c r="A5" s="5" t="s">
        <v>9</v>
      </c>
      <c r="B5" s="3">
        <v>12550</v>
      </c>
      <c r="C5" s="14">
        <f>B5+(C$2-B$2)*($F5-$B5)/($F$2-$B$2)</f>
        <v>12232.758620689656</v>
      </c>
      <c r="D5" s="14">
        <f>C5+(D$2-C$2)*($F5-$B5)/($F$2-$B$2)</f>
        <v>11836.206896551725</v>
      </c>
      <c r="E5" s="14">
        <f>D5+(E$2-D$2)*($F5-$B5)/($F$2-$B$2)</f>
        <v>11043.103448275862</v>
      </c>
      <c r="F5" s="3">
        <f>B5-2300</f>
        <v>10250</v>
      </c>
      <c r="G5" s="50">
        <v>8000</v>
      </c>
      <c r="H5" s="57" t="s">
        <v>111</v>
      </c>
      <c r="I5" s="59" t="s">
        <v>111</v>
      </c>
      <c r="J5" s="57" t="s">
        <v>111</v>
      </c>
      <c r="K5" s="57" t="s">
        <v>111</v>
      </c>
      <c r="L5" s="57" t="s">
        <v>111</v>
      </c>
      <c r="M5" s="3"/>
      <c r="N5" s="3">
        <v>2</v>
      </c>
    </row>
    <row r="6" spans="1:14" ht="15.75" thickBot="1" x14ac:dyDescent="0.35">
      <c r="A6" s="5" t="s">
        <v>10</v>
      </c>
      <c r="B6" s="3">
        <v>18000</v>
      </c>
      <c r="C6" s="3">
        <v>18000</v>
      </c>
      <c r="D6" s="3">
        <v>18000</v>
      </c>
      <c r="E6" s="3">
        <v>18000</v>
      </c>
      <c r="F6" s="3">
        <v>18000</v>
      </c>
      <c r="G6" s="3">
        <v>12000</v>
      </c>
      <c r="H6" s="57" t="s">
        <v>111</v>
      </c>
      <c r="I6" s="3">
        <v>12000</v>
      </c>
      <c r="J6" s="57" t="s">
        <v>111</v>
      </c>
      <c r="K6" s="50">
        <v>12000</v>
      </c>
      <c r="L6" s="57" t="s">
        <v>111</v>
      </c>
      <c r="M6" s="3"/>
      <c r="N6" s="3">
        <v>2</v>
      </c>
    </row>
    <row r="7" spans="1:14" ht="15.75" thickBot="1" x14ac:dyDescent="0.35">
      <c r="A7" s="5" t="s">
        <v>11</v>
      </c>
      <c r="B7" s="14">
        <f>+'Diesel B1'!B7</f>
        <v>8.1999999999999993</v>
      </c>
      <c r="C7" s="14">
        <f>+'Diesel B1'!C7</f>
        <v>8.7241379310344822</v>
      </c>
      <c r="D7" s="14">
        <f>+'Diesel B1'!D7</f>
        <v>9.3793103448275854</v>
      </c>
      <c r="E7" s="14">
        <f>+'Diesel B1'!E7</f>
        <v>10.689655172413792</v>
      </c>
      <c r="F7" s="14">
        <f>+'Diesel B1'!F7</f>
        <v>12</v>
      </c>
      <c r="G7" s="57" t="s">
        <v>111</v>
      </c>
      <c r="H7" s="57" t="s">
        <v>111</v>
      </c>
      <c r="I7" s="57" t="s">
        <v>111</v>
      </c>
      <c r="J7" s="57" t="s">
        <v>111</v>
      </c>
      <c r="K7" s="57" t="s">
        <v>111</v>
      </c>
      <c r="L7" s="57" t="s">
        <v>111</v>
      </c>
      <c r="M7" s="3"/>
      <c r="N7" s="3">
        <v>2</v>
      </c>
    </row>
    <row r="8" spans="1:14" ht="15.75" thickBot="1" x14ac:dyDescent="0.35">
      <c r="A8" s="5" t="s">
        <v>46</v>
      </c>
      <c r="B8" s="3">
        <v>400</v>
      </c>
      <c r="C8" s="14">
        <f t="shared" ref="C8:E10" si="0">B8+(C$2-B$2)*($F8-$B8)/($F$2-$B$2)</f>
        <v>455.17241379310343</v>
      </c>
      <c r="D8" s="14">
        <f t="shared" si="0"/>
        <v>524.13793103448279</v>
      </c>
      <c r="E8" s="14">
        <f t="shared" si="0"/>
        <v>662.06896551724139</v>
      </c>
      <c r="F8" s="3">
        <v>800</v>
      </c>
      <c r="G8" s="59" t="s">
        <v>111</v>
      </c>
      <c r="H8" s="59" t="s">
        <v>111</v>
      </c>
      <c r="I8" s="59" t="s">
        <v>111</v>
      </c>
      <c r="J8" s="59" t="s">
        <v>111</v>
      </c>
      <c r="K8" s="59" t="s">
        <v>111</v>
      </c>
      <c r="L8" s="59" t="s">
        <v>111</v>
      </c>
      <c r="M8" s="3"/>
      <c r="N8" s="3">
        <v>2</v>
      </c>
    </row>
    <row r="9" spans="1:14" ht="15.75" thickBot="1" x14ac:dyDescent="0.35">
      <c r="A9" s="5" t="s">
        <v>13</v>
      </c>
      <c r="B9" s="14">
        <f>[1]Fremskrivninger!$N$6*B8</f>
        <v>2440</v>
      </c>
      <c r="C9" s="14">
        <f t="shared" si="0"/>
        <v>2522.7586206896553</v>
      </c>
      <c r="D9" s="14">
        <f t="shared" si="0"/>
        <v>2626.2068965517242</v>
      </c>
      <c r="E9" s="14">
        <f t="shared" si="0"/>
        <v>2833.1034482758623</v>
      </c>
      <c r="F9" s="3">
        <f>[1]Fremskrivninger!$P$6*F8</f>
        <v>3040</v>
      </c>
      <c r="G9" s="14">
        <f>+C8/0.2</f>
        <v>2275.8620689655172</v>
      </c>
      <c r="H9" s="14">
        <f>+C8/0.14</f>
        <v>3251.2315270935956</v>
      </c>
      <c r="I9" s="14">
        <f>+D8/0.25</f>
        <v>2096.5517241379312</v>
      </c>
      <c r="J9" s="14">
        <f>+D8/0.2</f>
        <v>2620.6896551724139</v>
      </c>
      <c r="K9" s="3">
        <f>+F8/0.4</f>
        <v>2000</v>
      </c>
      <c r="L9" s="3">
        <f>+F8/0.2</f>
        <v>4000</v>
      </c>
      <c r="M9" s="3"/>
      <c r="N9" s="3">
        <v>2</v>
      </c>
    </row>
    <row r="10" spans="1:14" ht="15.75" thickBot="1" x14ac:dyDescent="0.35">
      <c r="A10" s="5" t="s">
        <v>105</v>
      </c>
      <c r="B10" s="3">
        <v>160</v>
      </c>
      <c r="C10" s="14">
        <f t="shared" si="0"/>
        <v>344.82758620689651</v>
      </c>
      <c r="D10" s="14">
        <f t="shared" si="0"/>
        <v>575.86206896551721</v>
      </c>
      <c r="E10" s="14">
        <f t="shared" si="0"/>
        <v>1037.9310344827586</v>
      </c>
      <c r="F10" s="3">
        <v>1500</v>
      </c>
      <c r="G10" s="57" t="s">
        <v>111</v>
      </c>
      <c r="H10" s="57" t="s">
        <v>111</v>
      </c>
      <c r="I10" s="57" t="s">
        <v>111</v>
      </c>
      <c r="J10" s="57" t="s">
        <v>111</v>
      </c>
      <c r="K10" s="57" t="s">
        <v>111</v>
      </c>
      <c r="L10" s="57" t="s">
        <v>111</v>
      </c>
      <c r="M10" s="3"/>
      <c r="N10" s="3">
        <v>2</v>
      </c>
    </row>
    <row r="11" spans="1:14" ht="15.75" thickBot="1" x14ac:dyDescent="0.35">
      <c r="A11" s="5" t="s">
        <v>143</v>
      </c>
      <c r="B11" s="14">
        <f>+B8*0.6/B10*60</f>
        <v>90</v>
      </c>
      <c r="C11" s="14">
        <f>+C8*0.6/C10*60</f>
        <v>47.52</v>
      </c>
      <c r="D11" s="14">
        <f>+D8*0.6/D10*60</f>
        <v>32.766467065868262</v>
      </c>
      <c r="E11" s="14">
        <f>+E8*0.6/E10*60</f>
        <v>22.963455149501659</v>
      </c>
      <c r="F11" s="14">
        <f>+F8*0.6/F10*60</f>
        <v>19.2</v>
      </c>
      <c r="G11" s="57" t="s">
        <v>111</v>
      </c>
      <c r="H11" s="57" t="s">
        <v>111</v>
      </c>
      <c r="I11" s="57" t="s">
        <v>111</v>
      </c>
      <c r="J11" s="57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300</v>
      </c>
      <c r="C14" s="14">
        <f>B14+(C$2-B$2)*($F14-$B14)/($F$2-$B$2)</f>
        <v>320.68965517241378</v>
      </c>
      <c r="D14" s="14">
        <f>C14+(D$2-C$2)*($F14-$B14)/($F$2-$B$2)</f>
        <v>346.55172413793105</v>
      </c>
      <c r="E14" s="14">
        <f>D14+(E$2-D$2)*($F14-$B14)/($F$2-$B$2)</f>
        <v>398.27586206896552</v>
      </c>
      <c r="F14" s="3">
        <v>450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f>+'Diesel B1'!B15</f>
        <v>12</v>
      </c>
      <c r="C15" s="3">
        <f>+'Diesel B1'!C15</f>
        <v>12</v>
      </c>
      <c r="D15" s="3">
        <f>+'Diesel B1'!D15</f>
        <v>12</v>
      </c>
      <c r="E15" s="3">
        <f>+'Diesel B1'!E15</f>
        <v>12</v>
      </c>
      <c r="F15" s="3">
        <f>+'Diesel B1'!F15</f>
        <v>12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">
        <f>+'Diesel B1'!B16</f>
        <v>12</v>
      </c>
      <c r="C16" s="3">
        <f>+'Diesel B1'!C16</f>
        <v>12</v>
      </c>
      <c r="D16" s="3">
        <f>+'Diesel B1'!D16</f>
        <v>12</v>
      </c>
      <c r="E16" s="3">
        <f>+'Diesel B1'!E16</f>
        <v>12</v>
      </c>
      <c r="F16" s="3">
        <f>+'Diesel B1'!F16</f>
        <v>12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149</v>
      </c>
      <c r="B19" s="25">
        <f>+Simulations!G77</f>
        <v>0.33841727036261793</v>
      </c>
      <c r="C19" s="27">
        <f t="shared" ref="C19:E21" si="1">B19+(C$2-B$2)*($F19-$B19)/($F$2-$B$2)</f>
        <v>0.34752759157604907</v>
      </c>
      <c r="D19" s="27">
        <f t="shared" si="1"/>
        <v>0.35891549309283799</v>
      </c>
      <c r="E19" s="27">
        <f t="shared" si="1"/>
        <v>0.38169129612641584</v>
      </c>
      <c r="F19" s="27">
        <f>+Simulations!G212</f>
        <v>0.40446709915999374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150</v>
      </c>
      <c r="B20" s="25">
        <f>+Simulations!G78</f>
        <v>0.66587557994570223</v>
      </c>
      <c r="C20" s="27">
        <f t="shared" si="1"/>
        <v>0.66991758380024646</v>
      </c>
      <c r="D20" s="27">
        <f t="shared" si="1"/>
        <v>0.67497008861842678</v>
      </c>
      <c r="E20" s="27">
        <f t="shared" si="1"/>
        <v>0.68507509825478741</v>
      </c>
      <c r="F20" s="19">
        <f>+Simulations!G213</f>
        <v>0.69518010789114792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151</v>
      </c>
      <c r="B21" s="25">
        <f>+Simulations!G79</f>
        <v>0.73180575308282292</v>
      </c>
      <c r="C21" s="27">
        <f t="shared" si="1"/>
        <v>0.7365988086138141</v>
      </c>
      <c r="D21" s="27">
        <f t="shared" si="1"/>
        <v>0.74259012802755309</v>
      </c>
      <c r="E21" s="27">
        <f t="shared" si="1"/>
        <v>0.75457276685503094</v>
      </c>
      <c r="F21" s="19">
        <f>+Simulations!G214</f>
        <v>0.76655540568250879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149</v>
      </c>
      <c r="B23" s="28">
        <f>+Simulations!E74</f>
        <v>3.4921613155018991</v>
      </c>
      <c r="C23" s="13">
        <f t="shared" ref="C23:E25" si="2">B23+(C$2-B$2)*($F23-$B23)/($F$2-$B$2)</f>
        <v>3.2851206116106249</v>
      </c>
      <c r="D23" s="13">
        <f t="shared" si="2"/>
        <v>3.0263197317465322</v>
      </c>
      <c r="E23" s="13">
        <f t="shared" si="2"/>
        <v>2.5087179720183466</v>
      </c>
      <c r="F23" s="28">
        <f>+Simulations!E209</f>
        <v>1.9911162122901609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150</v>
      </c>
      <c r="B24" s="28">
        <f>+Simulations!E75</f>
        <v>3.1750432403852109</v>
      </c>
      <c r="C24" s="13">
        <f t="shared" si="2"/>
        <v>3.022504687963453</v>
      </c>
      <c r="D24" s="13">
        <f t="shared" si="2"/>
        <v>2.8318314974362555</v>
      </c>
      <c r="E24" s="13">
        <f t="shared" si="2"/>
        <v>2.4504851163818606</v>
      </c>
      <c r="F24" s="28">
        <f>+Simulations!E210</f>
        <v>2.0691387353274653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151</v>
      </c>
      <c r="B25" s="28">
        <f>+Simulations!E76</f>
        <v>3.5745483164319793</v>
      </c>
      <c r="C25" s="13">
        <f t="shared" si="2"/>
        <v>3.4033241886088899</v>
      </c>
      <c r="D25" s="13">
        <f t="shared" si="2"/>
        <v>3.1892940288300275</v>
      </c>
      <c r="E25" s="13">
        <f t="shared" si="2"/>
        <v>2.7612337092723034</v>
      </c>
      <c r="F25" s="28">
        <f>+Simulations!E211</f>
        <v>2.3331733897145792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149</v>
      </c>
      <c r="B27" s="28">
        <f>+Simulations!E80</f>
        <v>4.9683873793799265</v>
      </c>
      <c r="C27" s="13">
        <f t="shared" ref="C27:E29" si="3">B27+(C$2-B$2)*($F27-$B27)/($F$2-$B$2)</f>
        <v>4.7055322926132179</v>
      </c>
      <c r="D27" s="13">
        <f t="shared" si="3"/>
        <v>4.376963434154832</v>
      </c>
      <c r="E27" s="13">
        <f t="shared" si="3"/>
        <v>3.7198257172380602</v>
      </c>
      <c r="F27" s="28">
        <f>+Simulations!E215</f>
        <v>3.0626880003212889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150</v>
      </c>
      <c r="B28" s="28">
        <f>+Simulations!E81</f>
        <v>3.6643303715573405</v>
      </c>
      <c r="C28" s="13">
        <f t="shared" si="3"/>
        <v>3.5165423709112318</v>
      </c>
      <c r="D28" s="13">
        <f t="shared" si="3"/>
        <v>3.3318073701035962</v>
      </c>
      <c r="E28" s="13">
        <f t="shared" si="3"/>
        <v>2.9623373684883245</v>
      </c>
      <c r="F28" s="28">
        <f>+Simulations!E216</f>
        <v>2.5928673668730529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151</v>
      </c>
      <c r="B29" s="28">
        <f>+Simulations!E82</f>
        <v>3.9032230392481573</v>
      </c>
      <c r="C29" s="13">
        <f t="shared" si="3"/>
        <v>3.7378310354668591</v>
      </c>
      <c r="D29" s="13">
        <f t="shared" si="3"/>
        <v>3.5310910307402361</v>
      </c>
      <c r="E29" s="13">
        <f t="shared" si="3"/>
        <v>3.1176110212869905</v>
      </c>
      <c r="F29" s="28">
        <f>+Simulations!E217</f>
        <v>2.7041310118337449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149</v>
      </c>
      <c r="B31" s="28">
        <f>+Simulations!E77</f>
        <v>3.6424586188673254</v>
      </c>
      <c r="C31" s="13">
        <f t="shared" ref="C31:E33" si="4">B31+(C$2-B$2)*($F31-$B31)/($F$2-$B$2)</f>
        <v>3.4297586465742658</v>
      </c>
      <c r="D31" s="13">
        <f t="shared" si="4"/>
        <v>3.1638836812079409</v>
      </c>
      <c r="E31" s="13">
        <f t="shared" si="4"/>
        <v>2.6321337504752913</v>
      </c>
      <c r="F31" s="28">
        <f>+Simulations!E212</f>
        <v>2.1003838197426417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150</v>
      </c>
      <c r="B32" s="28">
        <f>+Simulations!E78</f>
        <v>3.2250804321410746</v>
      </c>
      <c r="C32" s="13">
        <f t="shared" si="4"/>
        <v>3.0731523799099429</v>
      </c>
      <c r="D32" s="13">
        <f t="shared" si="4"/>
        <v>2.8832423146210284</v>
      </c>
      <c r="E32" s="13">
        <f t="shared" si="4"/>
        <v>2.5034221840431994</v>
      </c>
      <c r="F32" s="28">
        <f>+Simulations!E213</f>
        <v>2.1236020534653708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151</v>
      </c>
      <c r="B33" s="28">
        <f>+Simulations!E79</f>
        <v>3.6085744751364777</v>
      </c>
      <c r="C33" s="13">
        <f t="shared" si="4"/>
        <v>3.4379223685329761</v>
      </c>
      <c r="D33" s="13">
        <f t="shared" si="4"/>
        <v>3.224607235278599</v>
      </c>
      <c r="E33" s="13">
        <f t="shared" si="4"/>
        <v>2.7979769687698455</v>
      </c>
      <c r="F33" s="28">
        <f>+Simulations!E214</f>
        <v>2.3713467022610923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149</v>
      </c>
      <c r="B35" s="14">
        <f>+B$8*[1]Fremskrivninger!$S$9/B23</f>
        <v>412.35208511352539</v>
      </c>
      <c r="C35" s="14">
        <f>+C$8*[1]Fremskrivninger!$S$9/C23</f>
        <v>498.80076970805385</v>
      </c>
      <c r="D35" s="14">
        <f>+D$8*[1]Fremskrivninger!$S$9/D23</f>
        <v>623.49543966895499</v>
      </c>
      <c r="E35" s="14">
        <f>+E$8*[1]Fremskrivninger!$S$9/E23</f>
        <v>950.06624995176571</v>
      </c>
      <c r="F35" s="14">
        <f>+F$8*[1]Fremskrivninger!$S$9/F23</f>
        <v>1446.4248657226563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150</v>
      </c>
      <c r="B36" s="14">
        <f>+B$8*[1]Fremskrivninger!$S$9/B24</f>
        <v>453.53713035583496</v>
      </c>
      <c r="C36" s="14">
        <f>+C$8*[1]Fremskrivninger!$S$9/C24</f>
        <v>542.13999937888138</v>
      </c>
      <c r="D36" s="14">
        <f>+D$8*[1]Fremskrivninger!$S$9/D24</f>
        <v>666.31667648036398</v>
      </c>
      <c r="E36" s="14">
        <f>+E$8*[1]Fremskrivninger!$S$9/E24</f>
        <v>972.64344105922532</v>
      </c>
      <c r="F36" s="14">
        <f>+F$8*[1]Fremskrivninger!$S$9/F24</f>
        <v>1391.8834686279297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151</v>
      </c>
      <c r="B37" s="14">
        <f>+B$8*[1]Fremskrivninger!$S$9/B25</f>
        <v>402.84810066223145</v>
      </c>
      <c r="C37" s="14">
        <f>+C$8*[1]Fremskrivninger!$S$9/C25</f>
        <v>481.47652084973993</v>
      </c>
      <c r="D37" s="14">
        <f>+D$8*[1]Fremskrivninger!$S$9/D25</f>
        <v>591.63455443972794</v>
      </c>
      <c r="E37" s="14">
        <f>+E$8*[1]Fremskrivninger!$S$9/E25</f>
        <v>863.1823767247156</v>
      </c>
      <c r="F37" s="14">
        <f>+F$8*[1]Fremskrivninger!$S$9/F25</f>
        <v>1234.3703269958496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149</v>
      </c>
      <c r="B39" s="14">
        <f>+B$8*[1]Fremskrivninger!$S$9/B27</f>
        <v>289.8324728012085</v>
      </c>
      <c r="C39" s="14">
        <f>+C$8*[1]Fremskrivninger!$S$9/C27</f>
        <v>348.23280083052288</v>
      </c>
      <c r="D39" s="14">
        <f>+D$8*[1]Fremskrivninger!$S$9/D27</f>
        <v>431.09717047213297</v>
      </c>
      <c r="E39" s="14">
        <f>+E$8*[1]Fremskrivninger!$S$9/E27</f>
        <v>640.74192100369692</v>
      </c>
      <c r="F39" s="14">
        <f>+F$8*[1]Fremskrivninger!$S$9/F27</f>
        <v>940.35043716430664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150</v>
      </c>
      <c r="B40" s="14">
        <f>+B$8*[1]Fremskrivninger!$S$9/B28</f>
        <v>392.9776668548584</v>
      </c>
      <c r="C40" s="14">
        <f>+C$8*[1]Fremskrivninger!$S$9/C28</f>
        <v>465.9749597245891</v>
      </c>
      <c r="D40" s="14">
        <f>+D$8*[1]Fremskrivninger!$S$9/D28</f>
        <v>566.32822433112892</v>
      </c>
      <c r="E40" s="14">
        <f>+E$8*[1]Fremskrivninger!$S$9/E28</f>
        <v>804.58367139943232</v>
      </c>
      <c r="F40" s="14">
        <f>+F$8*[1]Fremskrivninger!$S$9/F28</f>
        <v>1110.7394218444824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151</v>
      </c>
      <c r="B41" s="14">
        <f>+B$8*[1]Fremskrivninger!$S$9/B29</f>
        <v>368.92588138580322</v>
      </c>
      <c r="C41" s="14">
        <f>+C$8*[1]Fremskrivninger!$S$9/C29</f>
        <v>438.38811174366174</v>
      </c>
      <c r="D41" s="14">
        <f>+D$8*[1]Fremskrivninger!$S$9/D29</f>
        <v>534.36644235381857</v>
      </c>
      <c r="E41" s="14">
        <f>+E$8*[1]Fremskrivninger!$S$9/E29</f>
        <v>764.51111430769538</v>
      </c>
      <c r="F41" s="14">
        <f>+F$8*[1]Fremskrivninger!$S$9/F29</f>
        <v>1065.0371551513672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149</v>
      </c>
      <c r="B43" s="14">
        <f>+B$8*[1]Fremskrivninger!$S$9/B31</f>
        <v>395.33736705780024</v>
      </c>
      <c r="C43" s="14">
        <f>+C$8*[1]Fremskrivninger!$S$9/C31</f>
        <v>477.76559767313955</v>
      </c>
      <c r="D43" s="14">
        <f>+D$8*[1]Fremskrivninger!$S$9/D31</f>
        <v>596.3861955265495</v>
      </c>
      <c r="E43" s="14">
        <f>+E$8*[1]Fremskrivninger!$S$9/E31</f>
        <v>905.51943852841214</v>
      </c>
      <c r="F43" s="14">
        <f>+F$8*[1]Fremskrivninger!$S$9/F31</f>
        <v>1371.1779594421387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150</v>
      </c>
      <c r="B44" s="14">
        <f>+B$8*[1]Fremskrivninger!$S$9/B32</f>
        <v>446.50049209594721</v>
      </c>
      <c r="C44" s="14">
        <f>+C$8*[1]Fremskrivninger!$S$9/C32</f>
        <v>533.2051545401049</v>
      </c>
      <c r="D44" s="14">
        <f>+D$8*[1]Fremskrivninger!$S$9/D32</f>
        <v>654.43564772742684</v>
      </c>
      <c r="E44" s="14">
        <f>+E$8*[1]Fremskrivninger!$S$9/E32</f>
        <v>952.07603857397953</v>
      </c>
      <c r="F44" s="14">
        <f>+F$8*[1]Fremskrivninger!$S$9/F32</f>
        <v>1356.1862945556638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151</v>
      </c>
      <c r="B45" s="14">
        <f>+B$8*[1]Fremskrivninger!$S$9/B33</f>
        <v>399.04954433441162</v>
      </c>
      <c r="C45" s="14">
        <f>+C$8*[1]Fremskrivninger!$S$9/C33</f>
        <v>476.63109110704022</v>
      </c>
      <c r="D45" s="14">
        <f>+D$8*[1]Fremskrivninger!$S$9/D33</f>
        <v>585.15546671255743</v>
      </c>
      <c r="E45" s="14">
        <f>+E$8*[1]Fremskrivninger!$S$9/E33</f>
        <v>851.84699604942523</v>
      </c>
      <c r="F45" s="14">
        <f>+F$8*[1]Fremskrivninger!$S$9/F33</f>
        <v>1214.499759674072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5" ht="15.75" thickBot="1" x14ac:dyDescent="0.35">
      <c r="A65" s="5" t="s">
        <v>54</v>
      </c>
      <c r="B65" s="32">
        <f>+'Diesel B1'!B65+'BEV B1'!B8*[1]Fremskrivninger!N11/1000</f>
        <v>103.48333333333333</v>
      </c>
      <c r="C65" s="13">
        <f>B65+(C$2-B$2)*($F65-$B65)/($F$2-$B$2)</f>
        <v>102.28815715093273</v>
      </c>
      <c r="D65" s="13">
        <f>C65+(D$2-C$2)*($F65-$B65)/($F$2-$B$2)</f>
        <v>100.79418692293197</v>
      </c>
      <c r="E65" s="13">
        <f>D65+(E$2-D$2)*($F65-$B65)/($F$2-$B$2)</f>
        <v>97.80624646693046</v>
      </c>
      <c r="F65" s="32">
        <f>+'Diesel B1'!F65+'BEV B1'!F8*[1]Fremskrivninger!P11/1000</f>
        <v>94.81830601092895</v>
      </c>
      <c r="G65" s="3"/>
      <c r="H65" s="3"/>
      <c r="I65" s="3"/>
      <c r="J65" s="3"/>
      <c r="K65" s="3"/>
      <c r="L65" s="3"/>
      <c r="M65" s="3"/>
      <c r="N65" s="3">
        <v>3</v>
      </c>
    </row>
    <row r="66" spans="1:15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5" ht="15.75" thickBot="1" x14ac:dyDescent="0.35">
      <c r="A67" s="5" t="s">
        <v>37</v>
      </c>
      <c r="B67" s="3">
        <f>'Diesel B1'!B67</f>
        <v>12</v>
      </c>
      <c r="C67" s="3">
        <f>'Diesel B1'!C67</f>
        <v>12</v>
      </c>
      <c r="D67" s="3">
        <f>'Diesel B1'!D67</f>
        <v>12</v>
      </c>
      <c r="E67" s="3">
        <f>'Diesel B1'!E67</f>
        <v>12</v>
      </c>
      <c r="F67" s="3">
        <f>'Diesel B1'!F67</f>
        <v>12</v>
      </c>
      <c r="G67" s="3">
        <f>'Diesel B1'!G67</f>
        <v>8.4</v>
      </c>
      <c r="H67" s="3">
        <f>'Diesel B1'!H67</f>
        <v>15.6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5" ht="15.75" thickBot="1" x14ac:dyDescent="0.35">
      <c r="A68" s="5" t="str">
        <f>'BEV L1'!A68</f>
        <v>Typical battery lifetime (years)</v>
      </c>
      <c r="B68" s="3">
        <f>+'BEV L1'!B68</f>
        <v>13.8</v>
      </c>
      <c r="C68" s="3">
        <f>+'BEV L1'!C68</f>
        <v>13.8</v>
      </c>
      <c r="D68" s="3">
        <f>+'BEV L1'!D68</f>
        <v>13.8</v>
      </c>
      <c r="E68" s="3">
        <f>+'BEV L1'!E68</f>
        <v>13.8</v>
      </c>
      <c r="F68" s="3">
        <f>+'BEV L1'!F68</f>
        <v>13.8</v>
      </c>
      <c r="G68" s="3">
        <f>+'BEV L1'!G68</f>
        <v>6.9</v>
      </c>
      <c r="H68" s="3">
        <f>+'BEV L1'!H68</f>
        <v>20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5" ht="15.75" thickBot="1" x14ac:dyDescent="0.35">
      <c r="A69" s="5" t="s">
        <v>39</v>
      </c>
      <c r="B69" s="3">
        <f>'Diesel B1'!B69</f>
        <v>657000</v>
      </c>
      <c r="C69" s="3">
        <f>'Diesel B1'!C69</f>
        <v>657000</v>
      </c>
      <c r="D69" s="3">
        <f>'Diesel B1'!D69</f>
        <v>657000</v>
      </c>
      <c r="E69" s="3">
        <f>'Diesel B1'!E69</f>
        <v>657000</v>
      </c>
      <c r="F69" s="3">
        <f>'Diesel B1'!F69</f>
        <v>657000</v>
      </c>
      <c r="G69" s="3">
        <f>'Diesel B1'!G69</f>
        <v>500000</v>
      </c>
      <c r="H69" s="3">
        <f>'Diesel B1'!H69</f>
        <v>2000000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5" ht="15.75" thickBot="1" x14ac:dyDescent="0.35">
      <c r="A70" s="5" t="s">
        <v>40</v>
      </c>
      <c r="B70" s="3">
        <f>'Diesel B1'!B70</f>
        <v>54750</v>
      </c>
      <c r="C70" s="3">
        <f>'Diesel B1'!C70</f>
        <v>54750</v>
      </c>
      <c r="D70" s="3">
        <f>'Diesel B1'!D70</f>
        <v>54750</v>
      </c>
      <c r="E70" s="3">
        <f>'Diesel B1'!E70</f>
        <v>54750</v>
      </c>
      <c r="F70" s="3">
        <f>'Diesel B1'!F70</f>
        <v>54750</v>
      </c>
      <c r="G70" s="3">
        <f>'Diesel B1'!G70</f>
        <v>18250</v>
      </c>
      <c r="H70" s="3">
        <f>'Diesel B1'!H70</f>
        <v>91250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5" ht="15.75" thickBot="1" x14ac:dyDescent="0.35">
      <c r="A71" s="5" t="s">
        <v>41</v>
      </c>
      <c r="B71" s="3">
        <v>460000</v>
      </c>
      <c r="C71" s="14">
        <f>B71+(C$2-B$2)*($D71-$B71)/($D$2-$B$2)</f>
        <v>366666.66666666669</v>
      </c>
      <c r="D71" s="14">
        <v>250000</v>
      </c>
      <c r="E71" s="14">
        <f>+D71+E72-D72</f>
        <v>232068.96551724136</v>
      </c>
      <c r="F71" s="14">
        <f>+E71+F72-E72</f>
        <v>214137.93103448278</v>
      </c>
      <c r="G71" s="59" t="s">
        <v>111</v>
      </c>
      <c r="H71" s="59" t="s">
        <v>111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  <c r="O71" t="s">
        <v>100</v>
      </c>
    </row>
    <row r="72" spans="1:15" ht="15.75" thickBot="1" x14ac:dyDescent="0.35">
      <c r="A72" s="5" t="s">
        <v>42</v>
      </c>
      <c r="B72" s="3">
        <f>+B8*[1]Fremskrivninger!N8</f>
        <v>100000</v>
      </c>
      <c r="C72" s="14">
        <f t="shared" ref="C72:E73" si="5">B72+(C$2-B$2)*($F72-$B72)/($F$2-$B$2)</f>
        <v>92827.586206896551</v>
      </c>
      <c r="D72" s="14">
        <f t="shared" si="5"/>
        <v>83862.068965517246</v>
      </c>
      <c r="E72" s="14">
        <f t="shared" si="5"/>
        <v>65931.034482758623</v>
      </c>
      <c r="F72" s="3">
        <f>+F8*[1]Fremskrivninger!P8</f>
        <v>48000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5" ht="15.75" thickBot="1" x14ac:dyDescent="0.35">
      <c r="A73" s="5" t="s">
        <v>137</v>
      </c>
      <c r="B73" s="3">
        <f>[1]Fremskrivninger!$N$12*B14</f>
        <v>90000</v>
      </c>
      <c r="C73" s="14">
        <f t="shared" si="5"/>
        <v>83793.103448275855</v>
      </c>
      <c r="D73" s="14">
        <f t="shared" si="5"/>
        <v>76034.482758620681</v>
      </c>
      <c r="E73" s="14">
        <f t="shared" si="5"/>
        <v>60517.241379310333</v>
      </c>
      <c r="F73" s="14">
        <f>[1]Fremskrivninger!$P$12*F14</f>
        <v>45000</v>
      </c>
      <c r="G73" s="3">
        <f>170*B14</f>
        <v>51000</v>
      </c>
      <c r="H73" s="3">
        <f>340*B14</f>
        <v>102000</v>
      </c>
      <c r="I73" s="14">
        <f>110*D14</f>
        <v>38120.689655172413</v>
      </c>
      <c r="J73" s="14">
        <f>220*D14</f>
        <v>76241.379310344826</v>
      </c>
      <c r="K73" s="3">
        <f>110*F14</f>
        <v>49500</v>
      </c>
      <c r="L73" s="3">
        <f>220*F14</f>
        <v>99000</v>
      </c>
      <c r="M73" s="3"/>
      <c r="N73" s="15">
        <v>4</v>
      </c>
      <c r="O73" t="s">
        <v>100</v>
      </c>
    </row>
    <row r="74" spans="1:15" ht="15.75" thickBot="1" x14ac:dyDescent="0.35">
      <c r="A74" s="5" t="s">
        <v>113</v>
      </c>
      <c r="B74" s="14">
        <f>'BEV L1'!B74</f>
        <v>6400</v>
      </c>
      <c r="C74" s="14">
        <f>'BEV L1'!C74</f>
        <v>6400</v>
      </c>
      <c r="D74" s="14">
        <f>'BEV L1'!D74</f>
        <v>6400</v>
      </c>
      <c r="E74" s="14">
        <f>'BEV L1'!E74</f>
        <v>6400</v>
      </c>
      <c r="F74" s="14">
        <f>'BEV L1'!F74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5" ht="15.75" thickBot="1" x14ac:dyDescent="0.35">
      <c r="A75" s="5" t="s">
        <v>112</v>
      </c>
      <c r="B75" s="13">
        <f>'BEV L1'!B75</f>
        <v>0.107</v>
      </c>
      <c r="C75" s="13">
        <f>'BEV L1'!C75</f>
        <v>0.107</v>
      </c>
      <c r="D75" s="13">
        <f>'BEV L1'!D75</f>
        <v>0.107</v>
      </c>
      <c r="E75" s="13">
        <f>'BEV L1'!E75</f>
        <v>0.107</v>
      </c>
      <c r="F75" s="13">
        <f>'BEV L1'!F75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C00-000000000000}"/>
    <hyperlink ref="N2" location="References!A1" display="Ref" xr:uid="{83E5DE27-017D-4983-9BA0-18FBBD9834FD}"/>
  </hyperlinks>
  <pageMargins left="0.7" right="0.7" top="0.75" bottom="0.75" header="0.3" footer="0.3"/>
  <pageSetup paperSize="9" scale="4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pageSetUpPr fitToPage="1"/>
  </sheetPr>
  <dimension ref="A1:N75"/>
  <sheetViews>
    <sheetView zoomScaleNormal="100" workbookViewId="0">
      <selection activeCell="A18" sqref="A18:A45"/>
    </sheetView>
  </sheetViews>
  <sheetFormatPr defaultRowHeight="15" x14ac:dyDescent="0.3"/>
  <cols>
    <col min="1" max="1" width="40.42578125" bestFit="1" customWidth="1"/>
    <col min="2" max="6" width="8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tr">
        <f>+'Diesel B2'!C1</f>
        <v>Coach &gt; 12 tons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48</v>
      </c>
      <c r="B4" s="3">
        <f>+'Diesel B2'!B4</f>
        <v>54</v>
      </c>
      <c r="C4" s="3">
        <f>+'Diesel B2'!C4</f>
        <v>54</v>
      </c>
      <c r="D4" s="3">
        <f>+'Diesel B2'!D4</f>
        <v>54</v>
      </c>
      <c r="E4" s="3">
        <f>+'Diesel B2'!E4</f>
        <v>54</v>
      </c>
      <c r="F4" s="3">
        <f>+'Diesel B2'!F4</f>
        <v>54</v>
      </c>
      <c r="G4" s="3">
        <f>+'Diesel B2'!G4</f>
        <v>24</v>
      </c>
      <c r="H4" s="3">
        <f>+'Diesel B2'!H4</f>
        <v>70</v>
      </c>
      <c r="I4" s="57" t="s">
        <v>111</v>
      </c>
      <c r="J4" s="57" t="s">
        <v>111</v>
      </c>
      <c r="K4" s="57" t="s">
        <v>111</v>
      </c>
      <c r="L4" s="57" t="s">
        <v>111</v>
      </c>
      <c r="M4" s="3"/>
      <c r="N4" s="3">
        <v>2</v>
      </c>
    </row>
    <row r="5" spans="1:14" ht="15.75" thickBot="1" x14ac:dyDescent="0.35">
      <c r="A5" s="5" t="s">
        <v>9</v>
      </c>
      <c r="B5" s="3">
        <v>13500</v>
      </c>
      <c r="C5" s="14">
        <f>B5+(C$2-B$2)*($F5-$B5)/($F$2-$B$2)</f>
        <v>13182.758620689656</v>
      </c>
      <c r="D5" s="14">
        <f>C5+(D$2-C$2)*($F5-$B5)/($F$2-$B$2)</f>
        <v>12786.206896551725</v>
      </c>
      <c r="E5" s="14">
        <f>D5+(E$2-D$2)*($F5-$B5)/($F$2-$B$2)</f>
        <v>11993.103448275862</v>
      </c>
      <c r="F5" s="3">
        <f>B5-2300</f>
        <v>11200</v>
      </c>
      <c r="G5" s="57" t="s">
        <v>111</v>
      </c>
      <c r="H5" s="57" t="s">
        <v>111</v>
      </c>
      <c r="I5" s="57" t="s">
        <v>111</v>
      </c>
      <c r="J5" s="57" t="s">
        <v>111</v>
      </c>
      <c r="K5" s="57" t="s">
        <v>111</v>
      </c>
      <c r="L5" s="57" t="s">
        <v>111</v>
      </c>
      <c r="M5" s="3"/>
      <c r="N5" s="3">
        <v>2</v>
      </c>
    </row>
    <row r="6" spans="1:14" ht="15.75" thickBot="1" x14ac:dyDescent="0.35">
      <c r="A6" s="5" t="s">
        <v>10</v>
      </c>
      <c r="B6" s="3">
        <v>18000</v>
      </c>
      <c r="C6" s="3">
        <v>18000</v>
      </c>
      <c r="D6" s="3">
        <v>18000</v>
      </c>
      <c r="E6" s="3">
        <v>18000</v>
      </c>
      <c r="F6" s="3">
        <v>18000</v>
      </c>
      <c r="G6" s="57" t="s">
        <v>111</v>
      </c>
      <c r="H6" s="57" t="s">
        <v>111</v>
      </c>
      <c r="I6" s="57" t="s">
        <v>111</v>
      </c>
      <c r="J6" s="57" t="s">
        <v>111</v>
      </c>
      <c r="K6" s="57" t="s">
        <v>111</v>
      </c>
      <c r="L6" s="57" t="s">
        <v>111</v>
      </c>
      <c r="M6" s="3"/>
      <c r="N6" s="3">
        <v>2</v>
      </c>
    </row>
    <row r="7" spans="1:14" ht="15.75" thickBot="1" x14ac:dyDescent="0.35">
      <c r="A7" s="5" t="s">
        <v>11</v>
      </c>
      <c r="B7" s="14">
        <f>+'Diesel B2'!B7</f>
        <v>17.3</v>
      </c>
      <c r="C7" s="14">
        <f>+'Diesel B2'!C7</f>
        <v>18.362068965517242</v>
      </c>
      <c r="D7" s="14">
        <f>+'Diesel B2'!D7</f>
        <v>19.689655172413794</v>
      </c>
      <c r="E7" s="14">
        <f>+'Diesel B2'!E7</f>
        <v>22.344827586206897</v>
      </c>
      <c r="F7" s="14">
        <f>+'Diesel B2'!F7</f>
        <v>25</v>
      </c>
      <c r="G7" s="57" t="s">
        <v>111</v>
      </c>
      <c r="H7" s="57" t="s">
        <v>111</v>
      </c>
      <c r="I7" s="57" t="s">
        <v>111</v>
      </c>
      <c r="J7" s="57" t="s">
        <v>111</v>
      </c>
      <c r="K7" s="57" t="s">
        <v>111</v>
      </c>
      <c r="L7" s="57" t="s">
        <v>111</v>
      </c>
      <c r="M7" s="3"/>
      <c r="N7" s="3">
        <v>2</v>
      </c>
    </row>
    <row r="8" spans="1:14" ht="15.75" thickBot="1" x14ac:dyDescent="0.35">
      <c r="A8" s="5" t="s">
        <v>46</v>
      </c>
      <c r="B8" s="3">
        <v>400</v>
      </c>
      <c r="C8" s="14">
        <f t="shared" ref="C8:E10" si="0">B8+(C$2-B$2)*($F8-$B8)/($F$2-$B$2)</f>
        <v>482.75862068965517</v>
      </c>
      <c r="D8" s="14">
        <f t="shared" si="0"/>
        <v>586.20689655172418</v>
      </c>
      <c r="E8" s="14">
        <f t="shared" si="0"/>
        <v>793.10344827586209</v>
      </c>
      <c r="F8" s="3">
        <v>1000</v>
      </c>
      <c r="G8" s="59" t="s">
        <v>111</v>
      </c>
      <c r="H8" s="59" t="s">
        <v>111</v>
      </c>
      <c r="I8" s="59" t="s">
        <v>111</v>
      </c>
      <c r="J8" s="59" t="s">
        <v>111</v>
      </c>
      <c r="K8" s="59" t="s">
        <v>111</v>
      </c>
      <c r="L8" s="59" t="s">
        <v>111</v>
      </c>
      <c r="M8" s="3"/>
      <c r="N8" s="3">
        <v>2</v>
      </c>
    </row>
    <row r="9" spans="1:14" ht="15.75" thickBot="1" x14ac:dyDescent="0.35">
      <c r="A9" s="5" t="s">
        <v>13</v>
      </c>
      <c r="B9" s="3">
        <f>[1]Fremskrivninger!$N$6*B8</f>
        <v>2440</v>
      </c>
      <c r="C9" s="14">
        <f t="shared" si="0"/>
        <v>2627.5862068965516</v>
      </c>
      <c r="D9" s="14">
        <f t="shared" si="0"/>
        <v>2862.0689655172414</v>
      </c>
      <c r="E9" s="14">
        <f t="shared" si="0"/>
        <v>3331.0344827586205</v>
      </c>
      <c r="F9" s="3">
        <f>[1]Fremskrivninger!$P$6*F8</f>
        <v>3800</v>
      </c>
      <c r="G9" s="14">
        <f>+C8/0.2</f>
        <v>2413.7931034482758</v>
      </c>
      <c r="H9" s="14">
        <f>+C8/0.14</f>
        <v>3448.2758620689651</v>
      </c>
      <c r="I9" s="14">
        <f>+D8/0.25</f>
        <v>2344.8275862068967</v>
      </c>
      <c r="J9" s="14">
        <f>+D8/0.2</f>
        <v>2931.0344827586209</v>
      </c>
      <c r="K9" s="3">
        <f>+F8/0.4</f>
        <v>2500</v>
      </c>
      <c r="L9" s="3">
        <f>+F8/0.2</f>
        <v>5000</v>
      </c>
      <c r="M9" s="3"/>
      <c r="N9" s="3">
        <v>2</v>
      </c>
    </row>
    <row r="10" spans="1:14" ht="15.75" thickBot="1" x14ac:dyDescent="0.35">
      <c r="A10" s="5" t="s">
        <v>105</v>
      </c>
      <c r="B10" s="3">
        <v>160</v>
      </c>
      <c r="C10" s="14">
        <f t="shared" si="0"/>
        <v>344.82758620689651</v>
      </c>
      <c r="D10" s="14">
        <f t="shared" si="0"/>
        <v>575.86206896551721</v>
      </c>
      <c r="E10" s="14">
        <f t="shared" si="0"/>
        <v>1037.9310344827586</v>
      </c>
      <c r="F10" s="3">
        <v>1500</v>
      </c>
      <c r="G10" s="57" t="s">
        <v>111</v>
      </c>
      <c r="H10" s="57" t="s">
        <v>111</v>
      </c>
      <c r="I10" s="57" t="s">
        <v>111</v>
      </c>
      <c r="J10" s="57" t="s">
        <v>111</v>
      </c>
      <c r="K10" s="57" t="s">
        <v>111</v>
      </c>
      <c r="L10" s="57" t="s">
        <v>111</v>
      </c>
      <c r="M10" s="3"/>
      <c r="N10" s="3">
        <v>2</v>
      </c>
    </row>
    <row r="11" spans="1:14" ht="15.75" thickBot="1" x14ac:dyDescent="0.35">
      <c r="A11" s="5" t="s">
        <v>143</v>
      </c>
      <c r="B11" s="14">
        <f>+B8*0.6/B10*60</f>
        <v>90</v>
      </c>
      <c r="C11" s="14">
        <f>+C8*0.6/C10*60</f>
        <v>50.400000000000006</v>
      </c>
      <c r="D11" s="14">
        <f>+D8*0.6/D10*60</f>
        <v>36.646706586826348</v>
      </c>
      <c r="E11" s="14">
        <f>+E8*0.6/E10*60</f>
        <v>27.50830564784053</v>
      </c>
      <c r="F11" s="14">
        <f>+F8*0.6/F10*60</f>
        <v>24</v>
      </c>
      <c r="G11" s="57" t="s">
        <v>111</v>
      </c>
      <c r="H11" s="57" t="s">
        <v>111</v>
      </c>
      <c r="I11" s="57" t="s">
        <v>111</v>
      </c>
      <c r="J11" s="57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f>+'Diesel B2'!B12</f>
        <v>3</v>
      </c>
      <c r="C12" s="3">
        <f>+'Diesel B2'!C12</f>
        <v>3</v>
      </c>
      <c r="D12" s="3">
        <f>+'Diesel B2'!D12</f>
        <v>3</v>
      </c>
      <c r="E12" s="3">
        <f>+'Diesel B2'!E12</f>
        <v>3</v>
      </c>
      <c r="F12" s="3">
        <f>+'Diesel B2'!F12</f>
        <v>3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f>+'Diesel B2'!B13</f>
        <v>3</v>
      </c>
      <c r="C13" s="3">
        <f>+'Diesel B2'!C13</f>
        <v>3</v>
      </c>
      <c r="D13" s="3">
        <f>+'Diesel B2'!D13</f>
        <v>3</v>
      </c>
      <c r="E13" s="3">
        <f>+'Diesel B2'!E13</f>
        <v>3</v>
      </c>
      <c r="F13" s="3">
        <f>+'Diesel B2'!F13</f>
        <v>3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250</v>
      </c>
      <c r="C14" s="14">
        <f>B14+(C$2-B$2)*($F14-$B14)/($F$2-$B$2)</f>
        <v>298.27586206896552</v>
      </c>
      <c r="D14" s="14">
        <f>C14+(D$2-C$2)*($F14-$B14)/($F$2-$B$2)</f>
        <v>358.62068965517244</v>
      </c>
      <c r="E14" s="14">
        <f>D14+(E$2-D$2)*($F14-$B14)/($F$2-$B$2)</f>
        <v>479.31034482758622</v>
      </c>
      <c r="F14" s="3">
        <v>600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f>+'Diesel B2'!B15</f>
        <v>12</v>
      </c>
      <c r="C15" s="3">
        <f>+'Diesel B2'!C15</f>
        <v>12</v>
      </c>
      <c r="D15" s="3">
        <f>+'Diesel B2'!D15</f>
        <v>12</v>
      </c>
      <c r="E15" s="3">
        <f>+'Diesel B2'!E15</f>
        <v>12</v>
      </c>
      <c r="F15" s="3">
        <f>+'Diesel B2'!F15</f>
        <v>12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">
        <f>+'Diesel B2'!B16</f>
        <v>12</v>
      </c>
      <c r="C16" s="3">
        <f>+'Diesel B2'!C16</f>
        <v>12</v>
      </c>
      <c r="D16" s="3">
        <f>+'Diesel B2'!D16</f>
        <v>12</v>
      </c>
      <c r="E16" s="3">
        <f>+'Diesel B2'!E16</f>
        <v>12</v>
      </c>
      <c r="F16" s="3">
        <f>+'Diesel B2'!F16</f>
        <v>12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149</v>
      </c>
      <c r="B19" s="19">
        <f>+Simulations!G86</f>
        <v>0.30731101919122067</v>
      </c>
      <c r="C19" s="27">
        <f t="shared" ref="C19:E21" si="1">B19+(C$2-B$2)*($F19-$B19)/($F$2-$B$2)</f>
        <v>0.31602595947271211</v>
      </c>
      <c r="D19" s="27">
        <f t="shared" si="1"/>
        <v>0.32691963482457648</v>
      </c>
      <c r="E19" s="27">
        <f t="shared" si="1"/>
        <v>0.34870698552830515</v>
      </c>
      <c r="F19" s="27">
        <f>+Simulations!G221</f>
        <v>0.37049433623203382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150</v>
      </c>
      <c r="B20" s="19">
        <f>+Simulations!G87</f>
        <v>0.64547345894961294</v>
      </c>
      <c r="C20" s="27">
        <f t="shared" si="1"/>
        <v>0.64829867933735985</v>
      </c>
      <c r="D20" s="27">
        <f t="shared" si="1"/>
        <v>0.65183020482204346</v>
      </c>
      <c r="E20" s="27">
        <f t="shared" si="1"/>
        <v>0.65889325579141067</v>
      </c>
      <c r="F20" s="27">
        <f>+Simulations!G222</f>
        <v>0.66595630676077788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151</v>
      </c>
      <c r="B21" s="19">
        <f>+Simulations!G88</f>
        <v>0.72382797736738158</v>
      </c>
      <c r="C21" s="27">
        <f t="shared" si="1"/>
        <v>0.7279998155829146</v>
      </c>
      <c r="D21" s="27">
        <f t="shared" si="1"/>
        <v>0.73321461335233085</v>
      </c>
      <c r="E21" s="27">
        <f t="shared" si="1"/>
        <v>0.74364420889116345</v>
      </c>
      <c r="F21" s="27">
        <f>+Simulations!G223</f>
        <v>0.75407380442999605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149</v>
      </c>
      <c r="B23" s="28">
        <f>+Simulations!E83</f>
        <v>3.6385272941155633</v>
      </c>
      <c r="C23" s="13">
        <f t="shared" ref="C23:E25" si="2">B23+(C$2-B$2)*($F23-$B23)/($F$2-$B$2)</f>
        <v>3.414044879609051</v>
      </c>
      <c r="D23" s="13">
        <f t="shared" si="2"/>
        <v>3.1334418614759105</v>
      </c>
      <c r="E23" s="13">
        <f t="shared" si="2"/>
        <v>2.5722358252096296</v>
      </c>
      <c r="F23" s="28">
        <f>+Simulations!E218</f>
        <v>2.0110297889433477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150</v>
      </c>
      <c r="B24" s="28">
        <f>+Simulations!E84</f>
        <v>2.9813044038400882</v>
      </c>
      <c r="C24" s="13">
        <f t="shared" si="2"/>
        <v>2.8268875715635051</v>
      </c>
      <c r="D24" s="13">
        <f t="shared" si="2"/>
        <v>2.6338665312177763</v>
      </c>
      <c r="E24" s="13">
        <f t="shared" si="2"/>
        <v>2.2478244505263185</v>
      </c>
      <c r="F24" s="28">
        <f>+Simulations!E219</f>
        <v>1.8617823698348606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151</v>
      </c>
      <c r="B25" s="28">
        <f>+Simulations!E85</f>
        <v>3.25859697380583</v>
      </c>
      <c r="C25" s="13">
        <f t="shared" si="2"/>
        <v>3.0871342880049935</v>
      </c>
      <c r="D25" s="13">
        <f t="shared" si="2"/>
        <v>2.8728059307539482</v>
      </c>
      <c r="E25" s="13">
        <f t="shared" si="2"/>
        <v>2.4441492162518572</v>
      </c>
      <c r="F25" s="28">
        <f>+Simulations!E220</f>
        <v>2.0154925017497662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149</v>
      </c>
      <c r="B27" s="28">
        <f>+Simulations!E89</f>
        <v>4.8710049848824424</v>
      </c>
      <c r="C27" s="13">
        <f t="shared" ref="C27:E29" si="3">B27+(C$2-B$2)*($F27-$B27)/($F$2-$B$2)</f>
        <v>4.6076649925268294</v>
      </c>
      <c r="D27" s="13">
        <f t="shared" si="3"/>
        <v>4.2784900020823136</v>
      </c>
      <c r="E27" s="13">
        <f t="shared" si="3"/>
        <v>3.6201400211932819</v>
      </c>
      <c r="F27" s="28">
        <f>+Simulations!E224</f>
        <v>2.9617900403042507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150</v>
      </c>
      <c r="B28" s="28">
        <f>+Simulations!E90</f>
        <v>3.3901477659974306</v>
      </c>
      <c r="C28" s="13">
        <f t="shared" si="3"/>
        <v>3.2436968202061269</v>
      </c>
      <c r="D28" s="13">
        <f t="shared" si="3"/>
        <v>3.0606331379669971</v>
      </c>
      <c r="E28" s="13">
        <f t="shared" si="3"/>
        <v>2.6945057734887379</v>
      </c>
      <c r="F28" s="28">
        <f>+Simulations!E225</f>
        <v>2.3283784090104787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151</v>
      </c>
      <c r="B29" s="28">
        <f>+Simulations!E91</f>
        <v>3.5347082872606137</v>
      </c>
      <c r="C29" s="13">
        <f t="shared" si="3"/>
        <v>3.371293602187952</v>
      </c>
      <c r="D29" s="13">
        <f t="shared" si="3"/>
        <v>3.1670252458471246</v>
      </c>
      <c r="E29" s="13">
        <f t="shared" si="3"/>
        <v>2.7584885331654698</v>
      </c>
      <c r="F29" s="28">
        <f>+Simulations!E226</f>
        <v>2.3499518204838155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149</v>
      </c>
      <c r="B31" s="28">
        <f>+Simulations!E86</f>
        <v>3.9612657612335327</v>
      </c>
      <c r="C31" s="13">
        <f t="shared" ref="C31:E33" si="4">B31+(C$2-B$2)*($F31-$B31)/($F$2-$B$2)</f>
        <v>3.7239896864486965</v>
      </c>
      <c r="D31" s="13">
        <f t="shared" si="4"/>
        <v>3.4273945929676515</v>
      </c>
      <c r="E31" s="13">
        <f t="shared" si="4"/>
        <v>2.8342044060055609</v>
      </c>
      <c r="F31" s="28">
        <f>+Simulations!E221</f>
        <v>2.2410142190434703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150</v>
      </c>
      <c r="B32" s="28">
        <f>+Simulations!E87</f>
        <v>3.0890598407751142</v>
      </c>
      <c r="C32" s="13">
        <f t="shared" si="4"/>
        <v>2.9359455354853026</v>
      </c>
      <c r="D32" s="13">
        <f t="shared" si="4"/>
        <v>2.744552653873038</v>
      </c>
      <c r="E32" s="13">
        <f t="shared" si="4"/>
        <v>2.3617668906485094</v>
      </c>
      <c r="F32" s="28">
        <f>+Simulations!E222</f>
        <v>1.9789811274239808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151</v>
      </c>
      <c r="B33" s="28">
        <f>+Simulations!E88</f>
        <v>3.3314423786236032</v>
      </c>
      <c r="C33" s="13">
        <f t="shared" si="4"/>
        <v>3.1615811042312916</v>
      </c>
      <c r="D33" s="13">
        <f t="shared" si="4"/>
        <v>2.9492545112409019</v>
      </c>
      <c r="E33" s="13">
        <f t="shared" si="4"/>
        <v>2.5246013252601225</v>
      </c>
      <c r="F33" s="28">
        <f>+Simulations!E223</f>
        <v>2.0999481392793431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149</v>
      </c>
      <c r="B35" s="14">
        <f>+B$8*[1]Fremskrivninger!$S$9/B23</f>
        <v>395.76451778411865</v>
      </c>
      <c r="C35" s="14">
        <f>+C$8*[1]Fremskrivninger!$S$9/C23</f>
        <v>509.05336507520445</v>
      </c>
      <c r="D35" s="14">
        <f>+D$8*[1]Fremskrivninger!$S$9/D23</f>
        <v>673.49097921101827</v>
      </c>
      <c r="E35" s="14">
        <f>+E$8*[1]Fremskrivninger!$S$9/E23</f>
        <v>1109.9963641787842</v>
      </c>
      <c r="F35" s="14">
        <f>+F$8*[1]Fremskrivninger!$S$9/F23</f>
        <v>1790.1276350021362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150</v>
      </c>
      <c r="B36" s="14">
        <f>+B$8*[1]Fremskrivninger!$S$9/B24</f>
        <v>483.01005363464355</v>
      </c>
      <c r="C36" s="14">
        <f>+C$8*[1]Fremskrivninger!$S$9/C24</f>
        <v>614.78604666316369</v>
      </c>
      <c r="D36" s="14">
        <f>+D$8*[1]Fremskrivninger!$S$9/D24</f>
        <v>801.23453583294622</v>
      </c>
      <c r="E36" s="14">
        <f>+E$8*[1]Fremskrivninger!$S$9/E24</f>
        <v>1270.1936813279958</v>
      </c>
      <c r="F36" s="14">
        <f>+F$8*[1]Fremskrivninger!$S$9/F24</f>
        <v>1933.6309432983398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151</v>
      </c>
      <c r="B37" s="14">
        <f>+B$8*[1]Fremskrivninger!$S$9/B25</f>
        <v>441.90797805786133</v>
      </c>
      <c r="C37" s="14">
        <f>+C$8*[1]Fremskrivninger!$S$9/C25</f>
        <v>562.95932484552407</v>
      </c>
      <c r="D37" s="14">
        <f>+D$8*[1]Fremskrivninger!$S$9/D25</f>
        <v>734.593591928558</v>
      </c>
      <c r="E37" s="14">
        <f>+E$8*[1]Fremskrivninger!$S$9/E25</f>
        <v>1168.1661638365752</v>
      </c>
      <c r="F37" s="14">
        <f>+F$8*[1]Fremskrivninger!$S$9/F25</f>
        <v>1786.1639261245728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149</v>
      </c>
      <c r="B39" s="14">
        <f>+B$8*[1]Fremskrivninger!$S$9/B27</f>
        <v>295.62687873840332</v>
      </c>
      <c r="C39" s="14">
        <f>+C$8*[1]Fremskrivninger!$S$9/C27</f>
        <v>377.18259406912364</v>
      </c>
      <c r="D39" s="14">
        <f>+D$8*[1]Fremskrivninger!$S$9/D27</f>
        <v>493.24523992322423</v>
      </c>
      <c r="E39" s="14">
        <f>+E$8*[1]Fremskrivninger!$S$9/E27</f>
        <v>788.69115478355798</v>
      </c>
      <c r="F39" s="14">
        <f>+F$8*[1]Fremskrivninger!$S$9/F27</f>
        <v>1215.481162071228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150</v>
      </c>
      <c r="B40" s="14">
        <f>+B$8*[1]Fremskrivninger!$S$9/B28</f>
        <v>424.76024627685547</v>
      </c>
      <c r="C40" s="14">
        <f>+C$8*[1]Fremskrivninger!$S$9/C28</f>
        <v>535.78713758221045</v>
      </c>
      <c r="D40" s="14">
        <f>+D$8*[1]Fremskrivninger!$S$9/D28</f>
        <v>689.51250687561594</v>
      </c>
      <c r="E40" s="14">
        <f>+E$8*[1]Fremskrivninger!$S$9/E28</f>
        <v>1059.6274989963526</v>
      </c>
      <c r="F40" s="14">
        <f>+F$8*[1]Fremskrivninger!$S$9/F28</f>
        <v>1546.1404323577881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151</v>
      </c>
      <c r="B41" s="14">
        <f>+B$8*[1]Fremskrivninger!$S$9/B29</f>
        <v>407.38863945007324</v>
      </c>
      <c r="C41" s="14">
        <f>+C$8*[1]Fremskrivninger!$S$9/C29</f>
        <v>515.50865618908131</v>
      </c>
      <c r="D41" s="14">
        <f>+D$8*[1]Fremskrivninger!$S$9/D29</f>
        <v>666.34922798720106</v>
      </c>
      <c r="E41" s="14">
        <f>+E$8*[1]Fremskrivninger!$S$9/E29</f>
        <v>1035.0495858384757</v>
      </c>
      <c r="F41" s="14">
        <f>+F$8*[1]Fremskrivninger!$S$9/F29</f>
        <v>1531.9463014602659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149</v>
      </c>
      <c r="B43" s="14">
        <f>+B$8*[1]Fremskrivninger!$S$9/B31</f>
        <v>363.52016925811762</v>
      </c>
      <c r="C43" s="14">
        <f>+C$8*[1]Fremskrivninger!$S$9/C31</f>
        <v>466.68524373387822</v>
      </c>
      <c r="D43" s="14">
        <f>+D$8*[1]Fremskrivninger!$S$9/D31</f>
        <v>615.72858634842487</v>
      </c>
      <c r="E43" s="14">
        <f>+E$8*[1]Fremskrivninger!$S$9/E31</f>
        <v>1007.398198853658</v>
      </c>
      <c r="F43" s="14">
        <f>+F$8*[1]Fremskrivninger!$S$9/F31</f>
        <v>1606.4155101776123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150</v>
      </c>
      <c r="B44" s="14">
        <f>+B$8*[1]Fremskrivninger!$S$9/B32</f>
        <v>466.16125106811523</v>
      </c>
      <c r="C44" s="14">
        <f>+C$8*[1]Fremskrivninger!$S$9/C32</f>
        <v>591.94934424949543</v>
      </c>
      <c r="D44" s="14">
        <f>+D$8*[1]Fremskrivninger!$S$9/D32</f>
        <v>768.92123917103424</v>
      </c>
      <c r="E44" s="14">
        <f>+E$8*[1]Fremskrivninger!$S$9/E32</f>
        <v>1208.9137268789095</v>
      </c>
      <c r="F44" s="14">
        <f>+F$8*[1]Fremskrivninger!$S$9/F32</f>
        <v>1819.1179037094116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151</v>
      </c>
      <c r="B45" s="14">
        <f>+B$8*[1]Fremskrivninger!$S$9/B33</f>
        <v>432.24520683288569</v>
      </c>
      <c r="C45" s="14">
        <f>+C$8*[1]Fremskrivninger!$S$9/C33</f>
        <v>549.70313181490246</v>
      </c>
      <c r="D45" s="14">
        <f>+D$8*[1]Fremskrivninger!$S$9/D33</f>
        <v>715.55195373704021</v>
      </c>
      <c r="E45" s="14">
        <f>+E$8*[1]Fremskrivninger!$S$9/E33</f>
        <v>1130.9399172160067</v>
      </c>
      <c r="F45" s="14">
        <f>+F$8*[1]Fremskrivninger!$S$9/F33</f>
        <v>1714.3280506134033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4" ht="15.75" thickBot="1" x14ac:dyDescent="0.35">
      <c r="A65" s="5" t="s">
        <v>54</v>
      </c>
      <c r="B65" s="14">
        <f>+'Diesel B2'!B65+'BEV B2'!B8*[1]Fremskrivninger!N11/1000</f>
        <v>109.5</v>
      </c>
      <c r="C65" s="14">
        <f>B65+(C$2-B$2)*($F65-$B65)/($F$2-$B$2)</f>
        <v>109.33591482947051</v>
      </c>
      <c r="D65" s="14">
        <f>C65+(D$2-C$2)*($F65-$B65)/($F$2-$B$2)</f>
        <v>109.13080836630864</v>
      </c>
      <c r="E65" s="14">
        <f>D65+(E$2-D$2)*($F65-$B65)/($F$2-$B$2)</f>
        <v>108.72059543998492</v>
      </c>
      <c r="F65" s="14">
        <f>+'Diesel B2'!F65+'BEV B2'!F8*[1]Fremskrivninger!P11/1000</f>
        <v>108.3103825136612</v>
      </c>
      <c r="G65" s="3"/>
      <c r="H65" s="3"/>
      <c r="I65" s="3"/>
      <c r="J65" s="3"/>
      <c r="K65" s="3"/>
      <c r="L65" s="3"/>
      <c r="M65" s="3"/>
      <c r="N65" s="3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f>'Diesel B2'!B67</f>
        <v>12</v>
      </c>
      <c r="C67" s="3">
        <f>'Diesel B2'!C67</f>
        <v>12</v>
      </c>
      <c r="D67" s="3">
        <f>'Diesel B2'!D67</f>
        <v>12</v>
      </c>
      <c r="E67" s="3">
        <f>'Diesel B2'!E67</f>
        <v>12</v>
      </c>
      <c r="F67" s="3">
        <f>'Diesel B2'!F67</f>
        <v>12</v>
      </c>
      <c r="G67" s="3">
        <f>'Diesel B2'!G67</f>
        <v>8.4</v>
      </c>
      <c r="H67" s="3">
        <f>'Diesel B2'!H67</f>
        <v>15.6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4" ht="15.75" thickBot="1" x14ac:dyDescent="0.35">
      <c r="A68" s="5" t="str">
        <f>'BEV L1'!A68</f>
        <v>Typical battery lifetime (years)</v>
      </c>
      <c r="B68" s="3">
        <f>+'BEV L1'!B68</f>
        <v>13.8</v>
      </c>
      <c r="C68" s="3">
        <f>+'BEV L1'!C68</f>
        <v>13.8</v>
      </c>
      <c r="D68" s="3">
        <f>+'BEV L1'!D68</f>
        <v>13.8</v>
      </c>
      <c r="E68" s="3">
        <f>+'BEV L1'!E68</f>
        <v>13.8</v>
      </c>
      <c r="F68" s="3">
        <f>+'BEV L1'!F68</f>
        <v>13.8</v>
      </c>
      <c r="G68" s="3">
        <f>+'BEV L1'!G68</f>
        <v>6.9</v>
      </c>
      <c r="H68" s="3">
        <f>+'BEV L1'!H68</f>
        <v>20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4" ht="15.75" thickBot="1" x14ac:dyDescent="0.35">
      <c r="A69" s="5" t="s">
        <v>39</v>
      </c>
      <c r="B69" s="3">
        <f>'Diesel B2'!B69</f>
        <v>1200000</v>
      </c>
      <c r="C69" s="3">
        <f>'Diesel B2'!C69</f>
        <v>1200000</v>
      </c>
      <c r="D69" s="3">
        <f>'Diesel B2'!D69</f>
        <v>1200000</v>
      </c>
      <c r="E69" s="3">
        <f>'Diesel B2'!E69</f>
        <v>1200000</v>
      </c>
      <c r="F69" s="3">
        <f>'Diesel B2'!F69</f>
        <v>1200000</v>
      </c>
      <c r="G69" s="3">
        <f>'Diesel B2'!G69</f>
        <v>800000</v>
      </c>
      <c r="H69" s="3">
        <f>'Diesel B2'!H69</f>
        <v>2000000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4" ht="15.75" thickBot="1" x14ac:dyDescent="0.35">
      <c r="A70" s="5" t="s">
        <v>40</v>
      </c>
      <c r="B70" s="14">
        <f>'Diesel B2'!B70</f>
        <v>171428.57142857142</v>
      </c>
      <c r="C70" s="14">
        <f>'Diesel B2'!C70</f>
        <v>171428.57142857142</v>
      </c>
      <c r="D70" s="14">
        <f>'Diesel B2'!D70</f>
        <v>171428.57142857142</v>
      </c>
      <c r="E70" s="14">
        <f>'Diesel B2'!E70</f>
        <v>171428.57142857142</v>
      </c>
      <c r="F70" s="14">
        <f>'Diesel B2'!F70</f>
        <v>171428.57142857142</v>
      </c>
      <c r="G70" s="3" t="str">
        <f>'Diesel B2'!G70</f>
        <v>no data</v>
      </c>
      <c r="H70" s="3" t="str">
        <f>'Diesel B2'!H70</f>
        <v>no data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4" ht="15.75" thickBot="1" x14ac:dyDescent="0.35">
      <c r="A71" s="5" t="s">
        <v>41</v>
      </c>
      <c r="B71" s="14">
        <f>+'Diesel B2'!B71-'Diesel B1'!B71+'BEV B1'!B71</f>
        <v>550500</v>
      </c>
      <c r="C71" s="14">
        <f>+'Diesel B2'!C71-'Diesel B1'!C71+'BEV B1'!C71</f>
        <v>457166.66666666669</v>
      </c>
      <c r="D71" s="14">
        <f>+'Diesel B2'!D71-'Diesel B1'!D71+'BEV B1'!D71</f>
        <v>340500</v>
      </c>
      <c r="E71" s="14">
        <f>+'Diesel B2'!E71-'Diesel B1'!E71+'BEV B1'!E71</f>
        <v>322568.96551724139</v>
      </c>
      <c r="F71" s="14">
        <f>+'Diesel B2'!F71-'Diesel B1'!F71+'BEV B1'!F71</f>
        <v>304637.93103448278</v>
      </c>
      <c r="G71" s="59" t="s">
        <v>111</v>
      </c>
      <c r="H71" s="59" t="s">
        <v>111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</row>
    <row r="72" spans="1:14" ht="15.75" thickBot="1" x14ac:dyDescent="0.35">
      <c r="A72" s="5" t="s">
        <v>42</v>
      </c>
      <c r="B72" s="3">
        <f>+B8*[1]Fremskrivninger!N8</f>
        <v>100000</v>
      </c>
      <c r="C72" s="14">
        <f t="shared" ref="C72:E73" si="5">B72+(C$2-B$2)*($F72-$B72)/($F$2-$B$2)</f>
        <v>94482.758620689652</v>
      </c>
      <c r="D72" s="14">
        <f t="shared" si="5"/>
        <v>87586.206896551725</v>
      </c>
      <c r="E72" s="14">
        <f t="shared" si="5"/>
        <v>73793.103448275855</v>
      </c>
      <c r="F72" s="3">
        <f>+F8*[1]Fremskrivninger!P8</f>
        <v>60000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4" ht="15.75" thickBot="1" x14ac:dyDescent="0.35">
      <c r="A73" s="5" t="s">
        <v>137</v>
      </c>
      <c r="B73" s="3">
        <f>[1]Fremskrivninger!$N$12*B14</f>
        <v>75000</v>
      </c>
      <c r="C73" s="14">
        <f t="shared" si="5"/>
        <v>72931.034482758623</v>
      </c>
      <c r="D73" s="14">
        <f t="shared" si="5"/>
        <v>70344.827586206899</v>
      </c>
      <c r="E73" s="14">
        <f t="shared" si="5"/>
        <v>65172.413793103449</v>
      </c>
      <c r="F73" s="14">
        <f>[1]Fremskrivninger!$P$12*F14</f>
        <v>60000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4" ht="15.75" thickBot="1" x14ac:dyDescent="0.35">
      <c r="A74" s="5" t="s">
        <v>113</v>
      </c>
      <c r="B74" s="14">
        <f>'BEV L1'!B74</f>
        <v>6400</v>
      </c>
      <c r="C74" s="14">
        <f>'BEV L1'!C74</f>
        <v>6400</v>
      </c>
      <c r="D74" s="14">
        <f>'BEV L1'!D74</f>
        <v>6400</v>
      </c>
      <c r="E74" s="14">
        <f>'BEV L1'!E74</f>
        <v>6400</v>
      </c>
      <c r="F74" s="14">
        <f>'BEV L1'!F74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4" ht="15.75" thickBot="1" x14ac:dyDescent="0.35">
      <c r="A75" s="5" t="s">
        <v>112</v>
      </c>
      <c r="B75" s="13">
        <f>'BEV L1'!B75</f>
        <v>0.107</v>
      </c>
      <c r="C75" s="13">
        <f>'BEV L1'!C75</f>
        <v>0.107</v>
      </c>
      <c r="D75" s="13">
        <f>'BEV L1'!D75</f>
        <v>0.107</v>
      </c>
      <c r="E75" s="13">
        <f>'BEV L1'!E75</f>
        <v>0.107</v>
      </c>
      <c r="F75" s="13">
        <f>'BEV L1'!F75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D00-000000000000}"/>
    <hyperlink ref="N2" location="References!A1" display="Ref" xr:uid="{9EBDE5EB-40E9-42F5-99CF-222496448C63}"/>
  </hyperlinks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O79"/>
  <sheetViews>
    <sheetView zoomScaleNormal="100" workbookViewId="0">
      <selection activeCell="A18" sqref="A18:A45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tr">
        <f>+'Diesel L1'!C1</f>
        <v>Rigid Solo Truck (N3) 3-axles max 26 tons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44</v>
      </c>
      <c r="B4" s="14">
        <f>+B6-B5</f>
        <v>18173</v>
      </c>
      <c r="C4" s="14">
        <f>+C6-C5</f>
        <v>18389.871724137931</v>
      </c>
      <c r="D4" s="14">
        <f>+D6-D5</f>
        <v>18660.961379310345</v>
      </c>
      <c r="E4" s="14">
        <f>+E6-E5</f>
        <v>19203.140689655171</v>
      </c>
      <c r="F4" s="14">
        <f>+F6-F5</f>
        <v>19745.32</v>
      </c>
      <c r="G4" s="57" t="s">
        <v>111</v>
      </c>
      <c r="H4" s="57" t="s">
        <v>111</v>
      </c>
      <c r="I4" s="57" t="s">
        <v>111</v>
      </c>
      <c r="J4" s="57" t="s">
        <v>111</v>
      </c>
      <c r="K4" s="57" t="s">
        <v>111</v>
      </c>
      <c r="L4" s="57" t="s">
        <v>111</v>
      </c>
      <c r="M4" s="3"/>
      <c r="N4" s="3">
        <v>2</v>
      </c>
    </row>
    <row r="5" spans="1:14" ht="15.75" thickBot="1" x14ac:dyDescent="0.35">
      <c r="A5" s="5" t="s">
        <v>9</v>
      </c>
      <c r="B5" s="3">
        <f>9795+32</f>
        <v>9827</v>
      </c>
      <c r="C5" s="14">
        <f t="shared" ref="C5:E6" si="0">B5+(C$2-B$2)*($F5-$B5)/($F$2-$B$2)</f>
        <v>9610.1282758620691</v>
      </c>
      <c r="D5" s="14">
        <f t="shared" si="0"/>
        <v>9339.0386206896546</v>
      </c>
      <c r="E5" s="14">
        <f t="shared" si="0"/>
        <v>8796.8593103448275</v>
      </c>
      <c r="F5" s="14">
        <f>+B5*[1]Fremskrivninger!B47</f>
        <v>8254.68</v>
      </c>
      <c r="G5" s="57" t="s">
        <v>111</v>
      </c>
      <c r="H5" s="57" t="s">
        <v>111</v>
      </c>
      <c r="I5" s="57" t="s">
        <v>111</v>
      </c>
      <c r="J5" s="57" t="s">
        <v>111</v>
      </c>
      <c r="K5" s="57" t="s">
        <v>111</v>
      </c>
      <c r="L5" s="57" t="s">
        <v>111</v>
      </c>
      <c r="M5" s="3"/>
      <c r="N5" s="3">
        <v>2</v>
      </c>
    </row>
    <row r="6" spans="1:14" ht="15.75" thickBot="1" x14ac:dyDescent="0.35">
      <c r="A6" s="5" t="s">
        <v>10</v>
      </c>
      <c r="B6" s="3">
        <f>+'BEV L1'!B6</f>
        <v>28000</v>
      </c>
      <c r="C6" s="14">
        <f t="shared" si="0"/>
        <v>28000</v>
      </c>
      <c r="D6" s="14">
        <f t="shared" si="0"/>
        <v>28000</v>
      </c>
      <c r="E6" s="14">
        <f t="shared" si="0"/>
        <v>28000</v>
      </c>
      <c r="F6" s="3">
        <f>+'BEV L1'!F6</f>
        <v>28000</v>
      </c>
      <c r="G6" s="57" t="s">
        <v>111</v>
      </c>
      <c r="H6" s="57" t="s">
        <v>111</v>
      </c>
      <c r="I6" s="57" t="s">
        <v>111</v>
      </c>
      <c r="J6" s="57" t="s">
        <v>111</v>
      </c>
      <c r="K6" s="57" t="s">
        <v>111</v>
      </c>
      <c r="L6" s="57" t="s">
        <v>111</v>
      </c>
      <c r="M6" s="3"/>
      <c r="N6" s="3">
        <v>2</v>
      </c>
    </row>
    <row r="7" spans="1:14" ht="15.75" thickBot="1" x14ac:dyDescent="0.35">
      <c r="A7" s="5" t="s">
        <v>11</v>
      </c>
      <c r="B7" s="14">
        <f>[1]Fremskrivninger!$P$3*B4</f>
        <v>10267.744999999999</v>
      </c>
      <c r="C7" s="14">
        <f>[1]Fremskrivninger!$P$3*C4</f>
        <v>10390.27752413793</v>
      </c>
      <c r="D7" s="14">
        <f>[1]Fremskrivninger!$P$3*D4</f>
        <v>10543.443179310345</v>
      </c>
      <c r="E7" s="14">
        <f>[1]Fremskrivninger!$P$3*E4</f>
        <v>10849.77448965517</v>
      </c>
      <c r="F7" s="14">
        <f>[1]Fremskrivninger!$P$3*F4</f>
        <v>11156.105799999999</v>
      </c>
      <c r="G7" s="57" t="s">
        <v>111</v>
      </c>
      <c r="H7" s="57" t="s">
        <v>111</v>
      </c>
      <c r="I7" s="57" t="s">
        <v>111</v>
      </c>
      <c r="J7" s="57" t="s">
        <v>111</v>
      </c>
      <c r="K7" s="57" t="s">
        <v>111</v>
      </c>
      <c r="L7" s="57" t="s">
        <v>111</v>
      </c>
      <c r="M7" s="3"/>
      <c r="N7" s="3">
        <v>2</v>
      </c>
    </row>
    <row r="8" spans="1:14" ht="15.75" thickBot="1" x14ac:dyDescent="0.35">
      <c r="A8" s="5" t="s">
        <v>142</v>
      </c>
      <c r="B8" s="3">
        <v>32</v>
      </c>
      <c r="C8" s="14">
        <f t="shared" ref="C8:E9" si="1">B8+(C$2-B$2)*($F8-$B8)/($F$2-$B$2)</f>
        <v>34.482758620689658</v>
      </c>
      <c r="D8" s="14">
        <f t="shared" si="1"/>
        <v>37.58620689655173</v>
      </c>
      <c r="E8" s="14">
        <f t="shared" si="1"/>
        <v>43.793103448275865</v>
      </c>
      <c r="F8" s="3">
        <v>50</v>
      </c>
      <c r="G8" s="59" t="s">
        <v>111</v>
      </c>
      <c r="H8" s="59" t="s">
        <v>111</v>
      </c>
      <c r="I8" s="59" t="s">
        <v>111</v>
      </c>
      <c r="J8" s="59" t="s">
        <v>111</v>
      </c>
      <c r="K8" s="57" t="s">
        <v>111</v>
      </c>
      <c r="L8" s="57" t="s">
        <v>111</v>
      </c>
      <c r="M8" s="3"/>
      <c r="N8" s="3">
        <v>2</v>
      </c>
    </row>
    <row r="9" spans="1:14" ht="15.75" thickBot="1" x14ac:dyDescent="0.35">
      <c r="A9" s="5" t="s">
        <v>13</v>
      </c>
      <c r="B9" s="14">
        <f>73.2*[1]Fremskrivninger!$N$6</f>
        <v>446.52</v>
      </c>
      <c r="C9" s="14">
        <f t="shared" si="1"/>
        <v>423.29793103448276</v>
      </c>
      <c r="D9" s="14">
        <f t="shared" si="1"/>
        <v>394.2703448275862</v>
      </c>
      <c r="E9" s="14">
        <f t="shared" si="1"/>
        <v>336.21517241379308</v>
      </c>
      <c r="F9" s="14">
        <f>73.2*[1]Fremskrivninger!$P$6</f>
        <v>278.16000000000003</v>
      </c>
      <c r="G9" s="59" t="s">
        <v>111</v>
      </c>
      <c r="H9" s="59" t="s">
        <v>111</v>
      </c>
      <c r="I9" s="59" t="s">
        <v>111</v>
      </c>
      <c r="J9" s="59" t="s">
        <v>111</v>
      </c>
      <c r="K9" s="57" t="s">
        <v>111</v>
      </c>
      <c r="L9" s="57" t="s">
        <v>111</v>
      </c>
      <c r="M9" s="3"/>
      <c r="N9" s="3">
        <v>2</v>
      </c>
    </row>
    <row r="10" spans="1:14" ht="15.75" thickBot="1" x14ac:dyDescent="0.35">
      <c r="A10" s="5" t="s">
        <v>105</v>
      </c>
      <c r="B10" s="14">
        <f>+B8*33.3/B11*60</f>
        <v>6393.5999999999995</v>
      </c>
      <c r="C10" s="14">
        <f>+C8*33.3/C11*60</f>
        <v>6889.6551724137935</v>
      </c>
      <c r="D10" s="14">
        <f>+D8*33.3/D11*60</f>
        <v>7509.7241379310353</v>
      </c>
      <c r="E10" s="14">
        <f>+E8*33.3/E11*60</f>
        <v>8749.8620689655181</v>
      </c>
      <c r="F10" s="14">
        <f>+F8*33.3/F11*60</f>
        <v>9989.9999999999982</v>
      </c>
      <c r="G10" s="59" t="s">
        <v>111</v>
      </c>
      <c r="H10" s="59" t="s">
        <v>111</v>
      </c>
      <c r="I10" s="59" t="s">
        <v>111</v>
      </c>
      <c r="J10" s="59" t="s">
        <v>111</v>
      </c>
      <c r="K10" s="57" t="s">
        <v>111</v>
      </c>
      <c r="L10" s="57" t="s">
        <v>111</v>
      </c>
      <c r="M10" s="3"/>
      <c r="N10" s="3">
        <v>2</v>
      </c>
    </row>
    <row r="11" spans="1:14" ht="15.75" thickBot="1" x14ac:dyDescent="0.35">
      <c r="A11" s="5" t="s">
        <v>134</v>
      </c>
      <c r="B11" s="3">
        <v>10</v>
      </c>
      <c r="C11" s="3">
        <v>10</v>
      </c>
      <c r="D11" s="3">
        <v>10</v>
      </c>
      <c r="E11" s="3">
        <v>10</v>
      </c>
      <c r="F11" s="3">
        <v>10</v>
      </c>
      <c r="G11" s="50">
        <v>6</v>
      </c>
      <c r="H11" s="50">
        <v>40</v>
      </c>
      <c r="I11" s="59" t="s">
        <v>111</v>
      </c>
      <c r="J11" s="59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59" t="s">
        <v>111</v>
      </c>
      <c r="H12" s="59" t="s">
        <v>111</v>
      </c>
      <c r="I12" s="59" t="s">
        <v>111</v>
      </c>
      <c r="J12" s="59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2</v>
      </c>
      <c r="C13" s="3">
        <v>3</v>
      </c>
      <c r="D13" s="3">
        <v>3</v>
      </c>
      <c r="E13" s="3">
        <v>3</v>
      </c>
      <c r="F13" s="3">
        <v>3</v>
      </c>
      <c r="G13" s="59" t="s">
        <v>111</v>
      </c>
      <c r="H13" s="59" t="s">
        <v>111</v>
      </c>
      <c r="I13" s="59" t="s">
        <v>111</v>
      </c>
      <c r="J13" s="59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350</v>
      </c>
      <c r="C14" s="14">
        <f>B14+(C$2-B$2)*($F14-$B14)/($F$2-$B$2)</f>
        <v>363.79310344827587</v>
      </c>
      <c r="D14" s="14">
        <f>C14+(D$2-C$2)*($F14-$B14)/($F$2-$B$2)</f>
        <v>381.0344827586207</v>
      </c>
      <c r="E14" s="14">
        <f>D14+(E$2-D$2)*($F14-$B14)/($F$2-$B$2)</f>
        <v>415.51724137931035</v>
      </c>
      <c r="F14" s="3">
        <v>450</v>
      </c>
      <c r="G14" s="50">
        <v>208</v>
      </c>
      <c r="H14" s="50">
        <v>754</v>
      </c>
      <c r="I14" s="59" t="s">
        <v>111</v>
      </c>
      <c r="J14" s="59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f>+'Diesel L1'!B15</f>
        <v>12</v>
      </c>
      <c r="C15" s="3">
        <f>+'Diesel L1'!C15</f>
        <v>12</v>
      </c>
      <c r="D15" s="3">
        <f>+'Diesel L1'!D15</f>
        <v>12</v>
      </c>
      <c r="E15" s="3">
        <f>+'Diesel L1'!E15</f>
        <v>12</v>
      </c>
      <c r="F15" s="3">
        <f>+'Diesel L1'!F15</f>
        <v>12</v>
      </c>
      <c r="G15" s="59" t="s">
        <v>111</v>
      </c>
      <c r="H15" s="59" t="s">
        <v>111</v>
      </c>
      <c r="I15" s="59" t="s">
        <v>111</v>
      </c>
      <c r="J15" s="59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13">
        <v>9.7449999999999992</v>
      </c>
      <c r="C16" s="14">
        <f>B16+(C$2-B$2)*($F16-$B16)/($F$2-$B$2)</f>
        <v>10.056034482758619</v>
      </c>
      <c r="D16" s="14">
        <f>C16+(D$2-C$2)*($F16-$B16)/($F$2-$B$2)</f>
        <v>10.444827586206895</v>
      </c>
      <c r="E16" s="14">
        <f>D16+(E$2-D$2)*($F16-$B16)/($F$2-$B$2)</f>
        <v>11.222413793103447</v>
      </c>
      <c r="F16" s="3">
        <v>12</v>
      </c>
      <c r="G16" s="59" t="s">
        <v>111</v>
      </c>
      <c r="H16" s="59" t="s">
        <v>111</v>
      </c>
      <c r="I16" s="59" t="s">
        <v>111</v>
      </c>
      <c r="J16" s="59" t="s">
        <v>111</v>
      </c>
      <c r="K16" s="59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146</v>
      </c>
      <c r="B19" s="19">
        <f>+Simulations!G95</f>
        <v>0.23860421836431028</v>
      </c>
      <c r="C19" s="27">
        <f t="shared" ref="C19:E21" si="2">B19+(C$2-B$2)*($F19-$B19)/($F$2-$B$2)</f>
        <v>0.24078813013580413</v>
      </c>
      <c r="D19" s="27">
        <f t="shared" si="2"/>
        <v>0.24351801985017146</v>
      </c>
      <c r="E19" s="27">
        <f t="shared" si="2"/>
        <v>0.24897779927890612</v>
      </c>
      <c r="F19" s="19">
        <f>+Simulations!G230</f>
        <v>0.25443757870764078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147</v>
      </c>
      <c r="B20" s="19">
        <f>+Simulations!G96</f>
        <v>0.34972488837861759</v>
      </c>
      <c r="C20" s="27">
        <f t="shared" si="2"/>
        <v>0.35216235294318826</v>
      </c>
      <c r="D20" s="27">
        <f t="shared" si="2"/>
        <v>0.35520918364890158</v>
      </c>
      <c r="E20" s="27">
        <f t="shared" si="2"/>
        <v>0.36130284506032817</v>
      </c>
      <c r="F20" s="19">
        <f>+Simulations!G231</f>
        <v>0.36739650647175476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148</v>
      </c>
      <c r="B21" s="19">
        <f>+Simulations!G97</f>
        <v>0.41808429347292636</v>
      </c>
      <c r="C21" s="27">
        <f t="shared" si="2"/>
        <v>0.42246887637168212</v>
      </c>
      <c r="D21" s="27">
        <f t="shared" si="2"/>
        <v>0.4279496049951268</v>
      </c>
      <c r="E21" s="27">
        <f t="shared" si="2"/>
        <v>0.43891106224201615</v>
      </c>
      <c r="F21" s="19">
        <f>+Simulations!G232</f>
        <v>0.44987251948890555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146</v>
      </c>
      <c r="B23" s="28">
        <f>+Simulations!E92</f>
        <v>4.0157504829055313</v>
      </c>
      <c r="C23" s="13">
        <f t="shared" ref="C23:E25" si="3">B23+(C$2-B$2)*($F23-$B23)/($F$2-$B$2)</f>
        <v>3.8535982572249825</v>
      </c>
      <c r="D23" s="13">
        <f t="shared" si="3"/>
        <v>3.6509079751242965</v>
      </c>
      <c r="E23" s="13">
        <f t="shared" si="3"/>
        <v>3.2455274109229246</v>
      </c>
      <c r="F23" s="28">
        <f>+Simulations!E227</f>
        <v>2.8401468467215527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147</v>
      </c>
      <c r="B24" s="28">
        <f>+Simulations!E93</f>
        <v>4.8982906152962338</v>
      </c>
      <c r="C24" s="13">
        <f t="shared" si="3"/>
        <v>4.6917151421627397</v>
      </c>
      <c r="D24" s="13">
        <f t="shared" si="3"/>
        <v>4.433495800745872</v>
      </c>
      <c r="E24" s="13">
        <f t="shared" si="3"/>
        <v>3.9170571179121372</v>
      </c>
      <c r="F24" s="28">
        <f>+Simulations!E228</f>
        <v>3.4006184350784028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148</v>
      </c>
      <c r="B25" s="28">
        <f>+Simulations!E94</f>
        <v>5.4963602926901585</v>
      </c>
      <c r="C25" s="13">
        <f t="shared" si="3"/>
        <v>5.2618171260333444</v>
      </c>
      <c r="D25" s="13">
        <f t="shared" si="3"/>
        <v>4.9686381677123261</v>
      </c>
      <c r="E25" s="13">
        <f t="shared" si="3"/>
        <v>4.3822802510702896</v>
      </c>
      <c r="F25" s="28">
        <f>+Simulations!E229</f>
        <v>3.7959223344282536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146</v>
      </c>
      <c r="B27" s="28">
        <f>+Simulations!E98</f>
        <v>9.2410449217728523</v>
      </c>
      <c r="C27" s="13">
        <f t="shared" ref="C27:E29" si="4">B27+(C$2-B$2)*($F27-$B27)/($F$2-$B$2)</f>
        <v>8.8841860686229914</v>
      </c>
      <c r="D27" s="13">
        <f t="shared" si="4"/>
        <v>8.4381125021856658</v>
      </c>
      <c r="E27" s="13">
        <f t="shared" si="4"/>
        <v>7.5459653693110127</v>
      </c>
      <c r="F27" s="28">
        <f>+Simulations!E233</f>
        <v>6.6538182364363596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147</v>
      </c>
      <c r="B28" s="28">
        <f>+Simulations!E99</f>
        <v>8.1232522554639868</v>
      </c>
      <c r="C28" s="13">
        <f t="shared" si="4"/>
        <v>7.8503655646125869</v>
      </c>
      <c r="D28" s="13">
        <f t="shared" si="4"/>
        <v>7.5092572010483378</v>
      </c>
      <c r="E28" s="13">
        <f t="shared" si="4"/>
        <v>6.8270404739198387</v>
      </c>
      <c r="F28" s="28">
        <f>+Simulations!E234</f>
        <v>6.1448237467913396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148</v>
      </c>
      <c r="B29" s="28">
        <f>+Simulations!E100</f>
        <v>7.5652743524816239</v>
      </c>
      <c r="C29" s="13">
        <f t="shared" si="4"/>
        <v>7.2934576819803079</v>
      </c>
      <c r="D29" s="13">
        <f t="shared" si="4"/>
        <v>6.9536868438536628</v>
      </c>
      <c r="E29" s="13">
        <f t="shared" si="4"/>
        <v>6.2741451676003726</v>
      </c>
      <c r="F29" s="28">
        <f>+Simulations!E235</f>
        <v>5.5946034913470823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146</v>
      </c>
      <c r="B31" s="28">
        <f>+Simulations!E95</f>
        <v>6.8481271098929906</v>
      </c>
      <c r="C31" s="13">
        <f t="shared" ref="C31:E33" si="5">B31+(C$2-B$2)*($F31-$B31)/($F$2-$B$2)</f>
        <v>6.5931537309940227</v>
      </c>
      <c r="D31" s="13">
        <f t="shared" si="5"/>
        <v>6.2744370073703122</v>
      </c>
      <c r="E31" s="13">
        <f t="shared" si="5"/>
        <v>5.6370035601228921</v>
      </c>
      <c r="F31" s="28">
        <f>+Simulations!E230</f>
        <v>4.999570112875471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147</v>
      </c>
      <c r="B32" s="28">
        <f>+Simulations!E96</f>
        <v>6.6515564869677988</v>
      </c>
      <c r="C32" s="13">
        <f t="shared" si="5"/>
        <v>6.4109242709549452</v>
      </c>
      <c r="D32" s="13">
        <f t="shared" si="5"/>
        <v>6.1101340009388787</v>
      </c>
      <c r="E32" s="13">
        <f t="shared" si="5"/>
        <v>5.5085534609067457</v>
      </c>
      <c r="F32" s="28">
        <f>+Simulations!E231</f>
        <v>4.9069729208746127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8">
        <f>+Simulations!E97</f>
        <v>6.6198528581823011</v>
      </c>
      <c r="C33" s="13">
        <f t="shared" si="5"/>
        <v>6.3642099843074327</v>
      </c>
      <c r="D33" s="13">
        <f t="shared" si="5"/>
        <v>6.044656391963847</v>
      </c>
      <c r="E33" s="13">
        <f t="shared" si="5"/>
        <v>5.4055492072766747</v>
      </c>
      <c r="F33" s="28">
        <f>+Simulations!E232</f>
        <v>4.7664420225895023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+B$8*[1]Fremskrivninger!$S$5/B23</f>
        <v>955.27847567471576</v>
      </c>
      <c r="C35" s="14">
        <f>+C$8*[1]Fremskrivninger!$S$5/C23</f>
        <v>1072.7099265466934</v>
      </c>
      <c r="D35" s="14">
        <f>+D$8*[1]Fremskrivninger!$S$5/D23</f>
        <v>1234.16818869701</v>
      </c>
      <c r="E35" s="14">
        <f>+E$8*[1]Fremskrivninger!$S$5/E23</f>
        <v>1617.5852416807661</v>
      </c>
      <c r="F35" s="14">
        <f>+F$8*[1]Fremskrivninger!$S$5/F23</f>
        <v>2110.4542558843436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+B$8*[1]Fremskrivninger!$S$5/B24</f>
        <v>783.16300548206664</v>
      </c>
      <c r="C36" s="14">
        <f>+C$8*[1]Fremskrivninger!$S$5/C24</f>
        <v>881.08356500576497</v>
      </c>
      <c r="D36" s="14">
        <f>+D$8*[1]Fremskrivninger!$S$5/D24</f>
        <v>1016.3163979991996</v>
      </c>
      <c r="E36" s="14">
        <f>+E$8*[1]Fremskrivninger!$S$5/E24</f>
        <v>1340.2707908884443</v>
      </c>
      <c r="F36" s="14">
        <f>+F$8*[1]Fremskrivninger!$S$5/F24</f>
        <v>1762.62056870894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+B$8*[1]Fremskrivninger!$S$5/B25</f>
        <v>697.9455122514205</v>
      </c>
      <c r="C37" s="14">
        <f>+C$8*[1]Fremskrivninger!$S$5/C25</f>
        <v>785.62082345962551</v>
      </c>
      <c r="D37" s="14">
        <f>+D$8*[1]Fremskrivninger!$S$5/D25</f>
        <v>906.85502358349629</v>
      </c>
      <c r="E37" s="14">
        <f>+E$8*[1]Fremskrivninger!$S$5/E25</f>
        <v>1197.9875636883598</v>
      </c>
      <c r="F37" s="14">
        <f>+F$8*[1]Fremskrivninger!$S$5/F25</f>
        <v>1579.0628658641467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+B$8*[1]Fremskrivninger!$S$5/B27</f>
        <v>415.12188637473372</v>
      </c>
      <c r="C39" s="14">
        <f>+C$8*[1]Fremskrivninger!$S$5/C27</f>
        <v>465.29789803119189</v>
      </c>
      <c r="D39" s="14">
        <f>+D$8*[1]Fremskrivninger!$S$5/D27</f>
        <v>533.98606401508709</v>
      </c>
      <c r="E39" s="14">
        <f>+E$8*[1]Fremskrivninger!$S$5/E27</f>
        <v>695.72506424829464</v>
      </c>
      <c r="F39" s="14">
        <f>+F$8*[1]Fremskrivninger!$S$5/F27</f>
        <v>900.8361495624888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+B$8*[1]Fremskrivninger!$S$5/B28</f>
        <v>472.24435230601915</v>
      </c>
      <c r="C40" s="14">
        <f>+C$8*[1]Fremskrivninger!$S$5/C28</f>
        <v>526.57332571649204</v>
      </c>
      <c r="D40" s="14">
        <f>+D$8*[1]Fremskrivninger!$S$5/D28</f>
        <v>600.03730890048348</v>
      </c>
      <c r="E40" s="14">
        <f>+E$8*[1]Fremskrivninger!$S$5/E28</f>
        <v>768.98873844891659</v>
      </c>
      <c r="F40" s="14">
        <f>+F$8*[1]Fremskrivninger!$S$5/F28</f>
        <v>975.45515493913138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+B$8*[1]Fremskrivninger!$S$5/B29</f>
        <v>507.07480274547225</v>
      </c>
      <c r="C41" s="14">
        <f>+C$8*[1]Fremskrivninger!$S$5/C29</f>
        <v>566.78098148995844</v>
      </c>
      <c r="D41" s="14">
        <f>+D$8*[1]Fremskrivninger!$S$5/D29</f>
        <v>647.97776833181831</v>
      </c>
      <c r="E41" s="14">
        <f>+E$8*[1]Fremskrivninger!$S$5/E29</f>
        <v>836.75418740545479</v>
      </c>
      <c r="F41" s="14">
        <f>+F$8*[1]Fremskrivninger!$S$5/F29</f>
        <v>1071.389600580389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+B$8*[1]Fremskrivninger!$S$5/B31</f>
        <v>560.17651811079543</v>
      </c>
      <c r="C43" s="14">
        <f>+C$8*[1]Fremskrivninger!$S$5/C31</f>
        <v>626.98266597600502</v>
      </c>
      <c r="D43" s="14">
        <f>+D$8*[1]Fremskrivninger!$S$5/D31</f>
        <v>718.12570234840371</v>
      </c>
      <c r="E43" s="14">
        <f>+E$8*[1]Fremskrivninger!$S$5/E31</f>
        <v>931.3311913652326</v>
      </c>
      <c r="F43" s="14">
        <f>+F$8*[1]Fremskrivninger!$S$5/F31</f>
        <v>1198.9030785994096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+B$8*[1]Fremskrivninger!$S$5/B32</f>
        <v>576.73117675781248</v>
      </c>
      <c r="C44" s="14">
        <f>+C$8*[1]Fremskrivninger!$S$5/C32</f>
        <v>644.80454435823856</v>
      </c>
      <c r="D44" s="14">
        <f>+D$8*[1]Fremskrivninger!$S$5/D32</f>
        <v>737.43627914973035</v>
      </c>
      <c r="E44" s="14">
        <f>+E$8*[1]Fremskrivninger!$S$5/E32</f>
        <v>953.04825098586548</v>
      </c>
      <c r="F44" s="14">
        <f>+F$8*[1]Fremskrivninger!$S$5/F32</f>
        <v>1221.52701811357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+B$8*[1]Fremskrivninger!$S$5/B33</f>
        <v>579.49324285333796</v>
      </c>
      <c r="C45" s="14">
        <f>+C$8*[1]Fremskrivninger!$S$5/C33</f>
        <v>649.53750954811164</v>
      </c>
      <c r="D45" s="14">
        <f>+D$8*[1]Fremskrivninger!$S$5/D33</f>
        <v>745.42441961613667</v>
      </c>
      <c r="E45" s="14">
        <f>+E$8*[1]Fremskrivninger!$S$5/E33</f>
        <v>971.2088522498583</v>
      </c>
      <c r="F45" s="14">
        <f>+F$8*[1]Fremskrivninger!$S$5/F33</f>
        <v>1257.5417830727315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5" ht="15.75" thickBot="1" x14ac:dyDescent="0.35">
      <c r="A65" s="5" t="s">
        <v>54</v>
      </c>
      <c r="B65" s="32">
        <f>'Diesel L1'!B65+73.2*[1]Fremskrivninger!N11/1000</f>
        <v>31.481999999999999</v>
      </c>
      <c r="C65" s="32">
        <f>B65+(C$2-B$2)*($F65-$B65)/($F$2-$B$2)</f>
        <v>31.25358620689655</v>
      </c>
      <c r="D65" s="32">
        <f>C65+(D$2-C$2)*($F65-$B65)/($F$2-$B$2)</f>
        <v>30.96806896551724</v>
      </c>
      <c r="E65" s="32">
        <f>D65+(E$2-D$2)*($F65-$B65)/($F$2-$B$2)</f>
        <v>30.39703448275862</v>
      </c>
      <c r="F65" s="32">
        <f>'Diesel L1'!F65+73.2*[1]Fremskrivninger!P11/1000</f>
        <v>29.826000000000001</v>
      </c>
      <c r="G65" s="59" t="s">
        <v>111</v>
      </c>
      <c r="H65" s="59" t="s">
        <v>111</v>
      </c>
      <c r="I65" s="59" t="s">
        <v>111</v>
      </c>
      <c r="J65" s="59" t="s">
        <v>111</v>
      </c>
      <c r="K65" s="59" t="s">
        <v>111</v>
      </c>
      <c r="L65" s="59" t="s">
        <v>111</v>
      </c>
      <c r="M65" s="3"/>
      <c r="N65" s="3">
        <v>3</v>
      </c>
    </row>
    <row r="66" spans="1:15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5" ht="15.75" thickBot="1" x14ac:dyDescent="0.35">
      <c r="A67" s="5" t="s">
        <v>37</v>
      </c>
      <c r="B67" s="3">
        <f>'BEV L1'!B67</f>
        <v>13.8</v>
      </c>
      <c r="C67" s="3">
        <f>'BEV L1'!C67</f>
        <v>13.8</v>
      </c>
      <c r="D67" s="3">
        <f>'BEV L1'!D67</f>
        <v>13.8</v>
      </c>
      <c r="E67" s="3">
        <f>'BEV L1'!E67</f>
        <v>13.8</v>
      </c>
      <c r="F67" s="3">
        <f>'BEV L1'!F67</f>
        <v>13.8</v>
      </c>
      <c r="G67" s="3">
        <f>'BEV L1'!G67</f>
        <v>7</v>
      </c>
      <c r="H67" s="3">
        <f>'BEV L1'!H67</f>
        <v>20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5" ht="15.75" thickBot="1" x14ac:dyDescent="0.35">
      <c r="A68" s="5" t="s">
        <v>117</v>
      </c>
      <c r="B68" s="32">
        <f>20000/45/52</f>
        <v>8.5470085470085468</v>
      </c>
      <c r="C68" s="32">
        <f>B68+(C$2-B$2)*($F68-$B68)/($F$2-$B$2)</f>
        <v>9.1364574123194817</v>
      </c>
      <c r="D68" s="32">
        <f>C68+(D$2-C$2)*($F68-$B68)/($F$2-$B$2)</f>
        <v>9.8732684939581503</v>
      </c>
      <c r="E68" s="32">
        <f>D68+(E$2-D$2)*($F68-$B68)/($F$2-$B$2)</f>
        <v>11.346890657235486</v>
      </c>
      <c r="F68" s="32">
        <f>30000/45/52</f>
        <v>12.820512820512819</v>
      </c>
      <c r="G68" s="32">
        <f>5000/45/52</f>
        <v>2.1367521367521367</v>
      </c>
      <c r="H68" s="3">
        <v>13</v>
      </c>
      <c r="I68" s="59" t="s">
        <v>111</v>
      </c>
      <c r="J68" s="59" t="s">
        <v>111</v>
      </c>
      <c r="K68" s="59" t="s">
        <v>111</v>
      </c>
      <c r="L68" s="3">
        <v>16</v>
      </c>
      <c r="M68" s="3"/>
      <c r="N68" s="15">
        <v>4</v>
      </c>
    </row>
    <row r="69" spans="1:15" ht="15.75" thickBot="1" x14ac:dyDescent="0.35">
      <c r="A69" s="5" t="s">
        <v>39</v>
      </c>
      <c r="B69" s="3">
        <f>'Diesel L1'!B69</f>
        <v>469562</v>
      </c>
      <c r="C69" s="3">
        <f>'Diesel L1'!C69</f>
        <v>469562</v>
      </c>
      <c r="D69" s="3">
        <f>'Diesel L1'!D69</f>
        <v>469562</v>
      </c>
      <c r="E69" s="3">
        <f>'Diesel L1'!E69</f>
        <v>469562</v>
      </c>
      <c r="F69" s="3">
        <f>'Diesel L1'!F69</f>
        <v>469562</v>
      </c>
      <c r="G69" s="3">
        <f>'Diesel L1'!G69</f>
        <v>400000</v>
      </c>
      <c r="H69" s="3">
        <f>'Diesel L1'!H69</f>
        <v>1500000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5" ht="15.75" thickBot="1" x14ac:dyDescent="0.35">
      <c r="A70" s="5" t="s">
        <v>40</v>
      </c>
      <c r="B70" s="14">
        <f>'Diesel L1'!B70</f>
        <v>67080.28571428571</v>
      </c>
      <c r="C70" s="14">
        <f>'Diesel L1'!C70</f>
        <v>67080.28571428571</v>
      </c>
      <c r="D70" s="14">
        <f>'Diesel L1'!D70</f>
        <v>67080.28571428571</v>
      </c>
      <c r="E70" s="14">
        <f>'Diesel L1'!E70</f>
        <v>67080.28571428571</v>
      </c>
      <c r="F70" s="14">
        <f>'Diesel L1'!F70</f>
        <v>67080.28571428571</v>
      </c>
      <c r="G70" s="59" t="s">
        <v>111</v>
      </c>
      <c r="H70" s="59" t="s">
        <v>111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5" ht="15.75" thickBot="1" x14ac:dyDescent="0.35">
      <c r="A71" s="5" t="s">
        <v>41</v>
      </c>
      <c r="B71" s="3">
        <v>330000</v>
      </c>
      <c r="C71" s="14">
        <f>+B71-B72-B73+C72+C73</f>
        <v>311178.20689655171</v>
      </c>
      <c r="D71" s="14">
        <f t="shared" ref="D71:F71" si="6">+C71-C72-C73+D72+D73</f>
        <v>287650.96551724139</v>
      </c>
      <c r="E71" s="14">
        <f t="shared" si="6"/>
        <v>240596.4827586207</v>
      </c>
      <c r="F71" s="14">
        <f t="shared" si="6"/>
        <v>193542</v>
      </c>
      <c r="G71" s="59" t="s">
        <v>111</v>
      </c>
      <c r="H71" s="59" t="s">
        <v>111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</row>
    <row r="72" spans="1:15" ht="15.75" thickBot="1" x14ac:dyDescent="0.35">
      <c r="A72" s="5" t="s">
        <v>42</v>
      </c>
      <c r="B72" s="3">
        <f>[1]Fremskrivninger!N10*B8+190*[1]Fremskrivninger!N9+73.2*[1]Fremskrivninger!N8</f>
        <v>124850</v>
      </c>
      <c r="C72" s="14">
        <f t="shared" ref="C72:E73" si="7">B72+(C$2-B$2)*($F72-$B72)/($F$2-$B$2)</f>
        <v>114304.06896551725</v>
      </c>
      <c r="D72" s="14">
        <f t="shared" si="7"/>
        <v>101121.6551724138</v>
      </c>
      <c r="E72" s="14">
        <f t="shared" si="7"/>
        <v>74756.827586206899</v>
      </c>
      <c r="F72" s="3">
        <f>[1]Fremskrivninger!P10*F8+190*[1]Fremskrivninger!P9+73.2*[1]Fremskrivninger!P8</f>
        <v>48392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  <c r="O72" s="17"/>
    </row>
    <row r="73" spans="1:15" ht="15.75" thickBot="1" x14ac:dyDescent="0.35">
      <c r="A73" s="5" t="s">
        <v>137</v>
      </c>
      <c r="B73" s="3">
        <f>[1]Fremskrivninger!$N$12*B14</f>
        <v>105000</v>
      </c>
      <c r="C73" s="14">
        <f t="shared" si="7"/>
        <v>96724.137931034478</v>
      </c>
      <c r="D73" s="14">
        <f t="shared" si="7"/>
        <v>86379.31034482758</v>
      </c>
      <c r="E73" s="14">
        <f t="shared" si="7"/>
        <v>65689.655172413783</v>
      </c>
      <c r="F73" s="14">
        <f>[1]Fremskrivninger!$P$12*F14</f>
        <v>45000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5" ht="15.75" thickBot="1" x14ac:dyDescent="0.35">
      <c r="A74" s="5" t="s">
        <v>113</v>
      </c>
      <c r="B74" s="14">
        <f>'BEV L1'!B74</f>
        <v>6400</v>
      </c>
      <c r="C74" s="14">
        <f>'BEV L1'!C74</f>
        <v>6400</v>
      </c>
      <c r="D74" s="14">
        <f>'BEV L1'!D74</f>
        <v>6400</v>
      </c>
      <c r="E74" s="14">
        <f>'BEV L1'!E74</f>
        <v>6400</v>
      </c>
      <c r="F74" s="14">
        <f>'BEV L1'!F74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5" ht="15.75" thickBot="1" x14ac:dyDescent="0.35">
      <c r="A75" s="5" t="s">
        <v>112</v>
      </c>
      <c r="B75" s="13">
        <f>'BEV L1'!B75</f>
        <v>0.107</v>
      </c>
      <c r="C75" s="13">
        <f>'BEV L1'!C75</f>
        <v>0.107</v>
      </c>
      <c r="D75" s="13">
        <f>'BEV L1'!D75</f>
        <v>0.107</v>
      </c>
      <c r="E75" s="13">
        <f>'BEV L1'!E75</f>
        <v>0.107</v>
      </c>
      <c r="F75" s="13">
        <f>'BEV L1'!F75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  <row r="77" spans="1:15" x14ac:dyDescent="0.3">
      <c r="A77" s="44"/>
      <c r="B77" s="45"/>
      <c r="C77" s="45"/>
      <c r="D77" s="45"/>
      <c r="E77" s="45"/>
    </row>
    <row r="78" spans="1:15" x14ac:dyDescent="0.3">
      <c r="A78" s="44"/>
      <c r="E78" s="45"/>
    </row>
    <row r="79" spans="1:15" x14ac:dyDescent="0.3">
      <c r="A79" s="44"/>
      <c r="C79" s="45"/>
      <c r="D79" s="45"/>
      <c r="E79" s="45"/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E00-000000000000}"/>
    <hyperlink ref="N2" location="References!A1" display="Ref" xr:uid="{3A90331C-2A4F-4C03-82A1-C00DE394DB16}"/>
  </hyperlinks>
  <pageMargins left="0.7" right="0.7" top="0.75" bottom="0.75" header="0.3" footer="0.3"/>
  <pageSetup paperSize="9" scale="4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N79"/>
  <sheetViews>
    <sheetView topLeftCell="A9" zoomScaleNormal="100" workbookViewId="0">
      <selection activeCell="A18" sqref="A18:A45"/>
    </sheetView>
  </sheetViews>
  <sheetFormatPr defaultRowHeight="15" x14ac:dyDescent="0.3"/>
  <cols>
    <col min="1" max="1" width="40.42578125" bestFit="1" customWidth="1"/>
    <col min="2" max="2" width="7" bestFit="1" customWidth="1"/>
    <col min="3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tr">
        <f>+'Diesel L2'!C1</f>
        <v>Truck (N3) with Trailer, 7 axles max 56 tons or European Modular Concept (EMC)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44</v>
      </c>
      <c r="B4" s="14">
        <f>+B6-B5</f>
        <v>43376.260687250004</v>
      </c>
      <c r="C4" s="14">
        <f>+C6-C5</f>
        <v>44250.715623807242</v>
      </c>
      <c r="D4" s="14">
        <f>+D6-D5</f>
        <v>45343.784294503792</v>
      </c>
      <c r="E4" s="14">
        <f>+E6-E5</f>
        <v>47529.921635896899</v>
      </c>
      <c r="F4" s="14">
        <f>+F6-F5</f>
        <v>49716.058977289998</v>
      </c>
      <c r="G4" s="57" t="s">
        <v>111</v>
      </c>
      <c r="H4" s="57" t="s">
        <v>111</v>
      </c>
      <c r="I4" s="57" t="s">
        <v>111</v>
      </c>
      <c r="J4" s="57" t="s">
        <v>111</v>
      </c>
      <c r="K4" s="57" t="s">
        <v>111</v>
      </c>
      <c r="L4" s="57" t="s">
        <v>111</v>
      </c>
      <c r="M4" s="3"/>
      <c r="N4" s="3">
        <v>2</v>
      </c>
    </row>
    <row r="5" spans="1:14" ht="15.75" thickBot="1" x14ac:dyDescent="0.35">
      <c r="A5" s="5" t="s">
        <v>9</v>
      </c>
      <c r="B5" s="14">
        <f>+'FCV L1'!B5+10575*0.45359237</f>
        <v>14623.73931275</v>
      </c>
      <c r="C5" s="14">
        <f t="shared" ref="C5:E6" si="0">B5+(C$2-B$2)*($F5-$B5)/($F$2-$B$2)</f>
        <v>14301.008514123792</v>
      </c>
      <c r="D5" s="14">
        <f t="shared" si="0"/>
        <v>13897.595015841034</v>
      </c>
      <c r="E5" s="14">
        <f t="shared" si="0"/>
        <v>13090.768019275516</v>
      </c>
      <c r="F5" s="14">
        <f>+B5*[1]Fremskrivninger!B47</f>
        <v>12283.94102271</v>
      </c>
      <c r="G5" s="57" t="s">
        <v>111</v>
      </c>
      <c r="H5" s="57" t="s">
        <v>111</v>
      </c>
      <c r="I5" s="57" t="s">
        <v>111</v>
      </c>
      <c r="J5" s="57" t="s">
        <v>111</v>
      </c>
      <c r="K5" s="57" t="s">
        <v>111</v>
      </c>
      <c r="L5" s="57" t="s">
        <v>111</v>
      </c>
      <c r="M5" s="3"/>
      <c r="N5" s="3">
        <v>2</v>
      </c>
    </row>
    <row r="6" spans="1:14" ht="15.75" thickBot="1" x14ac:dyDescent="0.35">
      <c r="A6" s="5" t="s">
        <v>10</v>
      </c>
      <c r="B6" s="14">
        <f>+'BEV L2'!B6</f>
        <v>58000</v>
      </c>
      <c r="C6" s="14">
        <f t="shared" si="0"/>
        <v>58551.724137931036</v>
      </c>
      <c r="D6" s="14">
        <f t="shared" si="0"/>
        <v>59241.379310344826</v>
      </c>
      <c r="E6" s="14">
        <f t="shared" si="0"/>
        <v>60620.689655172413</v>
      </c>
      <c r="F6" s="14">
        <f>+'BEV L2'!F6</f>
        <v>62000</v>
      </c>
      <c r="G6" s="57" t="s">
        <v>111</v>
      </c>
      <c r="H6" s="57" t="s">
        <v>111</v>
      </c>
      <c r="I6" s="57" t="s">
        <v>111</v>
      </c>
      <c r="J6" s="57" t="s">
        <v>111</v>
      </c>
      <c r="K6" s="57" t="s">
        <v>111</v>
      </c>
      <c r="L6" s="57" t="s">
        <v>111</v>
      </c>
      <c r="M6" s="3"/>
      <c r="N6" s="3">
        <v>2</v>
      </c>
    </row>
    <row r="7" spans="1:14" ht="15.75" thickBot="1" x14ac:dyDescent="0.35">
      <c r="A7" s="5" t="s">
        <v>11</v>
      </c>
      <c r="B7" s="14">
        <f>[1]Fremskrivninger!$P$3*B4</f>
        <v>24507.58728829625</v>
      </c>
      <c r="C7" s="14">
        <f>[1]Fremskrivninger!$P$3*C4</f>
        <v>25001.654327451088</v>
      </c>
      <c r="D7" s="14">
        <f>[1]Fremskrivninger!$P$3*D4</f>
        <v>25619.238126394641</v>
      </c>
      <c r="E7" s="14">
        <f>[1]Fremskrivninger!$P$3*E4</f>
        <v>26854.405724281747</v>
      </c>
      <c r="F7" s="14">
        <f>[1]Fremskrivninger!$P$3*F4</f>
        <v>28089.573322168846</v>
      </c>
      <c r="G7" s="57" t="s">
        <v>111</v>
      </c>
      <c r="H7" s="57" t="s">
        <v>111</v>
      </c>
      <c r="I7" s="57" t="s">
        <v>111</v>
      </c>
      <c r="J7" s="57" t="s">
        <v>111</v>
      </c>
      <c r="K7" s="57" t="s">
        <v>111</v>
      </c>
      <c r="L7" s="57" t="s">
        <v>111</v>
      </c>
      <c r="M7" s="3"/>
      <c r="N7" s="3">
        <v>2</v>
      </c>
    </row>
    <row r="8" spans="1:14" ht="15.75" thickBot="1" x14ac:dyDescent="0.35">
      <c r="A8" s="5" t="str">
        <f>+'FCV L1'!A8</f>
        <v>Fuel tank size (kg H2)</v>
      </c>
      <c r="B8" s="3">
        <v>32</v>
      </c>
      <c r="C8" s="14">
        <f t="shared" ref="C8:E9" si="1">B8+(C$2-B$2)*($F8-$B8)/($F$2-$B$2)</f>
        <v>37.931034482758619</v>
      </c>
      <c r="D8" s="14">
        <f t="shared" si="1"/>
        <v>45.344827586206897</v>
      </c>
      <c r="E8" s="14">
        <f t="shared" si="1"/>
        <v>60.172413793103445</v>
      </c>
      <c r="F8" s="3">
        <v>75</v>
      </c>
      <c r="G8" s="57" t="s">
        <v>111</v>
      </c>
      <c r="H8" s="57" t="s">
        <v>111</v>
      </c>
      <c r="I8" s="57" t="s">
        <v>111</v>
      </c>
      <c r="J8" s="57" t="s">
        <v>111</v>
      </c>
      <c r="K8" s="57" t="s">
        <v>111</v>
      </c>
      <c r="L8" s="57" t="s">
        <v>111</v>
      </c>
      <c r="M8" s="3"/>
      <c r="N8" s="3">
        <v>2</v>
      </c>
    </row>
    <row r="9" spans="1:14" ht="15.75" thickBot="1" x14ac:dyDescent="0.35">
      <c r="A9" s="5" t="s">
        <v>13</v>
      </c>
      <c r="B9" s="14">
        <f>73.2*[1]Fremskrivninger!$N$6</f>
        <v>446.52</v>
      </c>
      <c r="C9" s="14">
        <f t="shared" si="1"/>
        <v>423.29793103448276</v>
      </c>
      <c r="D9" s="14">
        <f t="shared" si="1"/>
        <v>394.2703448275862</v>
      </c>
      <c r="E9" s="14">
        <f t="shared" si="1"/>
        <v>336.21517241379308</v>
      </c>
      <c r="F9" s="14">
        <f>73.2*[1]Fremskrivninger!$P$6</f>
        <v>278.16000000000003</v>
      </c>
      <c r="G9" s="57" t="s">
        <v>111</v>
      </c>
      <c r="H9" s="57" t="s">
        <v>111</v>
      </c>
      <c r="I9" s="57" t="s">
        <v>111</v>
      </c>
      <c r="J9" s="57" t="s">
        <v>111</v>
      </c>
      <c r="K9" s="57" t="s">
        <v>111</v>
      </c>
      <c r="L9" s="57" t="s">
        <v>111</v>
      </c>
      <c r="M9" s="3"/>
      <c r="N9" s="3">
        <v>2</v>
      </c>
    </row>
    <row r="10" spans="1:14" ht="15.75" thickBot="1" x14ac:dyDescent="0.35">
      <c r="A10" s="5" t="s">
        <v>105</v>
      </c>
      <c r="B10" s="14">
        <f>+B8*33.3/B11*60</f>
        <v>6393.5999999999995</v>
      </c>
      <c r="C10" s="14">
        <f>+C8*33.3/C11*60</f>
        <v>7578.6206896551712</v>
      </c>
      <c r="D10" s="14">
        <f>+D8*33.3/D11*60</f>
        <v>9059.8965517241377</v>
      </c>
      <c r="E10" s="14">
        <f>+E8*33.3/E11*60</f>
        <v>12022.448275862067</v>
      </c>
      <c r="F10" s="14">
        <f>+F8*33.3/F11*60</f>
        <v>14985</v>
      </c>
      <c r="G10" s="57" t="s">
        <v>111</v>
      </c>
      <c r="H10" s="57" t="s">
        <v>111</v>
      </c>
      <c r="I10" s="57" t="s">
        <v>111</v>
      </c>
      <c r="J10" s="57" t="s">
        <v>111</v>
      </c>
      <c r="K10" s="57" t="s">
        <v>111</v>
      </c>
      <c r="L10" s="57" t="s">
        <v>111</v>
      </c>
      <c r="M10" s="3"/>
      <c r="N10" s="3">
        <v>2</v>
      </c>
    </row>
    <row r="11" spans="1:14" ht="15.75" thickBot="1" x14ac:dyDescent="0.35">
      <c r="A11" s="5" t="s">
        <v>134</v>
      </c>
      <c r="B11" s="3">
        <v>10</v>
      </c>
      <c r="C11" s="3">
        <v>10</v>
      </c>
      <c r="D11" s="3">
        <v>10</v>
      </c>
      <c r="E11" s="3">
        <v>10</v>
      </c>
      <c r="F11" s="3">
        <v>10</v>
      </c>
      <c r="G11" s="57" t="s">
        <v>111</v>
      </c>
      <c r="H11" s="57" t="s">
        <v>111</v>
      </c>
      <c r="I11" s="57" t="s">
        <v>111</v>
      </c>
      <c r="J11" s="57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4</v>
      </c>
      <c r="C13" s="3">
        <v>4</v>
      </c>
      <c r="D13" s="3">
        <v>5</v>
      </c>
      <c r="E13" s="3">
        <v>5</v>
      </c>
      <c r="F13" s="3">
        <v>5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f>+'FCV L1'!B14</f>
        <v>350</v>
      </c>
      <c r="C14" s="14">
        <f>+'FCV L1'!C14</f>
        <v>363.79310344827587</v>
      </c>
      <c r="D14" s="14">
        <f>+'FCV L1'!D14</f>
        <v>381.0344827586207</v>
      </c>
      <c r="E14" s="14">
        <f>+'FCV L1'!E14</f>
        <v>415.51724137931035</v>
      </c>
      <c r="F14" s="3">
        <f>+'FCV L1'!F14</f>
        <v>450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f>+'Diesel L2'!B15</f>
        <v>25.25</v>
      </c>
      <c r="C15" s="3">
        <f>+'Diesel L2'!C15</f>
        <v>25.25</v>
      </c>
      <c r="D15" s="3">
        <f>+'Diesel L2'!D15</f>
        <v>25.25</v>
      </c>
      <c r="E15" s="3">
        <f>+'Diesel L2'!E15</f>
        <v>25.25</v>
      </c>
      <c r="F15" s="3">
        <f>+'Diesel L2'!F15</f>
        <v>25.25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">
        <f>+'BEV L2'!B16</f>
        <v>18.75</v>
      </c>
      <c r="C16" s="57" t="s">
        <v>111</v>
      </c>
      <c r="D16" s="57" t="s">
        <v>111</v>
      </c>
      <c r="E16" s="57" t="s">
        <v>111</v>
      </c>
      <c r="F16" s="57" t="s">
        <v>111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146</v>
      </c>
      <c r="B19" s="19">
        <f>+Simulations!G104</f>
        <v>0.20587982272321925</v>
      </c>
      <c r="C19" s="27">
        <f t="shared" ref="C19:E21" si="2">B19+(C$2-B$2)*($F19-$B19)/($F$2-$B$2)</f>
        <v>0.21036224215705177</v>
      </c>
      <c r="D19" s="27">
        <f t="shared" si="2"/>
        <v>0.21596526644934241</v>
      </c>
      <c r="E19" s="27">
        <f t="shared" si="2"/>
        <v>0.22717131503392371</v>
      </c>
      <c r="F19" s="27">
        <f>+Simulations!G239</f>
        <v>0.23837736361850498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147</v>
      </c>
      <c r="B20" s="19">
        <f>+Simulations!G105</f>
        <v>0.32744894978209915</v>
      </c>
      <c r="C20" s="27">
        <f t="shared" si="2"/>
        <v>0.32964161271305681</v>
      </c>
      <c r="D20" s="27">
        <f t="shared" si="2"/>
        <v>0.33238244137675388</v>
      </c>
      <c r="E20" s="27">
        <f t="shared" si="2"/>
        <v>0.33786409870414802</v>
      </c>
      <c r="F20" s="27">
        <f>+Simulations!G240</f>
        <v>0.34334575603154222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148</v>
      </c>
      <c r="B21" s="19">
        <f>+Simulations!G106</f>
        <v>0.42174435887985778</v>
      </c>
      <c r="C21" s="27">
        <f t="shared" si="2"/>
        <v>0.42479485919648313</v>
      </c>
      <c r="D21" s="27">
        <f t="shared" si="2"/>
        <v>0.42860798459226485</v>
      </c>
      <c r="E21" s="27">
        <f t="shared" si="2"/>
        <v>0.43623423538382822</v>
      </c>
      <c r="F21" s="27">
        <f>+Simulations!G241</f>
        <v>0.44386048617539159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146</v>
      </c>
      <c r="B23" s="28">
        <f>+Simulations!E101</f>
        <v>5.5134346331503528</v>
      </c>
      <c r="C23" s="13">
        <f t="shared" ref="C23:E25" si="3">B23+(C$2-B$2)*($F23-$B23)/($F$2-$B$2)</f>
        <v>5.2820542901480385</v>
      </c>
      <c r="D23" s="13">
        <f t="shared" si="3"/>
        <v>4.9928288613951457</v>
      </c>
      <c r="E23" s="13">
        <f t="shared" si="3"/>
        <v>4.4143780038893601</v>
      </c>
      <c r="F23" s="28">
        <f>+Simulations!E236</f>
        <v>3.8359271463835736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147</v>
      </c>
      <c r="B24" s="28">
        <f>+Simulations!E102</f>
        <v>6.2549617730331146</v>
      </c>
      <c r="C24" s="13">
        <f t="shared" si="3"/>
        <v>5.9950594738756839</v>
      </c>
      <c r="D24" s="13">
        <f t="shared" si="3"/>
        <v>5.6701815999288954</v>
      </c>
      <c r="E24" s="13">
        <f t="shared" si="3"/>
        <v>5.0204258520353182</v>
      </c>
      <c r="F24" s="28">
        <f>+Simulations!E237</f>
        <v>4.3706701041417411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148</v>
      </c>
      <c r="B25" s="28">
        <f>+Simulations!E103</f>
        <v>6.7694797344090523</v>
      </c>
      <c r="C25" s="13">
        <f t="shared" si="3"/>
        <v>6.4868885685068065</v>
      </c>
      <c r="D25" s="13">
        <f t="shared" si="3"/>
        <v>6.1336496111289991</v>
      </c>
      <c r="E25" s="13">
        <f t="shared" si="3"/>
        <v>5.4271716963733851</v>
      </c>
      <c r="F25" s="28">
        <f>+Simulations!E238</f>
        <v>4.7206937816177712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146</v>
      </c>
      <c r="B27" s="28">
        <f>+Simulations!E107</f>
        <v>17.774226843398505</v>
      </c>
      <c r="C27" s="13">
        <f t="shared" ref="C27:E29" si="4">B27+(C$2-B$2)*($F27-$B27)/($F$2-$B$2)</f>
        <v>17.198633786559224</v>
      </c>
      <c r="D27" s="13">
        <f t="shared" si="4"/>
        <v>16.479142465510122</v>
      </c>
      <c r="E27" s="13">
        <f t="shared" si="4"/>
        <v>15.040159823411921</v>
      </c>
      <c r="F27" s="28">
        <f>+Simulations!E242</f>
        <v>13.601177181313721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147</v>
      </c>
      <c r="B28" s="28">
        <f>+Simulations!E108</f>
        <v>14.05366177414764</v>
      </c>
      <c r="C28" s="13">
        <f t="shared" si="4"/>
        <v>13.702413102095656</v>
      </c>
      <c r="D28" s="13">
        <f t="shared" si="4"/>
        <v>13.263352262030676</v>
      </c>
      <c r="E28" s="13">
        <f t="shared" si="4"/>
        <v>12.385230581900714</v>
      </c>
      <c r="F28" s="28">
        <f>+Simulations!E243</f>
        <v>11.507108901770755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148</v>
      </c>
      <c r="B29" s="28">
        <f>+Simulations!E109</f>
        <v>11.89244277856098</v>
      </c>
      <c r="C29" s="13">
        <f t="shared" si="4"/>
        <v>11.574917917337205</v>
      </c>
      <c r="D29" s="13">
        <f t="shared" si="4"/>
        <v>11.178011840807486</v>
      </c>
      <c r="E29" s="13">
        <f t="shared" si="4"/>
        <v>10.384199687748048</v>
      </c>
      <c r="F29" s="28">
        <f>+Simulations!E244</f>
        <v>9.5903875346886096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146</v>
      </c>
      <c r="B31" s="28">
        <f>+Simulations!E104</f>
        <v>12.782996890418419</v>
      </c>
      <c r="C31" s="13">
        <f t="shared" ref="C31:E33" si="5">B31+(C$2-B$2)*($F31-$B31)/($F$2-$B$2)</f>
        <v>12.297227833964721</v>
      </c>
      <c r="D31" s="13">
        <f t="shared" si="5"/>
        <v>11.690016513397598</v>
      </c>
      <c r="E31" s="13">
        <f t="shared" si="5"/>
        <v>10.475593872263351</v>
      </c>
      <c r="F31" s="28">
        <f>+Simulations!E239</f>
        <v>9.2611712311291043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147</v>
      </c>
      <c r="B32" s="28">
        <f>+Simulations!E105</f>
        <v>10.752666897422639</v>
      </c>
      <c r="C32" s="13">
        <f t="shared" si="5"/>
        <v>10.417090029332346</v>
      </c>
      <c r="D32" s="13">
        <f t="shared" si="5"/>
        <v>9.9976189442194805</v>
      </c>
      <c r="E32" s="13">
        <f t="shared" si="5"/>
        <v>9.1586767739937471</v>
      </c>
      <c r="F32" s="28">
        <f>+Simulations!E240</f>
        <v>8.3197346037680138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8">
        <f>+Simulations!E106</f>
        <v>9.6497848430675166</v>
      </c>
      <c r="C33" s="13">
        <f t="shared" si="5"/>
        <v>9.3362257275166094</v>
      </c>
      <c r="D33" s="13">
        <f t="shared" si="5"/>
        <v>8.9442768330779767</v>
      </c>
      <c r="E33" s="13">
        <f t="shared" si="5"/>
        <v>8.1603790442007096</v>
      </c>
      <c r="F33" s="28">
        <f>+Simulations!E241</f>
        <v>7.3764812553234425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+B$8*[1]Fremskrivninger!$S$5/B23</f>
        <v>695.78407204367898</v>
      </c>
      <c r="C35" s="14">
        <f>+C$8*[1]Fremskrivninger!$S$5/C23</f>
        <v>860.87195701005589</v>
      </c>
      <c r="D35" s="14">
        <f>+D$8*[1]Fremskrivninger!$S$5/D23</f>
        <v>1088.7491003477976</v>
      </c>
      <c r="E35" s="14">
        <f>+E$8*[1]Fremskrivninger!$S$5/E23</f>
        <v>1634.0850192624409</v>
      </c>
      <c r="F35" s="14">
        <f>+F$8*[1]Fremskrivninger!$S$5/F23</f>
        <v>2343.8922734694047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+B$8*[1]Fremskrivninger!$S$5/B24</f>
        <v>613.2987121582031</v>
      </c>
      <c r="C36" s="14">
        <f>+C$8*[1]Fremskrivninger!$S$5/C24</f>
        <v>758.48662279466078</v>
      </c>
      <c r="D36" s="14">
        <f>+D$8*[1]Fremskrivninger!$S$5/D24</f>
        <v>958.68850674952807</v>
      </c>
      <c r="E36" s="14">
        <f>+E$8*[1]Fremskrivninger!$S$5/E24</f>
        <v>1436.8241217212374</v>
      </c>
      <c r="F36" s="14">
        <f>+F$8*[1]Fremskrivninger!$S$5/F24</f>
        <v>2057.1216279810124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+B$8*[1]Fremskrivninger!$S$5/B25</f>
        <v>566.68461248224435</v>
      </c>
      <c r="C37" s="14">
        <f>+C$8*[1]Fremskrivninger!$S$5/C25</f>
        <v>700.97896175821018</v>
      </c>
      <c r="D37" s="14">
        <f>+D$8*[1]Fremskrivninger!$S$5/D25</f>
        <v>886.24852668000858</v>
      </c>
      <c r="E37" s="14">
        <f>+E$8*[1]Fremskrivninger!$S$5/E25</f>
        <v>1329.1396272459037</v>
      </c>
      <c r="F37" s="14">
        <f>+F$8*[1]Fremskrivninger!$S$5/F25</f>
        <v>1904.5929297533899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+B$8*[1]Fremskrivninger!$S$5/B27</f>
        <v>215.82710931951345</v>
      </c>
      <c r="C39" s="14">
        <f>+C$8*[1]Fremskrivninger!$S$5/C27</f>
        <v>264.39149005816557</v>
      </c>
      <c r="D39" s="14">
        <f>+D$8*[1]Fremskrivninger!$S$5/D27</f>
        <v>329.86776723434377</v>
      </c>
      <c r="E39" s="14">
        <f>+E$8*[1]Fremskrivninger!$S$5/E27</f>
        <v>479.6138505315987</v>
      </c>
      <c r="F39" s="14">
        <f>+F$8*[1]Fremskrivninger!$S$5/F27</f>
        <v>661.0457227446816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+B$8*[1]Fremskrivninger!$S$5/B28</f>
        <v>272.96515752618961</v>
      </c>
      <c r="C40" s="14">
        <f>+C$8*[1]Fremskrivninger!$S$5/C28</f>
        <v>331.85194315136039</v>
      </c>
      <c r="D40" s="14">
        <f>+D$8*[1]Fremskrivninger!$S$5/D28</f>
        <v>409.84645688677637</v>
      </c>
      <c r="E40" s="14">
        <f>+E$8*[1]Fremskrivninger!$S$5/E28</f>
        <v>582.4250842821383</v>
      </c>
      <c r="F40" s="14">
        <f>+F$8*[1]Fremskrivninger!$S$5/F28</f>
        <v>781.34308771653605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+B$8*[1]Fremskrivninger!$S$5/B29</f>
        <v>322.57123884721238</v>
      </c>
      <c r="C41" s="14">
        <f>+C$8*[1]Fremskrivninger!$S$5/C29</f>
        <v>392.84705483589079</v>
      </c>
      <c r="D41" s="14">
        <f>+D$8*[1]Fremskrivninger!$S$5/D29</f>
        <v>486.30633143449933</v>
      </c>
      <c r="E41" s="14">
        <f>+E$8*[1]Fremskrivninger!$S$5/E29</f>
        <v>694.65815204113994</v>
      </c>
      <c r="F41" s="14">
        <f>+F$8*[1]Fremskrivninger!$S$5/F29</f>
        <v>937.50121853568339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+B$8*[1]Fremskrivninger!$S$5/B31</f>
        <v>300.09864141290836</v>
      </c>
      <c r="C43" s="14">
        <f>+C$8*[1]Fremskrivninger!$S$5/C31</f>
        <v>369.77215313795318</v>
      </c>
      <c r="D43" s="14">
        <f>+D$8*[1]Fremskrivninger!$S$5/D31</f>
        <v>465.00686502919029</v>
      </c>
      <c r="E43" s="14">
        <f>+E$8*[1]Fremskrivninger!$S$5/E31</f>
        <v>688.59761589427694</v>
      </c>
      <c r="F43" s="14">
        <f>+F$8*[1]Fremskrivninger!$S$5/F31</f>
        <v>970.82753094759858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+B$8*[1]Fremskrivninger!$S$5/B32</f>
        <v>356.76358587091619</v>
      </c>
      <c r="C44" s="14">
        <f>+C$8*[1]Fremskrivninger!$S$5/C32</f>
        <v>436.51081069561815</v>
      </c>
      <c r="D44" s="14">
        <f>+D$8*[1]Fremskrivninger!$S$5/D32</f>
        <v>543.72325664377172</v>
      </c>
      <c r="E44" s="14">
        <f>+E$8*[1]Fremskrivninger!$S$5/E32</f>
        <v>787.61038778003774</v>
      </c>
      <c r="F44" s="14">
        <f>+F$8*[1]Fremskrivninger!$S$5/F32</f>
        <v>1080.6835107369855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+B$8*[1]Fremskrivninger!$S$5/B33</f>
        <v>397.53839721679685</v>
      </c>
      <c r="C45" s="14">
        <f>+C$8*[1]Fremskrivninger!$S$5/C33</f>
        <v>487.04610904931803</v>
      </c>
      <c r="D45" s="14">
        <f>+D$8*[1]Fremskrivninger!$S$5/D33</f>
        <v>607.75600224393145</v>
      </c>
      <c r="E45" s="14">
        <f>+E$8*[1]Fremskrivninger!$S$5/E33</f>
        <v>883.96248831647051</v>
      </c>
      <c r="F45" s="14">
        <f>+F$8*[1]Fremskrivninger!$S$5/F33</f>
        <v>1218.8738354769621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4" ht="15.75" thickBot="1" x14ac:dyDescent="0.35">
      <c r="A65" s="5" t="s">
        <v>54</v>
      </c>
      <c r="B65" s="32">
        <f>+'Diesel L2'!B65+73.2*[1]Fremskrivninger!N11/1000</f>
        <v>61.982000000000006</v>
      </c>
      <c r="C65" s="32">
        <f>B65+(C$2-B$2)*($F65-$B65)/($F$2-$B$2)</f>
        <v>61.753586206896557</v>
      </c>
      <c r="D65" s="32">
        <f>C65+(D$2-C$2)*($F65-$B65)/($F$2-$B$2)</f>
        <v>61.468068965517247</v>
      </c>
      <c r="E65" s="32">
        <f>D65+(E$2-D$2)*($F65-$B65)/($F$2-$B$2)</f>
        <v>60.897034482758627</v>
      </c>
      <c r="F65" s="32">
        <f>+'Diesel L2'!F65+73.2*[1]Fremskrivninger!P11/1000</f>
        <v>60.326000000000008</v>
      </c>
      <c r="G65" s="59" t="s">
        <v>111</v>
      </c>
      <c r="H65" s="59" t="s">
        <v>111</v>
      </c>
      <c r="I65" s="59" t="s">
        <v>111</v>
      </c>
      <c r="J65" s="59" t="s">
        <v>111</v>
      </c>
      <c r="K65" s="59" t="s">
        <v>111</v>
      </c>
      <c r="L65" s="59" t="s">
        <v>111</v>
      </c>
      <c r="M65" s="3"/>
      <c r="N65" s="3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f>'BEV L2'!B67</f>
        <v>13.8</v>
      </c>
      <c r="C67" s="3">
        <f>'BEV L2'!C67</f>
        <v>13.8</v>
      </c>
      <c r="D67" s="3">
        <f>'BEV L2'!D67</f>
        <v>13.8</v>
      </c>
      <c r="E67" s="3">
        <f>'BEV L2'!E67</f>
        <v>13.8</v>
      </c>
      <c r="F67" s="3">
        <f>'BEV L2'!F67</f>
        <v>13.8</v>
      </c>
      <c r="G67" s="3">
        <f>'BEV L2'!G67</f>
        <v>8</v>
      </c>
      <c r="H67" s="3">
        <f>'BEV L2'!H67</f>
        <v>20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4" ht="15.75" thickBot="1" x14ac:dyDescent="0.35">
      <c r="A68" s="5" t="str">
        <f>'FCV L1'!A68</f>
        <v>Typical fuel cell lifetime (years)</v>
      </c>
      <c r="B68" s="32">
        <f>'FCV L1'!B68</f>
        <v>8.5470085470085468</v>
      </c>
      <c r="C68" s="32">
        <f>'FCV L1'!C68</f>
        <v>9.1364574123194817</v>
      </c>
      <c r="D68" s="32">
        <f>'FCV L1'!D68</f>
        <v>9.8732684939581503</v>
      </c>
      <c r="E68" s="32">
        <f>'FCV L1'!E68</f>
        <v>11.346890657235486</v>
      </c>
      <c r="F68" s="32">
        <f>'FCV L1'!F68</f>
        <v>12.820512820512819</v>
      </c>
      <c r="G68" s="32">
        <f>'FCV L1'!G68</f>
        <v>2.1367521367521367</v>
      </c>
      <c r="H68" s="32">
        <f>'FCV L1'!H68</f>
        <v>13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4" ht="15.75" thickBot="1" x14ac:dyDescent="0.35">
      <c r="A69" s="5" t="s">
        <v>39</v>
      </c>
      <c r="B69" s="3">
        <f>'Diesel L2'!B69</f>
        <v>656856</v>
      </c>
      <c r="C69" s="3">
        <f>'Diesel L2'!C69</f>
        <v>656856</v>
      </c>
      <c r="D69" s="3">
        <f>'Diesel L2'!D69</f>
        <v>656856</v>
      </c>
      <c r="E69" s="3">
        <f>'Diesel L2'!E69</f>
        <v>656856</v>
      </c>
      <c r="F69" s="3">
        <f>'Diesel L2'!F69</f>
        <v>656856</v>
      </c>
      <c r="G69" s="3">
        <f>'Diesel L2'!G69</f>
        <v>400000</v>
      </c>
      <c r="H69" s="3">
        <f>'Diesel L2'!H69</f>
        <v>1500000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4" ht="15.75" thickBot="1" x14ac:dyDescent="0.35">
      <c r="A70" s="5" t="s">
        <v>40</v>
      </c>
      <c r="B70" s="14">
        <f>'Diesel L2'!B70</f>
        <v>93836.571428571435</v>
      </c>
      <c r="C70" s="14">
        <f>'Diesel L2'!C70</f>
        <v>93836.571428571435</v>
      </c>
      <c r="D70" s="14">
        <f>'Diesel L2'!D70</f>
        <v>93836.571428571435</v>
      </c>
      <c r="E70" s="14">
        <f>'Diesel L2'!E70</f>
        <v>93836.571428571435</v>
      </c>
      <c r="F70" s="14">
        <f>'Diesel L2'!F70</f>
        <v>93836.571428571435</v>
      </c>
      <c r="G70" s="14">
        <f>'Diesel L2'!G70</f>
        <v>57142.857142857145</v>
      </c>
      <c r="H70" s="14">
        <f>'Diesel L2'!H70</f>
        <v>214285.71428571429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4" ht="15.75" thickBot="1" x14ac:dyDescent="0.35">
      <c r="A71" s="5" t="s">
        <v>41</v>
      </c>
      <c r="B71" s="14">
        <f>+'FCV L1'!B71+'Diesel L2'!B71-'Diesel L1'!B71</f>
        <v>354800.5319148936</v>
      </c>
      <c r="C71" s="14">
        <f>+'FCV L1'!C71+'Diesel L2'!C71-'Diesel L1'!C71</f>
        <v>335978.73881144536</v>
      </c>
      <c r="D71" s="14">
        <f>+'FCV L1'!D71+'Diesel L2'!D71-'Diesel L1'!D71</f>
        <v>312451.49743213499</v>
      </c>
      <c r="E71" s="14">
        <f>+'FCV L1'!E71+'Diesel L2'!E71-'Diesel L1'!E71</f>
        <v>265397.01467351435</v>
      </c>
      <c r="F71" s="14">
        <f>+'FCV L1'!F71+'Diesel L2'!F71-'Diesel L1'!F71</f>
        <v>218342.5319148936</v>
      </c>
      <c r="G71" s="59" t="s">
        <v>111</v>
      </c>
      <c r="H71" s="59" t="s">
        <v>111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</row>
    <row r="72" spans="1:14" ht="15.75" thickBot="1" x14ac:dyDescent="0.35">
      <c r="A72" s="5" t="s">
        <v>42</v>
      </c>
      <c r="B72" s="3">
        <f>[1]Fremskrivninger!N10*B8+190*[1]Fremskrivninger!N9+73.2*[1]Fremskrivninger!N8</f>
        <v>124850</v>
      </c>
      <c r="C72" s="14">
        <f t="shared" ref="C72:E73" si="6">B72+(C$2-B$2)*($F72-$B72)/($F$2-$B$2)</f>
        <v>116028.20689655172</v>
      </c>
      <c r="D72" s="14">
        <f t="shared" si="6"/>
        <v>105000.96551724138</v>
      </c>
      <c r="E72" s="14">
        <f t="shared" si="6"/>
        <v>82946.482758620696</v>
      </c>
      <c r="F72" s="3">
        <f>[1]Fremskrivninger!P10*F8+190*[1]Fremskrivninger!P9+73.2*[1]Fremskrivninger!P8</f>
        <v>60892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4" ht="15.75" thickBot="1" x14ac:dyDescent="0.35">
      <c r="A73" s="5" t="s">
        <v>137</v>
      </c>
      <c r="B73" s="3">
        <f>[1]Fremskrivninger!$N$12*B14</f>
        <v>105000</v>
      </c>
      <c r="C73" s="14">
        <f t="shared" si="6"/>
        <v>96724.137931034478</v>
      </c>
      <c r="D73" s="14">
        <f t="shared" si="6"/>
        <v>86379.31034482758</v>
      </c>
      <c r="E73" s="14">
        <f t="shared" si="6"/>
        <v>65689.655172413783</v>
      </c>
      <c r="F73" s="14">
        <f>[1]Fremskrivninger!$P$12*F14</f>
        <v>45000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4" ht="15.75" thickBot="1" x14ac:dyDescent="0.35">
      <c r="A74" s="5" t="s">
        <v>113</v>
      </c>
      <c r="B74" s="14">
        <f>'BEV L2'!B74</f>
        <v>6400</v>
      </c>
      <c r="C74" s="14">
        <f>'BEV L2'!C74</f>
        <v>6400</v>
      </c>
      <c r="D74" s="14">
        <f>'BEV L2'!D74</f>
        <v>6400</v>
      </c>
      <c r="E74" s="14">
        <f>'BEV L2'!E74</f>
        <v>6400</v>
      </c>
      <c r="F74" s="14">
        <f>'BEV L2'!F74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4" ht="15.75" thickBot="1" x14ac:dyDescent="0.35">
      <c r="A75" s="5" t="s">
        <v>112</v>
      </c>
      <c r="B75" s="13">
        <f>'BEV L2'!B75</f>
        <v>0.107</v>
      </c>
      <c r="C75" s="13">
        <f>'BEV L2'!C75</f>
        <v>0.107</v>
      </c>
      <c r="D75" s="13">
        <f>'BEV L2'!D75</f>
        <v>0.107</v>
      </c>
      <c r="E75" s="13">
        <f>'BEV L2'!E75</f>
        <v>0.107</v>
      </c>
      <c r="F75" s="13">
        <f>'BEV L2'!F75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  <row r="77" spans="1:14" x14ac:dyDescent="0.3">
      <c r="A77" s="44"/>
      <c r="C77" s="45"/>
      <c r="D77" s="45"/>
      <c r="E77" s="45"/>
      <c r="F77" s="45"/>
    </row>
    <row r="78" spans="1:14" x14ac:dyDescent="0.3">
      <c r="A78" s="44"/>
      <c r="C78" s="45"/>
      <c r="D78" s="45"/>
      <c r="E78" s="45"/>
    </row>
    <row r="79" spans="1:14" x14ac:dyDescent="0.3">
      <c r="A79" s="44"/>
      <c r="C79" s="45"/>
      <c r="D79" s="45"/>
      <c r="E79" s="45"/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F00-000000000000}"/>
    <hyperlink ref="N2" location="References!A1" display="Ref" xr:uid="{8E3A7571-B918-4EF6-8377-F6FB51B5D002}"/>
  </hyperlinks>
  <pageMargins left="0.7" right="0.7" top="0.75" bottom="0.75" header="0.3" footer="0.3"/>
  <pageSetup paperSize="9" scale="53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pageSetUpPr fitToPage="1"/>
  </sheetPr>
  <dimension ref="A1:N79"/>
  <sheetViews>
    <sheetView topLeftCell="A14" zoomScaleNormal="100" workbookViewId="0">
      <selection activeCell="A18" sqref="A18:A45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tr">
        <f>+'Diesel L3'!C1</f>
        <v>Semi-traier Truck (N3) 6 axles max 50 tons og European Modular Concept (EMC)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44</v>
      </c>
      <c r="B4" s="14">
        <f>+B6-B5</f>
        <v>38000</v>
      </c>
      <c r="C4" s="14">
        <f>+C6-C5</f>
        <v>39688.275862068964</v>
      </c>
      <c r="D4" s="14">
        <f>+D6-D5</f>
        <v>41798.620689655174</v>
      </c>
      <c r="E4" s="14">
        <f>+E6-E5</f>
        <v>46019.310344827587</v>
      </c>
      <c r="F4" s="14">
        <f>+F6-F5</f>
        <v>50240</v>
      </c>
      <c r="G4" s="57" t="s">
        <v>111</v>
      </c>
      <c r="H4" s="57" t="s">
        <v>111</v>
      </c>
      <c r="I4" s="57" t="s">
        <v>111</v>
      </c>
      <c r="J4" s="57" t="s">
        <v>111</v>
      </c>
      <c r="K4" s="57" t="s">
        <v>111</v>
      </c>
      <c r="L4" s="57" t="s">
        <v>111</v>
      </c>
      <c r="M4" s="3"/>
      <c r="N4" s="3">
        <v>2</v>
      </c>
    </row>
    <row r="5" spans="1:14" ht="15.75" thickBot="1" x14ac:dyDescent="0.35">
      <c r="A5" s="5" t="s">
        <v>9</v>
      </c>
      <c r="B5" s="14">
        <f>+'BEV L3'!B5-2000</f>
        <v>14000</v>
      </c>
      <c r="C5" s="14">
        <f t="shared" ref="C5:E6" si="0">B5+(C$2-B$2)*($F5-$B5)/($F$2-$B$2)</f>
        <v>13691.034482758621</v>
      </c>
      <c r="D5" s="14">
        <f t="shared" si="0"/>
        <v>13304.827586206897</v>
      </c>
      <c r="E5" s="14">
        <f t="shared" si="0"/>
        <v>12532.413793103449</v>
      </c>
      <c r="F5" s="3">
        <f>+B5*[1]Fremskrivninger!B47</f>
        <v>11760</v>
      </c>
      <c r="G5" s="57" t="s">
        <v>111</v>
      </c>
      <c r="H5" s="57" t="s">
        <v>111</v>
      </c>
      <c r="I5" s="57" t="s">
        <v>111</v>
      </c>
      <c r="J5" s="57" t="s">
        <v>111</v>
      </c>
      <c r="K5" s="57" t="s">
        <v>111</v>
      </c>
      <c r="L5" s="57" t="s">
        <v>111</v>
      </c>
      <c r="M5" s="3"/>
      <c r="N5" s="3">
        <v>2</v>
      </c>
    </row>
    <row r="6" spans="1:14" ht="15.75" thickBot="1" x14ac:dyDescent="0.35">
      <c r="A6" s="5" t="s">
        <v>10</v>
      </c>
      <c r="B6" s="14">
        <f>+'BEV L3'!B6</f>
        <v>52000</v>
      </c>
      <c r="C6" s="14">
        <f t="shared" si="0"/>
        <v>53379.310344827587</v>
      </c>
      <c r="D6" s="14">
        <f t="shared" si="0"/>
        <v>55103.448275862072</v>
      </c>
      <c r="E6" s="14">
        <f t="shared" si="0"/>
        <v>58551.724137931036</v>
      </c>
      <c r="F6" s="14">
        <f>+'BEV L3'!F6</f>
        <v>62000</v>
      </c>
      <c r="G6" s="57" t="s">
        <v>111</v>
      </c>
      <c r="H6" s="57" t="s">
        <v>111</v>
      </c>
      <c r="I6" s="57" t="s">
        <v>111</v>
      </c>
      <c r="J6" s="57" t="s">
        <v>111</v>
      </c>
      <c r="K6" s="57" t="s">
        <v>111</v>
      </c>
      <c r="L6" s="57" t="s">
        <v>111</v>
      </c>
      <c r="M6" s="3"/>
      <c r="N6" s="3">
        <v>2</v>
      </c>
    </row>
    <row r="7" spans="1:14" ht="15.75" thickBot="1" x14ac:dyDescent="0.35">
      <c r="A7" s="5" t="s">
        <v>11</v>
      </c>
      <c r="B7" s="14">
        <f>[1]Fremskrivninger!$P$3*B4</f>
        <v>21469.999999999996</v>
      </c>
      <c r="C7" s="14">
        <f>[1]Fremskrivninger!$P$3*C4</f>
        <v>22423.875862068962</v>
      </c>
      <c r="D7" s="14">
        <f>[1]Fremskrivninger!$P$3*D4</f>
        <v>23616.220689655172</v>
      </c>
      <c r="E7" s="14">
        <f>[1]Fremskrivninger!$P$3*E4</f>
        <v>26000.910344827586</v>
      </c>
      <c r="F7" s="14">
        <f>[1]Fremskrivninger!$P$3*F4</f>
        <v>28385.599999999999</v>
      </c>
      <c r="G7" s="57" t="s">
        <v>111</v>
      </c>
      <c r="H7" s="57" t="s">
        <v>111</v>
      </c>
      <c r="I7" s="57" t="s">
        <v>111</v>
      </c>
      <c r="J7" s="57" t="s">
        <v>111</v>
      </c>
      <c r="K7" s="57" t="s">
        <v>111</v>
      </c>
      <c r="L7" s="57" t="s">
        <v>111</v>
      </c>
      <c r="M7" s="3"/>
      <c r="N7" s="3">
        <v>2</v>
      </c>
    </row>
    <row r="8" spans="1:14" ht="15.75" thickBot="1" x14ac:dyDescent="0.35">
      <c r="A8" s="5" t="s">
        <v>142</v>
      </c>
      <c r="B8" s="3">
        <v>32</v>
      </c>
      <c r="C8" s="14">
        <f t="shared" ref="C8:E9" si="1">B8+(C$2-B$2)*($F8-$B8)/($F$2-$B$2)</f>
        <v>37.931034482758619</v>
      </c>
      <c r="D8" s="14">
        <f t="shared" si="1"/>
        <v>45.344827586206897</v>
      </c>
      <c r="E8" s="14">
        <f t="shared" si="1"/>
        <v>60.172413793103445</v>
      </c>
      <c r="F8" s="3">
        <v>75</v>
      </c>
      <c r="G8" s="57" t="s">
        <v>111</v>
      </c>
      <c r="H8" s="57" t="s">
        <v>111</v>
      </c>
      <c r="I8" s="57" t="s">
        <v>111</v>
      </c>
      <c r="J8" s="57" t="s">
        <v>111</v>
      </c>
      <c r="K8" s="57" t="s">
        <v>111</v>
      </c>
      <c r="L8" s="57" t="s">
        <v>111</v>
      </c>
      <c r="M8" s="3"/>
      <c r="N8" s="3">
        <v>2</v>
      </c>
    </row>
    <row r="9" spans="1:14" ht="15.75" thickBot="1" x14ac:dyDescent="0.35">
      <c r="A9" s="5" t="s">
        <v>13</v>
      </c>
      <c r="B9" s="3">
        <f>250*[1]Fremskrivninger!N6</f>
        <v>1525</v>
      </c>
      <c r="C9" s="14">
        <f t="shared" si="1"/>
        <v>1445.6896551724137</v>
      </c>
      <c r="D9" s="14">
        <f t="shared" si="1"/>
        <v>1346.5517241379309</v>
      </c>
      <c r="E9" s="14">
        <f t="shared" si="1"/>
        <v>1148.2758620689654</v>
      </c>
      <c r="F9" s="3">
        <f>250*[1]Fremskrivninger!P6</f>
        <v>950</v>
      </c>
      <c r="G9" s="57" t="s">
        <v>111</v>
      </c>
      <c r="H9" s="57" t="s">
        <v>111</v>
      </c>
      <c r="I9" s="57" t="s">
        <v>111</v>
      </c>
      <c r="J9" s="57" t="s">
        <v>111</v>
      </c>
      <c r="K9" s="57" t="s">
        <v>111</v>
      </c>
      <c r="L9" s="57" t="s">
        <v>111</v>
      </c>
      <c r="M9" s="3"/>
      <c r="N9" s="3">
        <v>2</v>
      </c>
    </row>
    <row r="10" spans="1:14" ht="15.75" thickBot="1" x14ac:dyDescent="0.35">
      <c r="A10" s="5" t="s">
        <v>105</v>
      </c>
      <c r="B10" s="14">
        <f>+B8*33.3/B11*60</f>
        <v>3196.7999999999997</v>
      </c>
      <c r="C10" s="14">
        <f>+C8*33.3/C11*60</f>
        <v>3789.3103448275856</v>
      </c>
      <c r="D10" s="14">
        <f>+D8*33.3/D11*60</f>
        <v>4529.9482758620688</v>
      </c>
      <c r="E10" s="14">
        <f>+E8*33.3/E11*60</f>
        <v>6011.2241379310335</v>
      </c>
      <c r="F10" s="14">
        <f>+F8*33.3/F11*60</f>
        <v>7492.5</v>
      </c>
      <c r="G10" s="57" t="s">
        <v>111</v>
      </c>
      <c r="H10" s="57" t="s">
        <v>111</v>
      </c>
      <c r="I10" s="57" t="s">
        <v>111</v>
      </c>
      <c r="J10" s="57" t="s">
        <v>111</v>
      </c>
      <c r="K10" s="57" t="s">
        <v>111</v>
      </c>
      <c r="L10" s="57" t="s">
        <v>111</v>
      </c>
      <c r="M10" s="3"/>
      <c r="N10" s="3">
        <v>2</v>
      </c>
    </row>
    <row r="11" spans="1:14" ht="15.75" thickBot="1" x14ac:dyDescent="0.35">
      <c r="A11" s="5" t="s">
        <v>134</v>
      </c>
      <c r="B11" s="3">
        <v>20</v>
      </c>
      <c r="C11" s="3">
        <v>20</v>
      </c>
      <c r="D11" s="3">
        <v>20</v>
      </c>
      <c r="E11" s="3">
        <v>20</v>
      </c>
      <c r="F11" s="3">
        <v>20</v>
      </c>
      <c r="G11" s="57" t="s">
        <v>111</v>
      </c>
      <c r="H11" s="57" t="s">
        <v>111</v>
      </c>
      <c r="I11" s="57" t="s">
        <v>111</v>
      </c>
      <c r="J11" s="57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5</v>
      </c>
      <c r="C12" s="3">
        <v>5</v>
      </c>
      <c r="D12" s="3">
        <v>5</v>
      </c>
      <c r="E12" s="3">
        <v>5</v>
      </c>
      <c r="F12" s="3">
        <v>5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475</v>
      </c>
      <c r="C14" s="14">
        <f>B14+(C$2-B$2)*($F14-$B14)/($F$2-$B$2)</f>
        <v>492.24137931034483</v>
      </c>
      <c r="D14" s="14">
        <f>C14+(D$2-C$2)*($F14-$B14)/($F$2-$B$2)</f>
        <v>513.79310344827582</v>
      </c>
      <c r="E14" s="14">
        <f>D14+(E$2-D$2)*($F14-$B14)/($F$2-$B$2)</f>
        <v>556.89655172413791</v>
      </c>
      <c r="F14" s="3">
        <v>600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2">
        <f>+'Diesel L3'!B15</f>
        <v>16.5</v>
      </c>
      <c r="C15" s="32">
        <f>+'Diesel L3'!C15</f>
        <v>17.741379310344829</v>
      </c>
      <c r="D15" s="32">
        <f>+'Diesel L3'!D15</f>
        <v>19.293103448275865</v>
      </c>
      <c r="E15" s="32">
        <f>+'Diesel L3'!E15</f>
        <v>22.396551724137932</v>
      </c>
      <c r="F15" s="32">
        <f>+'Diesel L3'!F15</f>
        <v>25.5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2">
        <f>+'Diesel L3'!B16</f>
        <v>16.5</v>
      </c>
      <c r="C16" s="32">
        <f>+'Diesel L3'!C16</f>
        <v>16.810344827586206</v>
      </c>
      <c r="D16" s="32">
        <f>+'Diesel L3'!D16</f>
        <v>17.198275862068964</v>
      </c>
      <c r="E16" s="32">
        <f>+'Diesel L3'!E16</f>
        <v>17.97413793103448</v>
      </c>
      <c r="F16" s="32">
        <f>+'Diesel L3'!F16</f>
        <v>18.75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146</v>
      </c>
      <c r="B19" s="19">
        <f>+Simulations!G113</f>
        <v>0.20525914786375904</v>
      </c>
      <c r="C19" s="27">
        <f t="shared" ref="C19:E21" si="2">B19+(C$2-B$2)*($F19-$B19)/($F$2-$B$2)</f>
        <v>0.20782048965966138</v>
      </c>
      <c r="D19" s="27">
        <f t="shared" si="2"/>
        <v>0.21102216690453929</v>
      </c>
      <c r="E19" s="27">
        <f t="shared" si="2"/>
        <v>0.21742552139429513</v>
      </c>
      <c r="F19" s="27">
        <f>+Simulations!G248</f>
        <v>0.22382887588405098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147</v>
      </c>
      <c r="B20" s="19">
        <f>+Simulations!G114</f>
        <v>0.32383152031912826</v>
      </c>
      <c r="C20" s="27">
        <f t="shared" si="2"/>
        <v>0.3231005641257475</v>
      </c>
      <c r="D20" s="27">
        <f t="shared" si="2"/>
        <v>0.32218686888402154</v>
      </c>
      <c r="E20" s="27">
        <f t="shared" si="2"/>
        <v>0.32035947840056961</v>
      </c>
      <c r="F20" s="27">
        <f>+Simulations!G249</f>
        <v>0.31853208791711768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148</v>
      </c>
      <c r="B21" s="19">
        <f>+Simulations!G115</f>
        <v>0.41663956760679471</v>
      </c>
      <c r="C21" s="27">
        <f t="shared" si="2"/>
        <v>0.41736091430142797</v>
      </c>
      <c r="D21" s="27">
        <f t="shared" si="2"/>
        <v>0.41826259766971957</v>
      </c>
      <c r="E21" s="27">
        <f t="shared" si="2"/>
        <v>0.42006596440630273</v>
      </c>
      <c r="F21" s="27">
        <f>+Simulations!G250</f>
        <v>0.42186933114288588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146</v>
      </c>
      <c r="B23" s="28">
        <f>+Simulations!E110</f>
        <v>5.1234303270344803</v>
      </c>
      <c r="C23" s="13">
        <f t="shared" ref="C23:E25" si="3">B23+(C$2-B$2)*($F23-$B23)/($F$2-$B$2)</f>
        <v>4.8715461242006368</v>
      </c>
      <c r="D23" s="13">
        <f t="shared" si="3"/>
        <v>4.5566908706583327</v>
      </c>
      <c r="E23" s="13">
        <f t="shared" si="3"/>
        <v>3.9269803635737248</v>
      </c>
      <c r="F23" s="28">
        <f>+Simulations!E245</f>
        <v>3.2972698564891174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147</v>
      </c>
      <c r="B24" s="28">
        <f>+Simulations!E111</f>
        <v>5.6775184072609042</v>
      </c>
      <c r="C24" s="13">
        <f t="shared" si="3"/>
        <v>5.3666052081598199</v>
      </c>
      <c r="D24" s="13">
        <f t="shared" si="3"/>
        <v>4.9779637092834648</v>
      </c>
      <c r="E24" s="13">
        <f t="shared" si="3"/>
        <v>4.2006807115307545</v>
      </c>
      <c r="F24" s="28">
        <f>+Simulations!E246</f>
        <v>3.4233977137780442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148</v>
      </c>
      <c r="B25" s="28">
        <f>+Simulations!E112</f>
        <v>6.0600366664561856</v>
      </c>
      <c r="C25" s="13">
        <f t="shared" si="3"/>
        <v>5.704633937483905</v>
      </c>
      <c r="D25" s="13">
        <f t="shared" si="3"/>
        <v>5.2603805262685537</v>
      </c>
      <c r="E25" s="13">
        <f t="shared" si="3"/>
        <v>4.371873703837851</v>
      </c>
      <c r="F25" s="28">
        <f>+Simulations!E247</f>
        <v>3.4833668814071492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146</v>
      </c>
      <c r="B27" s="28">
        <f>+Simulations!E116</f>
        <v>16.190117634581974</v>
      </c>
      <c r="C27" s="13">
        <f t="shared" ref="C27:E29" si="4">B27+(C$2-B$2)*($F27-$B27)/($F$2-$B$2)</f>
        <v>15.779299791640961</v>
      </c>
      <c r="D27" s="13">
        <f t="shared" si="4"/>
        <v>15.265777487964696</v>
      </c>
      <c r="E27" s="13">
        <f t="shared" si="4"/>
        <v>14.238732880612165</v>
      </c>
      <c r="F27" s="28">
        <f>+Simulations!E251</f>
        <v>13.211688273259634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147</v>
      </c>
      <c r="B28" s="28">
        <f>+Simulations!E117</f>
        <v>12.618508941182764</v>
      </c>
      <c r="C28" s="13">
        <f t="shared" si="4"/>
        <v>12.356100619111478</v>
      </c>
      <c r="D28" s="13">
        <f t="shared" si="4"/>
        <v>12.02809021652237</v>
      </c>
      <c r="E28" s="13">
        <f t="shared" si="4"/>
        <v>11.372069411344155</v>
      </c>
      <c r="F28" s="28">
        <f>+Simulations!E252</f>
        <v>10.716048606165941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148</v>
      </c>
      <c r="B29" s="28">
        <f>+Simulations!E118</f>
        <v>10.590345905923805</v>
      </c>
      <c r="C29" s="13">
        <f t="shared" si="4"/>
        <v>10.304962815153878</v>
      </c>
      <c r="D29" s="13">
        <f t="shared" si="4"/>
        <v>9.9482339516914706</v>
      </c>
      <c r="E29" s="13">
        <f t="shared" si="4"/>
        <v>9.2347762247666569</v>
      </c>
      <c r="F29" s="28">
        <f>+Simulations!E253</f>
        <v>8.5213184978418433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146</v>
      </c>
      <c r="B31" s="28">
        <f>+Simulations!E113</f>
        <v>11.51426493040927</v>
      </c>
      <c r="C31" s="13">
        <f t="shared" ref="C31:E33" si="5">B31+(C$2-B$2)*($F31-$B31)/($F$2-$B$2)</f>
        <v>11.141316341210938</v>
      </c>
      <c r="D31" s="13">
        <f t="shared" si="5"/>
        <v>10.675130604713024</v>
      </c>
      <c r="E31" s="13">
        <f t="shared" si="5"/>
        <v>9.7427591317171931</v>
      </c>
      <c r="F31" s="28">
        <f>+Simulations!E248</f>
        <v>8.8103876587213623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147</v>
      </c>
      <c r="B32" s="28">
        <f>+Simulations!E114</f>
        <v>9.6260388607488423</v>
      </c>
      <c r="C32" s="13">
        <f t="shared" si="5"/>
        <v>9.3310532382792033</v>
      </c>
      <c r="D32" s="13">
        <f t="shared" si="5"/>
        <v>8.9623212101921546</v>
      </c>
      <c r="E32" s="13">
        <f t="shared" si="5"/>
        <v>8.2248571540180553</v>
      </c>
      <c r="F32" s="28">
        <f>+Simulations!E249</f>
        <v>7.487393097843956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8">
        <f>+Simulations!E115</f>
        <v>8.6001354251698618</v>
      </c>
      <c r="C33" s="13">
        <f t="shared" si="5"/>
        <v>8.2805588598139011</v>
      </c>
      <c r="D33" s="13">
        <f t="shared" si="5"/>
        <v>7.8810881531189505</v>
      </c>
      <c r="E33" s="13">
        <f t="shared" si="5"/>
        <v>7.0821467397290503</v>
      </c>
      <c r="F33" s="28">
        <f>+Simulations!E250</f>
        <v>6.283205326339151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+B$8*[1]Fremskrivninger!$S$5/B23</f>
        <v>748.74834927645588</v>
      </c>
      <c r="C35" s="14">
        <f>+C$8*[1]Fremskrivninger!$S$5/C23</f>
        <v>933.41462810007579</v>
      </c>
      <c r="D35" s="14">
        <f>+D$8*[1]Fremskrivninger!$S$5/D23</f>
        <v>1192.9573643096662</v>
      </c>
      <c r="E35" s="14">
        <f>+E$8*[1]Fremskrivninger!$S$5/E23</f>
        <v>1836.8996780398124</v>
      </c>
      <c r="F35" s="14">
        <f>+F$8*[1]Fremskrivninger!$S$5/F23</f>
        <v>2726.8013815446334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+B$8*[1]Fremskrivninger!$S$5/B24</f>
        <v>675.67548439719451</v>
      </c>
      <c r="C36" s="14">
        <f>+C$8*[1]Fremskrivninger!$S$5/C24</f>
        <v>847.30891083234803</v>
      </c>
      <c r="D36" s="14">
        <f>+D$8*[1]Fremskrivninger!$S$5/D24</f>
        <v>1092.0003134809795</v>
      </c>
      <c r="E36" s="14">
        <f>+E$8*[1]Fremskrivninger!$S$5/E24</f>
        <v>1717.2142947490545</v>
      </c>
      <c r="F36" s="14">
        <f>+F$8*[1]Fremskrivninger!$S$5/F24</f>
        <v>2626.3381446491585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+B$8*[1]Fremskrivninger!$S$5/B25</f>
        <v>633.0258728027344</v>
      </c>
      <c r="C37" s="14">
        <f>+C$8*[1]Fremskrivninger!$S$5/C25</f>
        <v>797.1015254659244</v>
      </c>
      <c r="D37" s="14">
        <f>+D$8*[1]Fremskrivninger!$S$5/D25</f>
        <v>1033.3735181113334</v>
      </c>
      <c r="E37" s="14">
        <f>+E$8*[1]Fremskrivninger!$S$5/E25</f>
        <v>1649.9719466243716</v>
      </c>
      <c r="F37" s="14">
        <f>+F$8*[1]Fremskrivninger!$S$5/F25</f>
        <v>2581.1234664916992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+B$8*[1]Fremskrivninger!$S$5/B27</f>
        <v>236.94454151500358</v>
      </c>
      <c r="C39" s="14">
        <f>+C$8*[1]Fremskrivninger!$S$5/C27</f>
        <v>288.17326965306501</v>
      </c>
      <c r="D39" s="14">
        <f>+D$8*[1]Fremskrivninger!$S$5/D27</f>
        <v>356.08654294352795</v>
      </c>
      <c r="E39" s="14">
        <f>+E$8*[1]Fremskrivninger!$S$5/E27</f>
        <v>506.60891148111153</v>
      </c>
      <c r="F39" s="14">
        <f>+F$8*[1]Fremskrivninger!$S$5/F27</f>
        <v>680.5337678302418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+B$8*[1]Fremskrivninger!$S$5/B28</f>
        <v>304.01056241122154</v>
      </c>
      <c r="C40" s="14">
        <f>+C$8*[1]Fremskrivninger!$S$5/C28</f>
        <v>368.01030955994986</v>
      </c>
      <c r="D40" s="14">
        <f>+D$8*[1]Fremskrivninger!$S$5/D28</f>
        <v>451.93691044713097</v>
      </c>
      <c r="E40" s="14">
        <f>+E$8*[1]Fremskrivninger!$S$5/E28</f>
        <v>634.31453894587366</v>
      </c>
      <c r="F40" s="14">
        <f>+F$8*[1]Fremskrivninger!$S$5/F28</f>
        <v>839.02195020155466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+B$8*[1]Fremskrivninger!$S$5/B29</f>
        <v>362.23179432262071</v>
      </c>
      <c r="C41" s="14">
        <f>+C$8*[1]Fremskrivninger!$S$5/C29</f>
        <v>441.26043881558661</v>
      </c>
      <c r="D41" s="14">
        <f>+D$8*[1]Fremskrivninger!$S$5/D29</f>
        <v>546.42240596987824</v>
      </c>
      <c r="E41" s="14">
        <f>+E$8*[1]Fremskrivninger!$S$5/E29</f>
        <v>781.12006072995121</v>
      </c>
      <c r="F41" s="14">
        <f>+F$8*[1]Fremskrivninger!$S$5/F29</f>
        <v>1055.1184071194043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+B$8*[1]Fremskrivninger!$S$5/B31</f>
        <v>333.16586192737924</v>
      </c>
      <c r="C43" s="14">
        <f>+C$8*[1]Fremskrivninger!$S$5/C31</f>
        <v>408.13601144897353</v>
      </c>
      <c r="D43" s="14">
        <f>+D$8*[1]Fremskrivninger!$S$5/D31</f>
        <v>509.21512179293995</v>
      </c>
      <c r="E43" s="14">
        <f>+E$8*[1]Fremskrivninger!$S$5/E31</f>
        <v>740.39282589200616</v>
      </c>
      <c r="F43" s="14">
        <f>+F$8*[1]Fremskrivninger!$S$5/F31</f>
        <v>1020.4999312487516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+B$8*[1]Fremskrivninger!$S$5/B32</f>
        <v>398.51906433105466</v>
      </c>
      <c r="C44" s="14">
        <f>+C$8*[1]Fremskrivninger!$S$5/C32</f>
        <v>487.31609365800546</v>
      </c>
      <c r="D44" s="14">
        <f>+D$8*[1]Fremskrivninger!$S$5/D32</f>
        <v>606.53237074928882</v>
      </c>
      <c r="E44" s="14">
        <f>+E$8*[1]Fremskrivninger!$S$5/E32</f>
        <v>877.03273509051451</v>
      </c>
      <c r="F44" s="14">
        <f>+F$8*[1]Fremskrivninger!$S$5/F32</f>
        <v>1200.8184801448474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+B$8*[1]Fremskrivninger!$S$5/B33</f>
        <v>446.0580921519886</v>
      </c>
      <c r="C45" s="14">
        <f>+C$8*[1]Fremskrivninger!$S$5/C33</f>
        <v>549.13834812053949</v>
      </c>
      <c r="D45" s="14">
        <f>+D$8*[1]Fremskrivninger!$S$5/D33</f>
        <v>689.7445917900568</v>
      </c>
      <c r="E45" s="14">
        <f>+E$8*[1]Fremskrivninger!$S$5/E33</f>
        <v>1018.5427146053761</v>
      </c>
      <c r="F45" s="14">
        <f>+F$8*[1]Fremskrivninger!$S$5/F33</f>
        <v>1430.9575340964577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4" ht="15.75" thickBot="1" x14ac:dyDescent="0.35">
      <c r="A65" s="5" t="s">
        <v>54</v>
      </c>
      <c r="B65" s="32">
        <f>+'Diesel L3'!B65+73.2*[1]Fremskrivninger!N11/1000</f>
        <v>61.911999999999999</v>
      </c>
      <c r="C65" s="32">
        <f>B65+(C$2-B$2)*($F65-$B65)/($F$2-$B$2)</f>
        <v>61.68358620689655</v>
      </c>
      <c r="D65" s="32">
        <f>C65+(D$2-C$2)*($F65-$B65)/($F$2-$B$2)</f>
        <v>61.39806896551724</v>
      </c>
      <c r="E65" s="32">
        <f>D65+(E$2-D$2)*($F65-$B65)/($F$2-$B$2)</f>
        <v>60.82703448275862</v>
      </c>
      <c r="F65" s="32">
        <f>+'Diesel L3'!F65+73.2*[1]Fremskrivninger!P11/1000</f>
        <v>60.256</v>
      </c>
      <c r="G65" s="3"/>
      <c r="H65" s="3"/>
      <c r="I65" s="3"/>
      <c r="J65" s="3"/>
      <c r="K65" s="3"/>
      <c r="L65" s="3"/>
      <c r="M65" s="3"/>
      <c r="N65" s="3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f>'BEV L3'!B67</f>
        <v>10.5</v>
      </c>
      <c r="C67" s="3">
        <f>'BEV L3'!C67</f>
        <v>10.5</v>
      </c>
      <c r="D67" s="3">
        <f>'BEV L3'!D67</f>
        <v>10.5</v>
      </c>
      <c r="E67" s="3">
        <f>'BEV L3'!E67</f>
        <v>10.5</v>
      </c>
      <c r="F67" s="3">
        <f>'BEV L3'!F67</f>
        <v>10.5</v>
      </c>
      <c r="G67" s="3">
        <f>'BEV L3'!G67</f>
        <v>6</v>
      </c>
      <c r="H67" s="3">
        <f>'BEV L3'!H67</f>
        <v>20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4" ht="15.75" thickBot="1" x14ac:dyDescent="0.35">
      <c r="A68" s="5" t="str">
        <f>'FCV L1'!A68</f>
        <v>Typical fuel cell lifetime (years)</v>
      </c>
      <c r="B68" s="32">
        <f>'FCV L1'!B68</f>
        <v>8.5470085470085468</v>
      </c>
      <c r="C68" s="32">
        <f>'FCV L1'!C68</f>
        <v>9.1364574123194817</v>
      </c>
      <c r="D68" s="32">
        <f>'FCV L1'!D68</f>
        <v>9.8732684939581503</v>
      </c>
      <c r="E68" s="32">
        <f>'FCV L1'!E68</f>
        <v>11.346890657235486</v>
      </c>
      <c r="F68" s="32">
        <f>'FCV L1'!F68</f>
        <v>12.820512820512819</v>
      </c>
      <c r="G68" s="32">
        <f>'FCV L1'!G68</f>
        <v>2.1367521367521367</v>
      </c>
      <c r="H68" s="32">
        <f>'FCV L1'!H68</f>
        <v>13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4" ht="15.75" thickBot="1" x14ac:dyDescent="0.35">
      <c r="A69" s="5" t="s">
        <v>39</v>
      </c>
      <c r="B69" s="3">
        <f>'Diesel L3'!B69</f>
        <v>931962</v>
      </c>
      <c r="C69" s="3">
        <f>'Diesel L3'!C69</f>
        <v>931962</v>
      </c>
      <c r="D69" s="3">
        <f>'Diesel L3'!D69</f>
        <v>931962</v>
      </c>
      <c r="E69" s="3">
        <f>'Diesel L3'!E69</f>
        <v>931962</v>
      </c>
      <c r="F69" s="3">
        <f>'Diesel L3'!F69</f>
        <v>931962</v>
      </c>
      <c r="G69" s="3">
        <f>'Diesel L3'!G69</f>
        <v>500000</v>
      </c>
      <c r="H69" s="3">
        <f>'Diesel L3'!H69</f>
        <v>2500000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4" ht="15.75" thickBot="1" x14ac:dyDescent="0.35">
      <c r="A70" s="5" t="s">
        <v>40</v>
      </c>
      <c r="B70" s="14">
        <f>'Diesel L3'!B70</f>
        <v>133137.42857142858</v>
      </c>
      <c r="C70" s="14">
        <f>'Diesel L3'!C70</f>
        <v>133137.42857142858</v>
      </c>
      <c r="D70" s="14">
        <f>'Diesel L3'!D70</f>
        <v>133137.42857142858</v>
      </c>
      <c r="E70" s="14">
        <f>'Diesel L3'!E70</f>
        <v>133137.42857142858</v>
      </c>
      <c r="F70" s="14">
        <f>'Diesel L3'!F70</f>
        <v>133137.42857142858</v>
      </c>
      <c r="G70" s="14">
        <f>'Diesel L3'!G70</f>
        <v>99853.071428571435</v>
      </c>
      <c r="H70" s="14">
        <f>'Diesel L3'!H70</f>
        <v>166421.78571428574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4" ht="15.75" thickBot="1" x14ac:dyDescent="0.35">
      <c r="A71" s="5" t="s">
        <v>41</v>
      </c>
      <c r="B71" s="3">
        <v>391800</v>
      </c>
      <c r="C71" s="14">
        <f>B71+(C$2-B$2)*($D71-$B71)/($D$2-$B$2)</f>
        <v>287488.88888888888</v>
      </c>
      <c r="D71" s="3">
        <v>157100</v>
      </c>
      <c r="E71" s="3">
        <f>+D71</f>
        <v>157100</v>
      </c>
      <c r="F71" s="3">
        <f>+E71</f>
        <v>157100</v>
      </c>
      <c r="G71" s="59" t="s">
        <v>111</v>
      </c>
      <c r="H71" s="59" t="s">
        <v>111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</row>
    <row r="72" spans="1:14" ht="15.75" thickBot="1" x14ac:dyDescent="0.35">
      <c r="A72" s="5" t="s">
        <v>42</v>
      </c>
      <c r="B72" s="3">
        <f>[1]Fremskrivninger!N10*B8+190*[1]Fremskrivninger!N9+73.2*[1]Fremskrivninger!N8</f>
        <v>124850</v>
      </c>
      <c r="C72" s="14">
        <f t="shared" ref="C72:E73" si="6">B72+(C$2-B$2)*($F72-$B72)/($F$2-$B$2)</f>
        <v>116028.20689655172</v>
      </c>
      <c r="D72" s="14">
        <f t="shared" si="6"/>
        <v>105000.96551724138</v>
      </c>
      <c r="E72" s="14">
        <f t="shared" si="6"/>
        <v>82946.482758620696</v>
      </c>
      <c r="F72" s="3">
        <f>[1]Fremskrivninger!P10*F8+190*[1]Fremskrivninger!P9+73.2*[1]Fremskrivninger!P8</f>
        <v>60892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4" ht="15.75" thickBot="1" x14ac:dyDescent="0.35">
      <c r="A73" s="5" t="s">
        <v>137</v>
      </c>
      <c r="B73" s="3">
        <f>[1]Fremskrivninger!$N$12*B14</f>
        <v>142500</v>
      </c>
      <c r="C73" s="14">
        <f t="shared" si="6"/>
        <v>131120.68965517241</v>
      </c>
      <c r="D73" s="14">
        <f t="shared" si="6"/>
        <v>116896.55172413793</v>
      </c>
      <c r="E73" s="14">
        <f t="shared" si="6"/>
        <v>88448.275862068956</v>
      </c>
      <c r="F73" s="14">
        <f>[1]Fremskrivninger!$P$12*F14</f>
        <v>60000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4" ht="15.75" thickBot="1" x14ac:dyDescent="0.35">
      <c r="A74" s="5" t="s">
        <v>113</v>
      </c>
      <c r="B74" s="14">
        <f>'BEV L3'!B74</f>
        <v>6400</v>
      </c>
      <c r="C74" s="14">
        <f>'BEV L3'!C74</f>
        <v>6400</v>
      </c>
      <c r="D74" s="14">
        <f>'BEV L3'!D74</f>
        <v>6400</v>
      </c>
      <c r="E74" s="14">
        <f>'BEV L3'!E74</f>
        <v>6400</v>
      </c>
      <c r="F74" s="14">
        <f>'BEV L3'!F74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4" ht="15.75" thickBot="1" x14ac:dyDescent="0.35">
      <c r="A75" s="5" t="s">
        <v>112</v>
      </c>
      <c r="B75" s="13">
        <f>'BEV L3'!B75</f>
        <v>0.107</v>
      </c>
      <c r="C75" s="13">
        <f>'BEV L3'!C75</f>
        <v>0.107</v>
      </c>
      <c r="D75" s="13">
        <f>'BEV L3'!D75</f>
        <v>0.107</v>
      </c>
      <c r="E75" s="13">
        <f>'BEV L3'!E75</f>
        <v>0.107</v>
      </c>
      <c r="F75" s="13">
        <f>'BEV L3'!F75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  <row r="77" spans="1:14" x14ac:dyDescent="0.3">
      <c r="A77" s="44"/>
      <c r="C77" s="45"/>
      <c r="D77" s="45"/>
      <c r="E77" s="45"/>
      <c r="F77" s="45"/>
    </row>
    <row r="78" spans="1:14" x14ac:dyDescent="0.3">
      <c r="A78" s="44"/>
      <c r="C78" s="45"/>
      <c r="D78" s="45"/>
      <c r="E78" s="45"/>
    </row>
    <row r="79" spans="1:14" x14ac:dyDescent="0.3">
      <c r="A79" s="44"/>
      <c r="C79" s="45"/>
      <c r="D79" s="45"/>
      <c r="E79" s="45"/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1000-000000000000}"/>
    <hyperlink ref="N2" location="References!A1" display="Ref" xr:uid="{47595C42-87C1-435A-9A32-E92F9C08A85A}"/>
  </hyperlinks>
  <pageMargins left="0.7" right="0.7" top="0.75" bottom="0.75" header="0.3" footer="0.3"/>
  <pageSetup paperSize="9" scale="5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pageSetUpPr fitToPage="1"/>
  </sheetPr>
  <dimension ref="A1:O79"/>
  <sheetViews>
    <sheetView workbookViewId="0">
      <selection activeCell="A18" sqref="A18:A45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  <col min="15" max="15" width="1.42578125" bestFit="1" customWidth="1"/>
  </cols>
  <sheetData>
    <row r="1" spans="1:14" ht="15.75" thickBot="1" x14ac:dyDescent="0.35">
      <c r="A1" s="54" t="s">
        <v>0</v>
      </c>
      <c r="B1" s="82" t="str">
        <f>+'Diesel B1'!C1</f>
        <v>City bus &gt; 12 meters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49</v>
      </c>
      <c r="B4" s="3">
        <v>63</v>
      </c>
      <c r="C4" s="3">
        <v>63</v>
      </c>
      <c r="D4" s="3">
        <v>63</v>
      </c>
      <c r="E4" s="3">
        <v>63</v>
      </c>
      <c r="F4" s="3">
        <v>63</v>
      </c>
      <c r="G4" s="59" t="s">
        <v>111</v>
      </c>
      <c r="H4" s="59" t="s">
        <v>111</v>
      </c>
      <c r="I4" s="59" t="s">
        <v>111</v>
      </c>
      <c r="J4" s="59" t="s">
        <v>111</v>
      </c>
      <c r="K4" s="59" t="s">
        <v>111</v>
      </c>
      <c r="L4" s="59" t="s">
        <v>111</v>
      </c>
      <c r="M4" s="3"/>
      <c r="N4" s="3">
        <v>2</v>
      </c>
    </row>
    <row r="5" spans="1:14" ht="15.75" thickBot="1" x14ac:dyDescent="0.35">
      <c r="A5" s="5" t="s">
        <v>9</v>
      </c>
      <c r="B5" s="3">
        <v>12550</v>
      </c>
      <c r="C5" s="14">
        <f>B5+(C$2-B$2)*($F5-$B5)/($F$2-$B$2)</f>
        <v>12273.034482758621</v>
      </c>
      <c r="D5" s="14">
        <f>C5+(D$2-C$2)*($F5-$B5)/($F$2-$B$2)</f>
        <v>11926.827586206897</v>
      </c>
      <c r="E5" s="14">
        <f>D5+(E$2-D$2)*($F5-$B5)/($F$2-$B$2)</f>
        <v>11234.413793103449</v>
      </c>
      <c r="F5" s="3">
        <f>+B5*[1]Fremskrivninger!B47</f>
        <v>10542</v>
      </c>
      <c r="G5" s="59" t="s">
        <v>111</v>
      </c>
      <c r="H5" s="59" t="s">
        <v>111</v>
      </c>
      <c r="I5" s="59" t="s">
        <v>111</v>
      </c>
      <c r="J5" s="59" t="s">
        <v>111</v>
      </c>
      <c r="K5" s="59" t="s">
        <v>111</v>
      </c>
      <c r="L5" s="59" t="s">
        <v>111</v>
      </c>
      <c r="M5" s="3"/>
      <c r="N5" s="3">
        <v>2</v>
      </c>
    </row>
    <row r="6" spans="1:14" ht="15.75" thickBot="1" x14ac:dyDescent="0.35">
      <c r="A6" s="5" t="s">
        <v>10</v>
      </c>
      <c r="B6" s="3">
        <v>18000</v>
      </c>
      <c r="C6" s="3">
        <v>18000</v>
      </c>
      <c r="D6" s="3">
        <v>18000</v>
      </c>
      <c r="E6" s="3">
        <v>18000</v>
      </c>
      <c r="F6" s="3">
        <v>18000</v>
      </c>
      <c r="G6" s="50">
        <f>'Diesel B1'!G6</f>
        <v>12000</v>
      </c>
      <c r="H6" s="50">
        <f>'Diesel B1'!H6</f>
        <v>24000</v>
      </c>
      <c r="I6" s="50">
        <f>'Diesel B1'!I6</f>
        <v>12000</v>
      </c>
      <c r="J6" s="50">
        <f>'Diesel B1'!J6</f>
        <v>24000</v>
      </c>
      <c r="K6" s="50">
        <f>'Diesel B1'!K6</f>
        <v>12000</v>
      </c>
      <c r="L6" s="50">
        <f>'Diesel B1'!L6</f>
        <v>24000</v>
      </c>
      <c r="M6" s="3"/>
      <c r="N6" s="3">
        <v>2</v>
      </c>
    </row>
    <row r="7" spans="1:14" ht="15.75" thickBot="1" x14ac:dyDescent="0.35">
      <c r="A7" s="5" t="s">
        <v>11</v>
      </c>
      <c r="B7" s="14">
        <f>+'Diesel B1'!B7</f>
        <v>8.1999999999999993</v>
      </c>
      <c r="C7" s="14">
        <f>+'Diesel B1'!C7</f>
        <v>8.7241379310344822</v>
      </c>
      <c r="D7" s="14">
        <f>+'Diesel B1'!D7</f>
        <v>9.3793103448275854</v>
      </c>
      <c r="E7" s="14">
        <f>+'Diesel B1'!E7</f>
        <v>10.689655172413792</v>
      </c>
      <c r="F7" s="14">
        <f>+'Diesel B1'!F7</f>
        <v>12</v>
      </c>
      <c r="G7" s="59" t="s">
        <v>111</v>
      </c>
      <c r="H7" s="59" t="s">
        <v>111</v>
      </c>
      <c r="I7" s="59" t="s">
        <v>111</v>
      </c>
      <c r="J7" s="59" t="s">
        <v>111</v>
      </c>
      <c r="K7" s="59" t="s">
        <v>111</v>
      </c>
      <c r="L7" s="59" t="s">
        <v>111</v>
      </c>
      <c r="M7" s="3"/>
      <c r="N7" s="3">
        <v>2</v>
      </c>
    </row>
    <row r="8" spans="1:14" ht="15.75" thickBot="1" x14ac:dyDescent="0.35">
      <c r="A8" s="5" t="s">
        <v>142</v>
      </c>
      <c r="B8" s="3">
        <v>32</v>
      </c>
      <c r="C8" s="14">
        <f t="shared" ref="C8:E9" si="0">B8+(C$2-B$2)*($F8-$B8)/($F$2-$B$2)</f>
        <v>37.931034482758619</v>
      </c>
      <c r="D8" s="14">
        <f t="shared" si="0"/>
        <v>45.344827586206897</v>
      </c>
      <c r="E8" s="14">
        <f t="shared" si="0"/>
        <v>60.172413793103445</v>
      </c>
      <c r="F8" s="3">
        <v>75</v>
      </c>
      <c r="G8" s="59" t="s">
        <v>111</v>
      </c>
      <c r="H8" s="59" t="s">
        <v>111</v>
      </c>
      <c r="I8" s="59" t="s">
        <v>111</v>
      </c>
      <c r="J8" s="59" t="s">
        <v>111</v>
      </c>
      <c r="K8" s="59" t="s">
        <v>111</v>
      </c>
      <c r="L8" s="59" t="s">
        <v>111</v>
      </c>
      <c r="M8" s="3"/>
      <c r="N8" s="3">
        <v>2</v>
      </c>
    </row>
    <row r="9" spans="1:14" ht="15.75" thickBot="1" x14ac:dyDescent="0.35">
      <c r="A9" s="5" t="s">
        <v>13</v>
      </c>
      <c r="B9" s="14">
        <f>[1]Fremskrivninger!N6*37.8</f>
        <v>230.57999999999996</v>
      </c>
      <c r="C9" s="14">
        <f t="shared" si="0"/>
        <v>218.58827586206894</v>
      </c>
      <c r="D9" s="14">
        <f t="shared" si="0"/>
        <v>203.59862068965515</v>
      </c>
      <c r="E9" s="14">
        <f t="shared" si="0"/>
        <v>173.61931034482757</v>
      </c>
      <c r="F9" s="14">
        <f>37.8*[1]Fremskrivninger!P6</f>
        <v>143.63999999999999</v>
      </c>
      <c r="G9" s="59" t="s">
        <v>111</v>
      </c>
      <c r="H9" s="59" t="s">
        <v>111</v>
      </c>
      <c r="I9" s="59" t="s">
        <v>111</v>
      </c>
      <c r="J9" s="59" t="s">
        <v>111</v>
      </c>
      <c r="K9" s="59" t="s">
        <v>111</v>
      </c>
      <c r="L9" s="59" t="s">
        <v>111</v>
      </c>
      <c r="M9" s="3"/>
      <c r="N9" s="3">
        <v>2</v>
      </c>
    </row>
    <row r="10" spans="1:14" ht="15.75" thickBot="1" x14ac:dyDescent="0.35">
      <c r="A10" s="5" t="s">
        <v>50</v>
      </c>
      <c r="B10" s="14">
        <f>+B8*33.3/B11*60</f>
        <v>4262.3999999999996</v>
      </c>
      <c r="C10" s="14">
        <f>+C8*33.3/C11*60</f>
        <v>5052.4137931034475</v>
      </c>
      <c r="D10" s="14">
        <f>+D8*33.3/D11*60</f>
        <v>6039.9310344827582</v>
      </c>
      <c r="E10" s="14">
        <f>+E8*33.3/E11*60</f>
        <v>8014.9655172413786</v>
      </c>
      <c r="F10" s="14">
        <f>+F8*33.3/F11*60</f>
        <v>9990</v>
      </c>
      <c r="G10" s="59" t="s">
        <v>111</v>
      </c>
      <c r="H10" s="59" t="s">
        <v>111</v>
      </c>
      <c r="I10" s="59" t="s">
        <v>111</v>
      </c>
      <c r="J10" s="59" t="s">
        <v>111</v>
      </c>
      <c r="K10" s="59" t="s">
        <v>111</v>
      </c>
      <c r="L10" s="59" t="s">
        <v>111</v>
      </c>
      <c r="M10" s="3"/>
      <c r="N10" s="3">
        <v>2</v>
      </c>
    </row>
    <row r="11" spans="1:14" ht="15.75" thickBot="1" x14ac:dyDescent="0.35">
      <c r="A11" s="5" t="s">
        <v>134</v>
      </c>
      <c r="B11" s="3">
        <v>15</v>
      </c>
      <c r="C11" s="3">
        <v>15</v>
      </c>
      <c r="D11" s="3">
        <v>15</v>
      </c>
      <c r="E11" s="3">
        <v>15</v>
      </c>
      <c r="F11" s="3">
        <v>15</v>
      </c>
      <c r="G11" s="59" t="s">
        <v>111</v>
      </c>
      <c r="H11" s="59" t="s">
        <v>111</v>
      </c>
      <c r="I11" s="59" t="s">
        <v>111</v>
      </c>
      <c r="J11" s="59" t="s">
        <v>111</v>
      </c>
      <c r="K11" s="59" t="s">
        <v>111</v>
      </c>
      <c r="L11" s="59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59" t="s">
        <v>111</v>
      </c>
      <c r="H12" s="59" t="s">
        <v>111</v>
      </c>
      <c r="I12" s="59" t="s">
        <v>111</v>
      </c>
      <c r="J12" s="59" t="s">
        <v>111</v>
      </c>
      <c r="K12" s="59" t="s">
        <v>111</v>
      </c>
      <c r="L12" s="59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364</v>
      </c>
      <c r="C14" s="14">
        <f>B14+(C$2-B$2)*($F14-$B14)/($F$2-$B$2)</f>
        <v>375.86206896551727</v>
      </c>
      <c r="D14" s="14">
        <f>C14+(D$2-C$2)*($F14-$B14)/($F$2-$B$2)</f>
        <v>390.68965517241384</v>
      </c>
      <c r="E14" s="14">
        <f>D14+(E$2-D$2)*($F14-$B14)/($F$2-$B$2)</f>
        <v>420.34482758620692</v>
      </c>
      <c r="F14" s="3">
        <v>450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v>12</v>
      </c>
      <c r="C15" s="3">
        <v>12</v>
      </c>
      <c r="D15" s="3">
        <v>12</v>
      </c>
      <c r="E15" s="3">
        <v>12</v>
      </c>
      <c r="F15" s="3">
        <v>12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">
        <v>12</v>
      </c>
      <c r="C16" s="3">
        <v>12</v>
      </c>
      <c r="D16" s="3">
        <v>12</v>
      </c>
      <c r="E16" s="3">
        <v>12</v>
      </c>
      <c r="F16" s="3">
        <v>12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21" t="s">
        <v>18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  <c r="N17" s="23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149</v>
      </c>
      <c r="B19" s="26">
        <f>+Simulations!G122</f>
        <v>0.17182771842282049</v>
      </c>
      <c r="C19" s="27">
        <f t="shared" ref="C19:E21" si="1">B19+(C$2-B$2)*($F19-$B19)/($F$2-$B$2)</f>
        <v>0.17319534660588881</v>
      </c>
      <c r="D19" s="27">
        <f t="shared" si="1"/>
        <v>0.17490488183472422</v>
      </c>
      <c r="E19" s="27">
        <f t="shared" si="1"/>
        <v>0.178323952292395</v>
      </c>
      <c r="F19" s="27">
        <f>+Simulations!G257</f>
        <v>0.18174302275006579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150</v>
      </c>
      <c r="B20" s="26">
        <f>+Simulations!G123</f>
        <v>0.37235963060799454</v>
      </c>
      <c r="C20" s="27">
        <f t="shared" si="1"/>
        <v>0.37482852142402762</v>
      </c>
      <c r="D20" s="27">
        <f t="shared" si="1"/>
        <v>0.37791463494406896</v>
      </c>
      <c r="E20" s="27">
        <f t="shared" si="1"/>
        <v>0.38408686198415165</v>
      </c>
      <c r="F20" s="27">
        <f>+Simulations!G258</f>
        <v>0.39025908902423428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151</v>
      </c>
      <c r="B21" s="26">
        <f>+Simulations!G124</f>
        <v>0.41994831503123381</v>
      </c>
      <c r="C21" s="27">
        <f t="shared" si="1"/>
        <v>0.42436969870105928</v>
      </c>
      <c r="D21" s="27">
        <f t="shared" si="1"/>
        <v>0.42989642828834113</v>
      </c>
      <c r="E21" s="27">
        <f t="shared" si="1"/>
        <v>0.44094988746290481</v>
      </c>
      <c r="F21" s="27">
        <f>+Simulations!G259</f>
        <v>0.45200334663746844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149</v>
      </c>
      <c r="B23" s="28">
        <f>+Simulations!E119</f>
        <v>6.8931820536089781</v>
      </c>
      <c r="C23" s="13">
        <f t="shared" ref="C23:E25" si="2">B23+(C$2-B$2)*($F23-$B23)/($F$2-$B$2)</f>
        <v>6.5593406547329227</v>
      </c>
      <c r="D23" s="13">
        <f t="shared" si="2"/>
        <v>6.142038906137854</v>
      </c>
      <c r="E23" s="13">
        <f t="shared" si="2"/>
        <v>5.3074354089477156</v>
      </c>
      <c r="F23" s="28">
        <f>+Simulations!E254</f>
        <v>4.4728319117575772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150</v>
      </c>
      <c r="B24" s="28">
        <f>+Simulations!E120</f>
        <v>5.6721159415221809</v>
      </c>
      <c r="C24" s="13">
        <f t="shared" si="2"/>
        <v>5.4005900246921286</v>
      </c>
      <c r="D24" s="13">
        <f t="shared" si="2"/>
        <v>5.0611826286545627</v>
      </c>
      <c r="E24" s="13">
        <f t="shared" si="2"/>
        <v>4.382367836579431</v>
      </c>
      <c r="F24" s="28">
        <f>+Simulations!E255</f>
        <v>3.7035530445042997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151</v>
      </c>
      <c r="B25" s="28">
        <f>+Simulations!E121</f>
        <v>6.2275275985069634</v>
      </c>
      <c r="C25" s="13">
        <f t="shared" si="2"/>
        <v>5.9172191145554276</v>
      </c>
      <c r="D25" s="13">
        <f t="shared" si="2"/>
        <v>5.5293335096160083</v>
      </c>
      <c r="E25" s="13">
        <f t="shared" si="2"/>
        <v>4.7535622997371698</v>
      </c>
      <c r="F25" s="28">
        <f>+Simulations!E256</f>
        <v>3.9777910898583317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149</v>
      </c>
      <c r="B27" s="28">
        <f>+Simulations!E125</f>
        <v>9.6066474442454552</v>
      </c>
      <c r="C27" s="13">
        <f t="shared" ref="C27:E29" si="3">B27+(C$2-B$2)*($F27-$B27)/($F$2-$B$2)</f>
        <v>9.2362667708336428</v>
      </c>
      <c r="D27" s="13">
        <f t="shared" si="3"/>
        <v>8.7732909290688781</v>
      </c>
      <c r="E27" s="13">
        <f t="shared" si="3"/>
        <v>7.8473392455393487</v>
      </c>
      <c r="F27" s="28">
        <f>+Simulations!E260</f>
        <v>6.9213875620098193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150</v>
      </c>
      <c r="B28" s="28">
        <f>+Simulations!E126</f>
        <v>6.6019510949032769</v>
      </c>
      <c r="C28" s="13">
        <f t="shared" si="3"/>
        <v>6.3414337555247204</v>
      </c>
      <c r="D28" s="13">
        <f t="shared" si="3"/>
        <v>6.0157870813015251</v>
      </c>
      <c r="E28" s="13">
        <f t="shared" si="3"/>
        <v>5.3644937328551343</v>
      </c>
      <c r="F28" s="28">
        <f>+Simulations!E261</f>
        <v>4.7132003844087444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151</v>
      </c>
      <c r="B29" s="28">
        <f>+Simulations!E127</f>
        <v>6.8206622256641358</v>
      </c>
      <c r="C29" s="13">
        <f t="shared" si="3"/>
        <v>6.5194139843748031</v>
      </c>
      <c r="D29" s="13">
        <f t="shared" si="3"/>
        <v>6.1428536827631373</v>
      </c>
      <c r="E29" s="13">
        <f t="shared" si="3"/>
        <v>5.3897330795398055</v>
      </c>
      <c r="F29" s="28">
        <f>+Simulations!E262</f>
        <v>4.6366124763164729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149</v>
      </c>
      <c r="B31" s="28">
        <f>+Simulations!E122</f>
        <v>7.1738769188135842</v>
      </c>
      <c r="C31" s="13">
        <f t="shared" ref="C31:E33" si="4">B31+(C$2-B$2)*($F31-$B31)/($F$2-$B$2)</f>
        <v>6.8378332315355621</v>
      </c>
      <c r="D31" s="13">
        <f t="shared" si="4"/>
        <v>6.4177786224380347</v>
      </c>
      <c r="E31" s="13">
        <f t="shared" si="4"/>
        <v>5.5776694042429806</v>
      </c>
      <c r="F31" s="28">
        <f>+Simulations!E257</f>
        <v>4.7375601860479266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150</v>
      </c>
      <c r="B32" s="28">
        <f>+Simulations!E123</f>
        <v>5.7672801415583086</v>
      </c>
      <c r="C32" s="13">
        <f t="shared" si="4"/>
        <v>5.4976130630413236</v>
      </c>
      <c r="D32" s="13">
        <f t="shared" si="4"/>
        <v>5.1605292148950923</v>
      </c>
      <c r="E32" s="13">
        <f t="shared" si="4"/>
        <v>4.4863615186026298</v>
      </c>
      <c r="F32" s="28">
        <f>+Simulations!E258</f>
        <v>3.8121938223101677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151</v>
      </c>
      <c r="B33" s="28">
        <f>+Simulations!E124</f>
        <v>6.2883346993219726</v>
      </c>
      <c r="C33" s="13">
        <f t="shared" si="4"/>
        <v>5.9791761289374064</v>
      </c>
      <c r="D33" s="13">
        <f t="shared" si="4"/>
        <v>5.592727915956698</v>
      </c>
      <c r="E33" s="13">
        <f t="shared" si="4"/>
        <v>4.8198314899952823</v>
      </c>
      <c r="F33" s="28">
        <f>+Simulations!E259</f>
        <v>4.0469350640338666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149</v>
      </c>
      <c r="B35" s="14">
        <f>+B$8*[1]Fremskrivninger!$S$5/B23</f>
        <v>556.51511452414763</v>
      </c>
      <c r="C35" s="14">
        <f>+C$8*[1]Fremskrivninger!$S$5/C23</f>
        <v>693.23620362849579</v>
      </c>
      <c r="D35" s="14">
        <f>+D$8*[1]Fremskrivninger!$S$5/D23</f>
        <v>885.0380165456537</v>
      </c>
      <c r="E35" s="14">
        <f>+E$8*[1]Fremskrivninger!$S$5/E23</f>
        <v>1359.1251536205557</v>
      </c>
      <c r="F35" s="14">
        <f>+F$8*[1]Fremskrivninger!$S$5/F23</f>
        <v>2010.135899890553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150</v>
      </c>
      <c r="B36" s="14">
        <f>+B$8*[1]Fremskrivninger!$S$5/B24</f>
        <v>676.31903852982953</v>
      </c>
      <c r="C36" s="14">
        <f>+C$8*[1]Fremskrivninger!$S$5/C24</f>
        <v>841.97696788737892</v>
      </c>
      <c r="D36" s="14">
        <f>+D$8*[1]Fremskrivninger!$S$5/D24</f>
        <v>1074.0450068444859</v>
      </c>
      <c r="E36" s="14">
        <f>+E$8*[1]Fremskrivninger!$S$5/E24</f>
        <v>1646.0208806085909</v>
      </c>
      <c r="F36" s="14">
        <f>+F$8*[1]Fremskrivninger!$S$5/F24</f>
        <v>2427.6687526702876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151</v>
      </c>
      <c r="B37" s="14">
        <f>+B$8*[1]Fremskrivninger!$S$5/B25</f>
        <v>616.0004816228693</v>
      </c>
      <c r="C37" s="14">
        <f>+C$8*[1]Fremskrivninger!$S$5/C25</f>
        <v>768.46442995625682</v>
      </c>
      <c r="D37" s="14">
        <f>+D$8*[1]Fremskrivninger!$S$5/D25</f>
        <v>983.10907120738841</v>
      </c>
      <c r="E37" s="14">
        <f>+E$8*[1]Fremskrivninger!$S$5/E25</f>
        <v>1517.4869941046279</v>
      </c>
      <c r="F37" s="14">
        <f>+F$8*[1]Fremskrivninger!$S$5/F25</f>
        <v>2260.2996982227673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149</v>
      </c>
      <c r="B39" s="14">
        <f>+B$8*[1]Fremskrivninger!$S$5/B27</f>
        <v>399.32349159934301</v>
      </c>
      <c r="C39" s="14">
        <f>+C$8*[1]Fremskrivninger!$S$5/C27</f>
        <v>492.31713706583281</v>
      </c>
      <c r="D39" s="14">
        <f>+D$8*[1]Fremskrivninger!$S$5/D27</f>
        <v>619.60078321617982</v>
      </c>
      <c r="E39" s="14">
        <f>+E$8*[1]Fremskrivninger!$S$5/E27</f>
        <v>919.2248149100451</v>
      </c>
      <c r="F39" s="14">
        <f>+F$8*[1]Fremskrivninger!$S$5/F27</f>
        <v>1299.0169845927846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150</v>
      </c>
      <c r="B40" s="14">
        <f>+B$8*[1]Fremskrivninger!$S$5/B28</f>
        <v>581.06458906693888</v>
      </c>
      <c r="C40" s="14">
        <f>+C$8*[1]Fremskrivninger!$S$5/C28</f>
        <v>717.05746509321511</v>
      </c>
      <c r="D40" s="14">
        <f>+D$8*[1]Fremskrivninger!$S$5/D28</f>
        <v>903.61208892027628</v>
      </c>
      <c r="E40" s="14">
        <f>+E$8*[1]Fremskrivninger!$S$5/E28</f>
        <v>1344.6691010817958</v>
      </c>
      <c r="F40" s="14">
        <f>+F$8*[1]Fremskrivninger!$S$5/F28</f>
        <v>1907.6209935274992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151</v>
      </c>
      <c r="B41" s="14">
        <f>+B$8*[1]Fremskrivninger!$S$5/B29</f>
        <v>562.43219105113633</v>
      </c>
      <c r="C41" s="14">
        <f>+C$8*[1]Fremskrivninger!$S$5/C29</f>
        <v>697.48177132045817</v>
      </c>
      <c r="D41" s="14">
        <f>+D$8*[1]Fremskrivninger!$S$5/D29</f>
        <v>884.92062675816919</v>
      </c>
      <c r="E41" s="14">
        <f>+E$8*[1]Fremskrivninger!$S$5/E29</f>
        <v>1338.3722086165262</v>
      </c>
      <c r="F41" s="14">
        <f>+F$8*[1]Fremskrivninger!$S$5/F29</f>
        <v>1939.131218303334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149</v>
      </c>
      <c r="B43" s="14">
        <f>+B$8*[1]Fremskrivninger!$S$5/B31</f>
        <v>534.74014726118605</v>
      </c>
      <c r="C43" s="14">
        <f>+C$8*[1]Fremskrivninger!$S$5/C31</f>
        <v>665.0019472282379</v>
      </c>
      <c r="D43" s="14">
        <f>+D$8*[1]Fremskrivninger!$S$5/D31</f>
        <v>847.01237777650817</v>
      </c>
      <c r="E43" s="14">
        <f>+E$8*[1]Fremskrivninger!$S$5/E31</f>
        <v>1293.2765359004413</v>
      </c>
      <c r="F43" s="14">
        <f>+F$8*[1]Fremskrivninger!$S$5/F31</f>
        <v>1897.8123014623468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150</v>
      </c>
      <c r="B44" s="14">
        <f>+B$8*[1]Fremskrivninger!$S$5/B32</f>
        <v>665.15929620916188</v>
      </c>
      <c r="C44" s="14">
        <f>+C$8*[1]Fremskrivninger!$S$5/C32</f>
        <v>827.11758023900848</v>
      </c>
      <c r="D44" s="14">
        <f>+D$8*[1]Fremskrivninger!$S$5/D32</f>
        <v>1053.3683086890517</v>
      </c>
      <c r="E44" s="14">
        <f>+E$8*[1]Fremskrivninger!$S$5/E32</f>
        <v>1607.8661818952176</v>
      </c>
      <c r="F44" s="14">
        <f>+F$8*[1]Fremskrivninger!$S$5/F32</f>
        <v>2358.4844892675223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151</v>
      </c>
      <c r="B45" s="14">
        <f>+B$8*[1]Fremskrivninger!$S$5/B33</f>
        <v>610.04386430220165</v>
      </c>
      <c r="C45" s="14">
        <f>+C$8*[1]Fremskrivninger!$S$5/C33</f>
        <v>760.50149982807204</v>
      </c>
      <c r="D45" s="14">
        <f>+D$8*[1]Fremskrivninger!$S$5/D33</f>
        <v>971.96538303340753</v>
      </c>
      <c r="E45" s="14">
        <f>+E$8*[1]Fremskrivninger!$S$5/E33</f>
        <v>1496.6226475947401</v>
      </c>
      <c r="F45" s="14">
        <f>+F$8*[1]Fremskrivninger!$S$5/F33</f>
        <v>2221.6813113472676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21" t="s">
        <v>20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4"/>
      <c r="N46" s="23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5" ht="15.75" thickBot="1" x14ac:dyDescent="0.35">
      <c r="A65" s="5" t="s">
        <v>54</v>
      </c>
      <c r="B65" s="32">
        <f>+'Diesel B1'!B65+73.2*[1]Fremskrivninger!N11/1000</f>
        <v>83.87533333333333</v>
      </c>
      <c r="C65" s="32">
        <f>B65+(C$2-B$2)*($F65-$B65)/($F$2-$B$2)</f>
        <v>81.637724137931031</v>
      </c>
      <c r="D65" s="32">
        <f>C65+(D$2-C$2)*($F65-$B65)/($F$2-$B$2)</f>
        <v>78.84071264367816</v>
      </c>
      <c r="E65" s="32">
        <f>D65+(E$2-D$2)*($F65-$B65)/($F$2-$B$2)</f>
        <v>73.246689655172418</v>
      </c>
      <c r="F65" s="32">
        <f>+'Diesel B1'!F65+73.2*[1]Fremskrivninger!P11/1000</f>
        <v>67.652666666666661</v>
      </c>
      <c r="G65" s="3"/>
      <c r="H65" s="3"/>
      <c r="I65" s="3"/>
      <c r="J65" s="3"/>
      <c r="K65" s="3"/>
      <c r="L65" s="3"/>
      <c r="M65" s="3"/>
      <c r="N65" s="3">
        <v>3</v>
      </c>
    </row>
    <row r="66" spans="1:15" ht="15.75" thickBot="1" x14ac:dyDescent="0.35">
      <c r="A66" s="21" t="s">
        <v>36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4"/>
      <c r="N66" s="23"/>
    </row>
    <row r="67" spans="1:15" ht="15.75" thickBot="1" x14ac:dyDescent="0.35">
      <c r="A67" s="5" t="s">
        <v>37</v>
      </c>
      <c r="B67" s="3">
        <f>'BEV B1'!B67</f>
        <v>12</v>
      </c>
      <c r="C67" s="3">
        <f>'BEV B1'!C67</f>
        <v>12</v>
      </c>
      <c r="D67" s="3">
        <f>'BEV B1'!D67</f>
        <v>12</v>
      </c>
      <c r="E67" s="3">
        <f>'BEV B1'!E67</f>
        <v>12</v>
      </c>
      <c r="F67" s="3">
        <f>'BEV B1'!F67</f>
        <v>12</v>
      </c>
      <c r="G67" s="3">
        <f>'BEV B1'!G67</f>
        <v>8.4</v>
      </c>
      <c r="H67" s="3">
        <f>'BEV B1'!H67</f>
        <v>15.6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5" ht="15.75" thickBot="1" x14ac:dyDescent="0.35">
      <c r="A68" s="5" t="str">
        <f>'FCV L1'!A68</f>
        <v>Typical fuel cell lifetime (years)</v>
      </c>
      <c r="B68" s="32">
        <f>'FCV L1'!B68</f>
        <v>8.5470085470085468</v>
      </c>
      <c r="C68" s="32">
        <f>'FCV L1'!C68</f>
        <v>9.1364574123194817</v>
      </c>
      <c r="D68" s="32">
        <f>'FCV L1'!D68</f>
        <v>9.8732684939581503</v>
      </c>
      <c r="E68" s="32">
        <f>'FCV L1'!E68</f>
        <v>11.346890657235486</v>
      </c>
      <c r="F68" s="32">
        <f>'FCV L1'!F68</f>
        <v>12.820512820512819</v>
      </c>
      <c r="G68" s="32">
        <f>'FCV L1'!G68</f>
        <v>2.1367521367521367</v>
      </c>
      <c r="H68" s="32">
        <f>'FCV L1'!H68</f>
        <v>13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5" ht="15.75" thickBot="1" x14ac:dyDescent="0.35">
      <c r="A69" s="5" t="s">
        <v>39</v>
      </c>
      <c r="B69" s="3">
        <f>'Diesel B1'!B69</f>
        <v>657000</v>
      </c>
      <c r="C69" s="3">
        <f>'Diesel B1'!C69</f>
        <v>657000</v>
      </c>
      <c r="D69" s="3">
        <f>'Diesel B1'!D69</f>
        <v>657000</v>
      </c>
      <c r="E69" s="3">
        <f>'Diesel B1'!E69</f>
        <v>657000</v>
      </c>
      <c r="F69" s="3">
        <f>'Diesel B1'!F69</f>
        <v>657000</v>
      </c>
      <c r="G69" s="3">
        <f>'Diesel B1'!G69</f>
        <v>500000</v>
      </c>
      <c r="H69" s="3">
        <f>'Diesel B1'!H69</f>
        <v>2000000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5" ht="15.75" thickBot="1" x14ac:dyDescent="0.35">
      <c r="A70" s="5" t="s">
        <v>40</v>
      </c>
      <c r="B70" s="3">
        <f>'Diesel B1'!B70</f>
        <v>54750</v>
      </c>
      <c r="C70" s="3">
        <f>'Diesel B1'!C70</f>
        <v>54750</v>
      </c>
      <c r="D70" s="3">
        <f>'Diesel B1'!D70</f>
        <v>54750</v>
      </c>
      <c r="E70" s="3">
        <f>'Diesel B1'!E70</f>
        <v>54750</v>
      </c>
      <c r="F70" s="3">
        <f>'Diesel B1'!F70</f>
        <v>54750</v>
      </c>
      <c r="G70" s="3">
        <f>'Diesel B1'!G70</f>
        <v>18250</v>
      </c>
      <c r="H70" s="3">
        <f>'Diesel B1'!H70</f>
        <v>91250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5" ht="15.75" thickBot="1" x14ac:dyDescent="0.35">
      <c r="A71" s="5" t="s">
        <v>41</v>
      </c>
      <c r="B71" s="3">
        <v>430000</v>
      </c>
      <c r="C71" s="14">
        <f>B71+(C$2-B$2)*($F71-$B71)/($F$2-$B$2)</f>
        <v>400225.9215219976</v>
      </c>
      <c r="D71" s="14">
        <f t="shared" ref="D71:E71" si="5">C71+(D$2-C$2)*($F71-$B71)/($F$2-$B$2)</f>
        <v>363008.32342449465</v>
      </c>
      <c r="E71" s="14">
        <f t="shared" si="5"/>
        <v>288573.12722948869</v>
      </c>
      <c r="F71" s="14">
        <f>+'BEV B1'!F71</f>
        <v>214137.93103448278</v>
      </c>
      <c r="G71" s="3">
        <v>375000</v>
      </c>
      <c r="H71" s="3">
        <v>430000</v>
      </c>
      <c r="I71" s="59" t="s">
        <v>111</v>
      </c>
      <c r="J71" s="59" t="s">
        <v>111</v>
      </c>
      <c r="K71" s="59" t="s">
        <v>111</v>
      </c>
      <c r="L71" s="59" t="s">
        <v>111</v>
      </c>
      <c r="M71" s="3"/>
      <c r="N71" s="15">
        <v>4</v>
      </c>
      <c r="O71" t="s">
        <v>100</v>
      </c>
    </row>
    <row r="72" spans="1:15" ht="15.75" thickBot="1" x14ac:dyDescent="0.35">
      <c r="A72" s="5" t="s">
        <v>42</v>
      </c>
      <c r="B72" s="3">
        <f>[1]Fremskrivninger!N10*B8+190*[1]Fremskrivninger!N9+73.2*[1]Fremskrivninger!N8</f>
        <v>124850</v>
      </c>
      <c r="C72" s="14">
        <f>B72+(C$2-B$2)*($F72-$B72)/($F$2-$B$2)</f>
        <v>116028.20689655172</v>
      </c>
      <c r="D72" s="14">
        <f>C72+(D$2-C$2)*($F72-$B72)/($F$2-$B$2)</f>
        <v>105000.96551724138</v>
      </c>
      <c r="E72" s="14">
        <f>D72+(E$2-D$2)*($F72-$B72)/($F$2-$B$2)</f>
        <v>82946.482758620696</v>
      </c>
      <c r="F72" s="3">
        <f>[1]Fremskrivninger!P10*F8+190*[1]Fremskrivninger!P9+73.2*[1]Fremskrivninger!P8</f>
        <v>60892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5" ht="15.75" thickBot="1" x14ac:dyDescent="0.35">
      <c r="A73" s="5" t="s">
        <v>137</v>
      </c>
      <c r="B73" s="3">
        <f>[1]Fremskrivninger!$N$12*B14</f>
        <v>109200</v>
      </c>
      <c r="C73" s="14">
        <f>B73+(C$2-B$2)*($F73-$B73)/($F$2-$B$2)</f>
        <v>100344.8275862069</v>
      </c>
      <c r="D73" s="14">
        <f>C73+(D$2-C$2)*($F73-$B73)/($F$2-$B$2)</f>
        <v>89275.862068965522</v>
      </c>
      <c r="E73" s="14">
        <f>D73+(E$2-D$2)*($F73-$B73)/($F$2-$B$2)</f>
        <v>67137.931034482768</v>
      </c>
      <c r="F73" s="14">
        <f>[1]Fremskrivninger!$P$12*F14</f>
        <v>45000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5" ht="15.75" thickBot="1" x14ac:dyDescent="0.35">
      <c r="A74" s="5" t="s">
        <v>113</v>
      </c>
      <c r="B74" s="14">
        <f>'BEV B1'!B74</f>
        <v>6400</v>
      </c>
      <c r="C74" s="14">
        <f>'BEV B1'!C74</f>
        <v>6400</v>
      </c>
      <c r="D74" s="14">
        <f>'BEV B1'!D74</f>
        <v>6400</v>
      </c>
      <c r="E74" s="14">
        <f>'BEV B1'!E74</f>
        <v>6400</v>
      </c>
      <c r="F74" s="14">
        <f>'BEV B1'!F74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5" ht="15.75" thickBot="1" x14ac:dyDescent="0.35">
      <c r="A75" s="5" t="s">
        <v>112</v>
      </c>
      <c r="B75" s="13">
        <v>0.11</v>
      </c>
      <c r="C75" s="13">
        <v>0.11</v>
      </c>
      <c r="D75" s="13">
        <v>0.11</v>
      </c>
      <c r="E75" s="13">
        <v>0.11</v>
      </c>
      <c r="F75" s="13">
        <v>0.11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  <row r="77" spans="1:15" x14ac:dyDescent="0.3">
      <c r="A77" s="44"/>
      <c r="B77" s="45"/>
      <c r="C77" s="45"/>
      <c r="D77" s="45"/>
      <c r="E77" s="45"/>
      <c r="F77" s="45"/>
    </row>
    <row r="78" spans="1:15" x14ac:dyDescent="0.3">
      <c r="A78" s="44"/>
      <c r="C78" s="45"/>
      <c r="D78" s="45"/>
      <c r="E78" s="45"/>
    </row>
    <row r="79" spans="1:15" x14ac:dyDescent="0.3">
      <c r="A79" s="44"/>
      <c r="C79" s="45"/>
      <c r="D79" s="45"/>
      <c r="E79" s="45"/>
    </row>
  </sheetData>
  <mergeCells count="4">
    <mergeCell ref="B1:N1"/>
    <mergeCell ref="G2:H2"/>
    <mergeCell ref="I2:J2"/>
    <mergeCell ref="K2:L2"/>
  </mergeCells>
  <hyperlinks>
    <hyperlink ref="N2" location="References!A1" display="Ref" xr:uid="{32D5ABC7-8E82-41BA-B408-25A67CBB9C74}"/>
    <hyperlink ref="A1" location="'START PAGE'!A1" display="Vehicle segment &amp; subcategory" xr:uid="{00000000-0004-0000-1100-000000000000}"/>
  </hyperlinks>
  <pageMargins left="0.7" right="0.7" top="0.75" bottom="0.75" header="0.3" footer="0.3"/>
  <pageSetup paperSize="9" scale="4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pageSetUpPr fitToPage="1"/>
  </sheetPr>
  <dimension ref="A1:N79"/>
  <sheetViews>
    <sheetView workbookViewId="0"/>
  </sheetViews>
  <sheetFormatPr defaultRowHeight="15" x14ac:dyDescent="0.3"/>
  <cols>
    <col min="1" max="1" width="40.42578125" bestFit="1" customWidth="1"/>
    <col min="2" max="6" width="8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tr">
        <f>+'Diesel B2'!C1</f>
        <v>Coach &gt; 12 tons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48</v>
      </c>
      <c r="B4" s="3">
        <v>55</v>
      </c>
      <c r="C4" s="3">
        <v>55</v>
      </c>
      <c r="D4" s="3">
        <v>55</v>
      </c>
      <c r="E4" s="3">
        <v>55</v>
      </c>
      <c r="F4" s="3">
        <v>55</v>
      </c>
      <c r="G4" s="3">
        <f>+'Diesel B2'!G4</f>
        <v>24</v>
      </c>
      <c r="H4" s="3">
        <f>+'Diesel B2'!H4</f>
        <v>70</v>
      </c>
      <c r="I4" s="57" t="s">
        <v>111</v>
      </c>
      <c r="J4" s="57" t="s">
        <v>111</v>
      </c>
      <c r="K4" s="57" t="s">
        <v>111</v>
      </c>
      <c r="L4" s="57" t="s">
        <v>111</v>
      </c>
      <c r="M4" s="3"/>
      <c r="N4" s="3">
        <v>2</v>
      </c>
    </row>
    <row r="5" spans="1:14" ht="15.75" thickBot="1" x14ac:dyDescent="0.35">
      <c r="A5" s="5" t="s">
        <v>9</v>
      </c>
      <c r="B5" s="14">
        <f>+'BEV B2'!B5</f>
        <v>13500</v>
      </c>
      <c r="C5" s="14">
        <f>+'BEV B2'!C5</f>
        <v>13182.758620689656</v>
      </c>
      <c r="D5" s="14">
        <f>+'BEV B2'!D5</f>
        <v>12786.206896551725</v>
      </c>
      <c r="E5" s="14">
        <f>+'BEV B2'!E5</f>
        <v>11993.103448275862</v>
      </c>
      <c r="F5" s="14">
        <f>+'BEV B2'!F5</f>
        <v>11200</v>
      </c>
      <c r="G5" s="3">
        <v>9500</v>
      </c>
      <c r="H5" s="3">
        <v>13500</v>
      </c>
      <c r="I5" s="57" t="s">
        <v>111</v>
      </c>
      <c r="J5" s="57" t="s">
        <v>111</v>
      </c>
      <c r="K5" s="57" t="s">
        <v>111</v>
      </c>
      <c r="L5" s="57" t="s">
        <v>111</v>
      </c>
      <c r="M5" s="3"/>
      <c r="N5" s="3">
        <v>2</v>
      </c>
    </row>
    <row r="6" spans="1:14" ht="15.75" thickBot="1" x14ac:dyDescent="0.35">
      <c r="A6" s="5" t="s">
        <v>10</v>
      </c>
      <c r="B6" s="3">
        <f>+'Diesel B2'!B6</f>
        <v>19500</v>
      </c>
      <c r="C6" s="3">
        <f>+'Diesel B2'!C6</f>
        <v>19500</v>
      </c>
      <c r="D6" s="3">
        <f>+'Diesel B2'!D6</f>
        <v>19500</v>
      </c>
      <c r="E6" s="3">
        <f>+'Diesel B2'!E6</f>
        <v>19500</v>
      </c>
      <c r="F6" s="3">
        <f>+'Diesel B2'!F6</f>
        <v>19500</v>
      </c>
      <c r="G6" s="3">
        <f>+'Diesel B2'!G6</f>
        <v>12000</v>
      </c>
      <c r="H6" s="3">
        <f>+'Diesel B2'!H6</f>
        <v>26000</v>
      </c>
      <c r="I6" s="57" t="s">
        <v>111</v>
      </c>
      <c r="J6" s="57" t="s">
        <v>111</v>
      </c>
      <c r="K6" s="57" t="s">
        <v>111</v>
      </c>
      <c r="L6" s="57" t="s">
        <v>111</v>
      </c>
      <c r="M6" s="3"/>
      <c r="N6" s="3">
        <v>2</v>
      </c>
    </row>
    <row r="7" spans="1:14" ht="15.75" thickBot="1" x14ac:dyDescent="0.35">
      <c r="A7" s="5" t="s">
        <v>11</v>
      </c>
      <c r="B7" s="14">
        <f>+'Diesel B2'!B7</f>
        <v>17.3</v>
      </c>
      <c r="C7" s="14">
        <f>+'Diesel B2'!C7</f>
        <v>18.362068965517242</v>
      </c>
      <c r="D7" s="14">
        <f>+'Diesel B2'!D7</f>
        <v>19.689655172413794</v>
      </c>
      <c r="E7" s="14">
        <f>+'Diesel B2'!E7</f>
        <v>22.344827586206897</v>
      </c>
      <c r="F7" s="3">
        <f>+'Diesel B2'!F7</f>
        <v>25</v>
      </c>
      <c r="G7" s="3">
        <f>+'Diesel B2'!G7</f>
        <v>15</v>
      </c>
      <c r="H7" s="3">
        <f>+'Diesel B2'!H7</f>
        <v>60</v>
      </c>
      <c r="I7" s="57" t="s">
        <v>111</v>
      </c>
      <c r="J7" s="57" t="s">
        <v>111</v>
      </c>
      <c r="K7" s="57" t="s">
        <v>111</v>
      </c>
      <c r="L7" s="57" t="s">
        <v>111</v>
      </c>
      <c r="M7" s="3"/>
      <c r="N7" s="3">
        <v>2</v>
      </c>
    </row>
    <row r="8" spans="1:14" ht="15.75" thickBot="1" x14ac:dyDescent="0.35">
      <c r="A8" s="5" t="s">
        <v>142</v>
      </c>
      <c r="B8" s="3">
        <v>32</v>
      </c>
      <c r="C8" s="14">
        <f>B8+(C$2-B$2)*($F8-$B8)/($F$2-$B$2)</f>
        <v>37.931034482758619</v>
      </c>
      <c r="D8" s="14">
        <f>C8+(D$2-C$2)*($F8-$B8)/($F$2-$B$2)</f>
        <v>45.344827586206897</v>
      </c>
      <c r="E8" s="14">
        <f>D8+(E$2-D$2)*($F8-$B8)/($F$2-$B$2)</f>
        <v>60.172413793103445</v>
      </c>
      <c r="F8" s="3">
        <v>75</v>
      </c>
      <c r="G8" s="57" t="s">
        <v>111</v>
      </c>
      <c r="H8" s="57" t="s">
        <v>111</v>
      </c>
      <c r="I8" s="57" t="s">
        <v>111</v>
      </c>
      <c r="J8" s="57" t="s">
        <v>111</v>
      </c>
      <c r="K8" s="57" t="s">
        <v>111</v>
      </c>
      <c r="L8" s="57" t="s">
        <v>111</v>
      </c>
      <c r="M8" s="3"/>
      <c r="N8" s="3">
        <v>2</v>
      </c>
    </row>
    <row r="9" spans="1:14" ht="15.75" thickBot="1" x14ac:dyDescent="0.35">
      <c r="A9" s="5" t="s">
        <v>13</v>
      </c>
      <c r="B9" s="14">
        <f>+'FCV B1'!B9</f>
        <v>230.57999999999996</v>
      </c>
      <c r="C9" s="14">
        <f>+'FCV B1'!C9</f>
        <v>218.58827586206894</v>
      </c>
      <c r="D9" s="14">
        <f>+'FCV B1'!D9</f>
        <v>203.59862068965515</v>
      </c>
      <c r="E9" s="14">
        <f>+'FCV B1'!E9</f>
        <v>173.61931034482757</v>
      </c>
      <c r="F9" s="14">
        <f>+'FCV B1'!F9</f>
        <v>143.63999999999999</v>
      </c>
      <c r="G9" s="57" t="s">
        <v>111</v>
      </c>
      <c r="H9" s="57" t="s">
        <v>111</v>
      </c>
      <c r="I9" s="57" t="s">
        <v>111</v>
      </c>
      <c r="J9" s="57" t="s">
        <v>111</v>
      </c>
      <c r="K9" s="57" t="s">
        <v>111</v>
      </c>
      <c r="L9" s="57" t="s">
        <v>111</v>
      </c>
      <c r="M9" s="3"/>
      <c r="N9" s="3">
        <v>2</v>
      </c>
    </row>
    <row r="10" spans="1:14" ht="15.75" thickBot="1" x14ac:dyDescent="0.35">
      <c r="A10" s="5" t="s">
        <v>105</v>
      </c>
      <c r="B10" s="14">
        <f>+B8*33.3/B11*60</f>
        <v>4262.3999999999996</v>
      </c>
      <c r="C10" s="14">
        <f>+C8*33.3/C11*60</f>
        <v>5052.4137931034475</v>
      </c>
      <c r="D10" s="14">
        <f>+D8*33.3/D11*60</f>
        <v>6039.9310344827582</v>
      </c>
      <c r="E10" s="14">
        <f>+E8*33.3/E11*60</f>
        <v>8014.9655172413786</v>
      </c>
      <c r="F10" s="14">
        <f>+F8*33.3/F11*60</f>
        <v>9990</v>
      </c>
      <c r="G10" s="57" t="s">
        <v>111</v>
      </c>
      <c r="H10" s="57" t="s">
        <v>111</v>
      </c>
      <c r="I10" s="57" t="s">
        <v>111</v>
      </c>
      <c r="J10" s="57" t="s">
        <v>111</v>
      </c>
      <c r="K10" s="57" t="s">
        <v>111</v>
      </c>
      <c r="L10" s="57" t="s">
        <v>111</v>
      </c>
      <c r="M10" s="3"/>
      <c r="N10" s="3">
        <v>2</v>
      </c>
    </row>
    <row r="11" spans="1:14" ht="15.75" thickBot="1" x14ac:dyDescent="0.35">
      <c r="A11" s="5" t="s">
        <v>134</v>
      </c>
      <c r="B11" s="3">
        <v>15</v>
      </c>
      <c r="C11" s="3">
        <v>15</v>
      </c>
      <c r="D11" s="3">
        <v>15</v>
      </c>
      <c r="E11" s="3">
        <v>15</v>
      </c>
      <c r="F11" s="3">
        <v>15</v>
      </c>
      <c r="G11" s="57" t="s">
        <v>111</v>
      </c>
      <c r="H11" s="57" t="s">
        <v>111</v>
      </c>
      <c r="I11" s="57" t="s">
        <v>111</v>
      </c>
      <c r="J11" s="57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364</v>
      </c>
      <c r="C14" s="14">
        <f>B14+(C$2-B$2)*($F14-$B14)/($F$2-$B$2)</f>
        <v>375.86206896551727</v>
      </c>
      <c r="D14" s="14">
        <f>C14+(D$2-C$2)*($F14-$B14)/($F$2-$B$2)</f>
        <v>390.68965517241384</v>
      </c>
      <c r="E14" s="14">
        <f>D14+(E$2-D$2)*($F14-$B14)/($F$2-$B$2)</f>
        <v>420.34482758620692</v>
      </c>
      <c r="F14" s="3">
        <v>450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15"/>
      <c r="N14" s="3">
        <v>2</v>
      </c>
    </row>
    <row r="15" spans="1:14" ht="15.75" thickBot="1" x14ac:dyDescent="0.35">
      <c r="A15" s="5" t="s">
        <v>106</v>
      </c>
      <c r="B15" s="3">
        <v>12</v>
      </c>
      <c r="C15" s="3">
        <v>12</v>
      </c>
      <c r="D15" s="3">
        <v>12</v>
      </c>
      <c r="E15" s="3">
        <v>12</v>
      </c>
      <c r="F15" s="3">
        <v>12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">
        <v>12</v>
      </c>
      <c r="C16" s="3">
        <v>12</v>
      </c>
      <c r="D16" s="3">
        <v>12</v>
      </c>
      <c r="E16" s="3">
        <v>12</v>
      </c>
      <c r="F16" s="3">
        <v>12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149</v>
      </c>
      <c r="B19" s="19">
        <f>+Simulations!G131</f>
        <v>0.15637712624242511</v>
      </c>
      <c r="C19" s="27">
        <f t="shared" ref="C19:E21" si="0">B19+(C$2-B$2)*($F19-$B19)/($F$2-$B$2)</f>
        <v>0.15735522647357367</v>
      </c>
      <c r="D19" s="27">
        <f t="shared" si="0"/>
        <v>0.15857785176250938</v>
      </c>
      <c r="E19" s="27">
        <f t="shared" si="0"/>
        <v>0.16102310234038078</v>
      </c>
      <c r="F19" s="27">
        <f>+Simulations!G266</f>
        <v>0.16346835291825221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150</v>
      </c>
      <c r="B20" s="19">
        <f>+Simulations!G132</f>
        <v>0.35837168032357392</v>
      </c>
      <c r="C20" s="27">
        <f t="shared" si="0"/>
        <v>0.35964590005907787</v>
      </c>
      <c r="D20" s="27">
        <f t="shared" si="0"/>
        <v>0.36123867472845783</v>
      </c>
      <c r="E20" s="27">
        <f t="shared" si="0"/>
        <v>0.36442422406721775</v>
      </c>
      <c r="F20" s="19">
        <f>+Simulations!G267</f>
        <v>0.36760977340597772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151</v>
      </c>
      <c r="B21" s="19">
        <f>+Simulations!G133</f>
        <v>0.41444072692554079</v>
      </c>
      <c r="C21" s="27">
        <f t="shared" si="0"/>
        <v>0.4180988321022992</v>
      </c>
      <c r="D21" s="27">
        <f t="shared" si="0"/>
        <v>0.4226714635732472</v>
      </c>
      <c r="E21" s="27">
        <f t="shared" si="0"/>
        <v>0.43181672651514319</v>
      </c>
      <c r="F21" s="19">
        <f>+Simulations!G268</f>
        <v>0.44096198945703924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149</v>
      </c>
      <c r="B23" s="28">
        <f>+Simulations!E128</f>
        <v>7.1875645171508555</v>
      </c>
      <c r="C23" s="13">
        <f t="shared" ref="C23:E25" si="1">B23+(C$2-B$2)*($F23-$B23)/($F$2-$B$2)</f>
        <v>6.8195175088861859</v>
      </c>
      <c r="D23" s="13">
        <f t="shared" si="1"/>
        <v>6.3594587485553493</v>
      </c>
      <c r="E23" s="13">
        <f t="shared" si="1"/>
        <v>5.4393412278936752</v>
      </c>
      <c r="F23" s="28">
        <f>+Simulations!E263</f>
        <v>4.5192237072320012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150</v>
      </c>
      <c r="B24" s="28">
        <f>+Simulations!E129</f>
        <v>5.3581413786328191</v>
      </c>
      <c r="C24" s="13">
        <f t="shared" si="1"/>
        <v>5.0809655998241841</v>
      </c>
      <c r="D24" s="13">
        <f t="shared" si="1"/>
        <v>4.7344958763133906</v>
      </c>
      <c r="E24" s="13">
        <f t="shared" si="1"/>
        <v>4.0415564292918038</v>
      </c>
      <c r="F24" s="28">
        <f>+Simulations!E264</f>
        <v>3.3486169822702165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151</v>
      </c>
      <c r="B25" s="28">
        <f>+Simulations!E130</f>
        <v>5.6864161519620131</v>
      </c>
      <c r="C25" s="13">
        <f t="shared" si="1"/>
        <v>5.3757471217426218</v>
      </c>
      <c r="D25" s="13">
        <f t="shared" si="1"/>
        <v>4.987410833968382</v>
      </c>
      <c r="E25" s="13">
        <f t="shared" si="1"/>
        <v>4.2107382584199025</v>
      </c>
      <c r="F25" s="28">
        <f>+Simulations!E265</f>
        <v>3.4340656828714233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149</v>
      </c>
      <c r="B27" s="28">
        <f>+Simulations!E131</f>
        <v>7.784646307445052</v>
      </c>
      <c r="C27" s="13">
        <f t="shared" ref="C27:E29" si="2">B27+(C$2-B$2)*($F27-$B27)/($F$2-$B$2)</f>
        <v>7.7148496831809963</v>
      </c>
      <c r="D27" s="13">
        <f t="shared" si="2"/>
        <v>7.6276039028509262</v>
      </c>
      <c r="E27" s="13">
        <f t="shared" si="2"/>
        <v>7.4531123421907859</v>
      </c>
      <c r="F27" s="28">
        <f>+Simulations!E269</f>
        <v>7.2786207815306456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150</v>
      </c>
      <c r="B28" s="28">
        <f>+Simulations!E132</f>
        <v>5.5637938202236157</v>
      </c>
      <c r="C28" s="13">
        <f t="shared" si="2"/>
        <v>5.41714536292708</v>
      </c>
      <c r="D28" s="13">
        <f t="shared" si="2"/>
        <v>5.2338347913064114</v>
      </c>
      <c r="E28" s="13">
        <f t="shared" si="2"/>
        <v>4.8672136480650732</v>
      </c>
      <c r="F28" s="28">
        <f>+Simulations!E270</f>
        <v>4.500592504823735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151</v>
      </c>
      <c r="B29" s="28">
        <f>+Simulations!E133</f>
        <v>5.8184223749523936</v>
      </c>
      <c r="C29" s="13">
        <f t="shared" si="2"/>
        <v>5.5957429309203457</v>
      </c>
      <c r="D29" s="13">
        <f t="shared" si="2"/>
        <v>5.3173936258802854</v>
      </c>
      <c r="E29" s="13">
        <f t="shared" si="2"/>
        <v>4.7606950158001649</v>
      </c>
      <c r="F29" s="28">
        <f>+Simulations!E271</f>
        <v>4.2039964057200434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149</v>
      </c>
      <c r="B31" s="28">
        <f>+Simulations!E131</f>
        <v>7.784646307445052</v>
      </c>
      <c r="C31" s="13">
        <f t="shared" ref="C31:E33" si="3">B31+(C$2-B$2)*($F31-$B31)/($F$2-$B$2)</f>
        <v>7.4114767578251888</v>
      </c>
      <c r="D31" s="13">
        <f t="shared" si="3"/>
        <v>6.9450148208003597</v>
      </c>
      <c r="E31" s="13">
        <f t="shared" si="3"/>
        <v>6.0120909467507015</v>
      </c>
      <c r="F31" s="28">
        <f>+Simulations!E266</f>
        <v>5.0791670727010434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150</v>
      </c>
      <c r="B32" s="28">
        <f>+Simulations!E132</f>
        <v>5.5637938202236157</v>
      </c>
      <c r="C32" s="13">
        <f t="shared" si="3"/>
        <v>5.2908694706277197</v>
      </c>
      <c r="D32" s="13">
        <f t="shared" si="3"/>
        <v>4.9497140336328496</v>
      </c>
      <c r="E32" s="13">
        <f t="shared" si="3"/>
        <v>4.2674031596431101</v>
      </c>
      <c r="F32" s="28">
        <f>+Simulations!E267</f>
        <v>3.5850922856533716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151</v>
      </c>
      <c r="B33" s="28">
        <f>+Simulations!E133</f>
        <v>5.8184223749523936</v>
      </c>
      <c r="C33" s="13">
        <f t="shared" si="3"/>
        <v>5.5111983896026793</v>
      </c>
      <c r="D33" s="13">
        <f t="shared" si="3"/>
        <v>5.1271684079155371</v>
      </c>
      <c r="E33" s="13">
        <f t="shared" si="3"/>
        <v>4.3591084445412527</v>
      </c>
      <c r="F33" s="28">
        <f>+Simulations!E268</f>
        <v>3.5910484811669683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14"/>
      <c r="C34" s="14"/>
      <c r="D34" s="14"/>
      <c r="E34" s="14"/>
      <c r="F34" s="14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149</v>
      </c>
      <c r="B35" s="14">
        <f>+B$8*[1]Fremskrivninger!$S$5/B23</f>
        <v>533.72181784889915</v>
      </c>
      <c r="C35" s="14">
        <f>+C$8*[1]Fremskrivninger!$S$5/C23</f>
        <v>666.78799605219888</v>
      </c>
      <c r="D35" s="14">
        <f>+D$8*[1]Fremskrivninger!$S$5/D23</f>
        <v>854.77996571160111</v>
      </c>
      <c r="E35" s="14">
        <f>+E$8*[1]Fremskrivninger!$S$5/E23</f>
        <v>1326.1659203371171</v>
      </c>
      <c r="F35" s="14">
        <f>+F$8*[1]Fremskrivninger!$S$5/F23</f>
        <v>1989.500981244174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150</v>
      </c>
      <c r="B36" s="14">
        <f>+B$8*[1]Fremskrivninger!$S$5/B24</f>
        <v>715.94975363991466</v>
      </c>
      <c r="C36" s="14">
        <f>+C$8*[1]Fremskrivninger!$S$5/C24</f>
        <v>894.94257035521923</v>
      </c>
      <c r="D36" s="14">
        <f>+D$8*[1]Fremskrivninger!$S$5/D24</f>
        <v>1148.1555952409624</v>
      </c>
      <c r="E36" s="14">
        <f>+E$8*[1]Fremskrivninger!$S$5/E24</f>
        <v>1784.8245080129307</v>
      </c>
      <c r="F36" s="14">
        <f>+F$8*[1]Fremskrivninger!$S$5/F24</f>
        <v>2684.989070892334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151</v>
      </c>
      <c r="B37" s="14">
        <f>+B$8*[1]Fremskrivninger!$S$5/B25</f>
        <v>674.61823009144166</v>
      </c>
      <c r="C37" s="14">
        <f>+C$8*[1]Fremskrivninger!$S$5/C25</f>
        <v>845.86799021883223</v>
      </c>
      <c r="D37" s="14">
        <f>+D$8*[1]Fremskrivninger!$S$5/D25</f>
        <v>1089.9318528185529</v>
      </c>
      <c r="E37" s="14">
        <f>+E$8*[1]Fremskrivninger!$S$5/E25</f>
        <v>1713.1126474301743</v>
      </c>
      <c r="F37" s="14">
        <f>+F$8*[1]Fremskrivninger!$S$5/F25</f>
        <v>2618.1793915141711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149</v>
      </c>
      <c r="B39" s="14">
        <f>+B$8*[1]Fremskrivninger!$S$5/B27</f>
        <v>492.78539428710934</v>
      </c>
      <c r="C39" s="14">
        <f>+C$8*[1]Fremskrivninger!$S$5/C27</f>
        <v>589.40518617054988</v>
      </c>
      <c r="D39" s="14">
        <f>+D$8*[1]Fremskrivninger!$S$5/D27</f>
        <v>712.6665202164894</v>
      </c>
      <c r="E39" s="14">
        <f>+E$8*[1]Fremskrivninger!$S$5/E27</f>
        <v>967.84653636347798</v>
      </c>
      <c r="F39" s="14">
        <f>+F$8*[1]Fremskrivninger!$S$5/F27</f>
        <v>1235.2614966305819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150</v>
      </c>
      <c r="B40" s="14">
        <f>+B$8*[1]Fremskrivninger!$S$5/B28</f>
        <v>689.48636918501415</v>
      </c>
      <c r="C40" s="14">
        <f>+C$8*[1]Fremskrivninger!$S$5/C28</f>
        <v>839.40380203054053</v>
      </c>
      <c r="D40" s="14">
        <f>+D$8*[1]Fremskrivninger!$S$5/D28</f>
        <v>1038.6147342793035</v>
      </c>
      <c r="E40" s="14">
        <f>+E$8*[1]Fremskrivninger!$S$5/E28</f>
        <v>1482.0530774080371</v>
      </c>
      <c r="F40" s="14">
        <f>+F$8*[1]Fremskrivninger!$S$5/F28</f>
        <v>1997.7369624918156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151</v>
      </c>
      <c r="B41" s="14">
        <f>+B$8*[1]Fremskrivninger!$S$5/B29</f>
        <v>659.31274025656955</v>
      </c>
      <c r="C41" s="14">
        <f>+C$8*[1]Fremskrivninger!$S$5/C29</f>
        <v>812.61281476438705</v>
      </c>
      <c r="D41" s="14">
        <f>+D$8*[1]Fremskrivninger!$S$5/D29</f>
        <v>1022.2936862483211</v>
      </c>
      <c r="E41" s="14">
        <f>+E$8*[1]Fremskrivninger!$S$5/E29</f>
        <v>1515.2134176998566</v>
      </c>
      <c r="F41" s="14">
        <f>+F$8*[1]Fremskrivninger!$S$5/F29</f>
        <v>2138.6792785471134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149</v>
      </c>
      <c r="B43" s="14">
        <f>+B$8*[1]Fremskrivninger!$S$5/B31</f>
        <v>492.78539428710934</v>
      </c>
      <c r="C43" s="14">
        <f>+C$8*[1]Fremskrivninger!$S$5/C31</f>
        <v>613.5312249332909</v>
      </c>
      <c r="D43" s="14">
        <f>+D$8*[1]Fremskrivninger!$S$5/D31</f>
        <v>782.71077474936658</v>
      </c>
      <c r="E43" s="14">
        <f>+E$8*[1]Fremskrivninger!$S$5/E31</f>
        <v>1199.8269868847935</v>
      </c>
      <c r="F43" s="14">
        <f>+F$8*[1]Fremskrivninger!$S$5/F31</f>
        <v>1770.1721308448095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150</v>
      </c>
      <c r="B44" s="14">
        <f>+B$8*[1]Fremskrivninger!$S$5/B32</f>
        <v>689.48636918501415</v>
      </c>
      <c r="C44" s="14">
        <f>+C$8*[1]Fremskrivninger!$S$5/C32</f>
        <v>859.43764801546263</v>
      </c>
      <c r="D44" s="14">
        <f>+D$8*[1]Fremskrivninger!$S$5/D32</f>
        <v>1098.2327249812388</v>
      </c>
      <c r="E44" s="14">
        <f>+E$8*[1]Fremskrivninger!$S$5/E32</f>
        <v>1690.3650055225892</v>
      </c>
      <c r="F44" s="14">
        <f>+F$8*[1]Fremskrivninger!$S$5/F32</f>
        <v>2507.8852324052291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151</v>
      </c>
      <c r="B45" s="14">
        <f>+B$8*[1]Fremskrivninger!$S$5/B33</f>
        <v>659.31274025656955</v>
      </c>
      <c r="C45" s="14">
        <f>+C$8*[1]Fremskrivninger!$S$5/C33</f>
        <v>825.0787020063932</v>
      </c>
      <c r="D45" s="14">
        <f>+D$8*[1]Fremskrivninger!$S$5/D33</f>
        <v>1060.2222315620168</v>
      </c>
      <c r="E45" s="14">
        <f>+E$8*[1]Fremskrivninger!$S$5/E33</f>
        <v>1654.8037419326872</v>
      </c>
      <c r="F45" s="14">
        <f>+F$8*[1]Fremskrivninger!$S$5/F33</f>
        <v>2503.7255963412199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/>
      <c r="N48" s="15">
        <v>3</v>
      </c>
    </row>
    <row r="49" spans="1:14" ht="15.75" thickBot="1" x14ac:dyDescent="0.35">
      <c r="A49" s="5" t="s">
        <v>23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/>
      <c r="N49" s="15">
        <v>3</v>
      </c>
    </row>
    <row r="50" spans="1:14" ht="15.75" thickBot="1" x14ac:dyDescent="0.35">
      <c r="A50" s="5" t="s">
        <v>24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/>
      <c r="N50" s="15">
        <v>3</v>
      </c>
    </row>
    <row r="51" spans="1:14" ht="15.75" thickBot="1" x14ac:dyDescent="0.35">
      <c r="A51" s="5" t="s">
        <v>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/>
      <c r="N51" s="15">
        <v>3</v>
      </c>
    </row>
    <row r="52" spans="1:14" ht="15.75" thickBot="1" x14ac:dyDescent="0.35">
      <c r="A52" s="5" t="s">
        <v>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/>
      <c r="N54" s="15">
        <v>3</v>
      </c>
    </row>
    <row r="55" spans="1:14" ht="15.75" thickBot="1" x14ac:dyDescent="0.35">
      <c r="A55" s="5" t="s">
        <v>23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/>
      <c r="N55" s="15">
        <v>3</v>
      </c>
    </row>
    <row r="56" spans="1:14" ht="15.75" thickBot="1" x14ac:dyDescent="0.35">
      <c r="A56" s="5" t="s">
        <v>24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/>
      <c r="N56" s="15">
        <v>3</v>
      </c>
    </row>
    <row r="57" spans="1:14" ht="15.75" thickBot="1" x14ac:dyDescent="0.35">
      <c r="A57" s="5" t="s">
        <v>25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/>
      <c r="N57" s="15">
        <v>3</v>
      </c>
    </row>
    <row r="58" spans="1:14" ht="15.75" thickBot="1" x14ac:dyDescent="0.35">
      <c r="A58" s="5" t="s">
        <v>29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/>
      <c r="N60" s="15">
        <v>3</v>
      </c>
    </row>
    <row r="61" spans="1:14" ht="15.75" thickBot="1" x14ac:dyDescent="0.35">
      <c r="A61" s="8" t="s">
        <v>32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/>
      <c r="N61" s="15">
        <v>3</v>
      </c>
    </row>
    <row r="62" spans="1:14" ht="15.75" thickBot="1" x14ac:dyDescent="0.35">
      <c r="A62" s="8" t="s">
        <v>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/>
      <c r="N62" s="15">
        <v>3</v>
      </c>
    </row>
    <row r="63" spans="1:14" ht="15.75" thickBot="1" x14ac:dyDescent="0.35">
      <c r="A63" s="8" t="s">
        <v>34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/>
      <c r="N63" s="3">
        <v>3</v>
      </c>
    </row>
    <row r="64" spans="1:14" ht="15.75" thickBot="1" x14ac:dyDescent="0.35">
      <c r="A64" s="8" t="s">
        <v>35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/>
      <c r="N64" s="3">
        <v>3</v>
      </c>
    </row>
    <row r="65" spans="1:14" ht="15.75" thickBot="1" x14ac:dyDescent="0.35">
      <c r="A65" s="5" t="s">
        <v>54</v>
      </c>
      <c r="B65" s="14">
        <f>+'Diesel B2'!B65+73.2*[1]Fremskrivninger!N11/1000</f>
        <v>89.891999999999996</v>
      </c>
      <c r="C65" s="14">
        <f>B65+(C$2-B$2)*($F65-$B65)/($F$2-$B$2)</f>
        <v>87.654390804597696</v>
      </c>
      <c r="D65" s="14">
        <f>C65+(D$2-C$2)*($F65-$B65)/($F$2-$B$2)</f>
        <v>84.857379310344825</v>
      </c>
      <c r="E65" s="14">
        <f>D65+(E$2-D$2)*($F65-$B65)/($F$2-$B$2)</f>
        <v>79.263356321839083</v>
      </c>
      <c r="F65" s="14">
        <f>+'Diesel B2'!F65+73.2*[1]Fremskrivninger!P11/1000</f>
        <v>73.669333333333327</v>
      </c>
      <c r="G65" s="3"/>
      <c r="H65" s="3"/>
      <c r="I65" s="3"/>
      <c r="J65" s="3"/>
      <c r="K65" s="3"/>
      <c r="L65" s="3"/>
      <c r="M65" s="3"/>
      <c r="N65" s="3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f>'BEV B2'!B67</f>
        <v>12</v>
      </c>
      <c r="C67" s="3">
        <f>'BEV B2'!C67</f>
        <v>12</v>
      </c>
      <c r="D67" s="3">
        <f>'BEV B2'!D67</f>
        <v>12</v>
      </c>
      <c r="E67" s="3">
        <f>'BEV B2'!E67</f>
        <v>12</v>
      </c>
      <c r="F67" s="3">
        <f>'BEV B2'!F67</f>
        <v>12</v>
      </c>
      <c r="G67" s="3">
        <f>'BEV B2'!G67</f>
        <v>8.4</v>
      </c>
      <c r="H67" s="3">
        <f>'BEV B2'!H67</f>
        <v>15.6</v>
      </c>
      <c r="I67" s="59" t="s">
        <v>111</v>
      </c>
      <c r="J67" s="59" t="s">
        <v>111</v>
      </c>
      <c r="K67" s="59" t="s">
        <v>111</v>
      </c>
      <c r="L67" s="59" t="s">
        <v>111</v>
      </c>
      <c r="M67" s="3"/>
      <c r="N67" s="15">
        <v>4</v>
      </c>
    </row>
    <row r="68" spans="1:14" ht="15.75" thickBot="1" x14ac:dyDescent="0.35">
      <c r="A68" s="5" t="str">
        <f>'FCV L1'!A68</f>
        <v>Typical fuel cell lifetime (years)</v>
      </c>
      <c r="B68" s="3">
        <f>'BEV B2'!B68</f>
        <v>13.8</v>
      </c>
      <c r="C68" s="3">
        <f>'BEV B2'!C68</f>
        <v>13.8</v>
      </c>
      <c r="D68" s="3">
        <f>'BEV B2'!D68</f>
        <v>13.8</v>
      </c>
      <c r="E68" s="3">
        <f>'BEV B2'!E68</f>
        <v>13.8</v>
      </c>
      <c r="F68" s="3">
        <f>'BEV B2'!F68</f>
        <v>13.8</v>
      </c>
      <c r="G68" s="3">
        <f>'BEV B2'!G68</f>
        <v>6.9</v>
      </c>
      <c r="H68" s="3">
        <f>'BEV B2'!H68</f>
        <v>20</v>
      </c>
      <c r="I68" s="59" t="s">
        <v>111</v>
      </c>
      <c r="J68" s="59" t="s">
        <v>111</v>
      </c>
      <c r="K68" s="59" t="s">
        <v>111</v>
      </c>
      <c r="L68" s="59" t="s">
        <v>111</v>
      </c>
      <c r="M68" s="3"/>
      <c r="N68" s="15">
        <v>4</v>
      </c>
    </row>
    <row r="69" spans="1:14" ht="15.75" thickBot="1" x14ac:dyDescent="0.35">
      <c r="A69" s="5" t="s">
        <v>39</v>
      </c>
      <c r="B69" s="3">
        <f>'BEV B2'!B69</f>
        <v>1200000</v>
      </c>
      <c r="C69" s="3">
        <f>'BEV B2'!C69</f>
        <v>1200000</v>
      </c>
      <c r="D69" s="3">
        <f>'BEV B2'!D69</f>
        <v>1200000</v>
      </c>
      <c r="E69" s="3">
        <f>'BEV B2'!E69</f>
        <v>1200000</v>
      </c>
      <c r="F69" s="3">
        <f>'BEV B2'!F69</f>
        <v>1200000</v>
      </c>
      <c r="G69" s="3">
        <f>'BEV B2'!G69</f>
        <v>800000</v>
      </c>
      <c r="H69" s="3">
        <f>'BEV B2'!H69</f>
        <v>2000000</v>
      </c>
      <c r="I69" s="59" t="s">
        <v>111</v>
      </c>
      <c r="J69" s="59" t="s">
        <v>111</v>
      </c>
      <c r="K69" s="59" t="s">
        <v>111</v>
      </c>
      <c r="L69" s="59" t="s">
        <v>111</v>
      </c>
      <c r="M69" s="3"/>
      <c r="N69" s="15">
        <v>4</v>
      </c>
    </row>
    <row r="70" spans="1:14" ht="15.75" thickBot="1" x14ac:dyDescent="0.35">
      <c r="A70" s="5" t="s">
        <v>40</v>
      </c>
      <c r="B70" s="14">
        <f>'BEV B2'!B70</f>
        <v>171428.57142857142</v>
      </c>
      <c r="C70" s="14">
        <f>'BEV B2'!C70</f>
        <v>171428.57142857142</v>
      </c>
      <c r="D70" s="14">
        <f>'BEV B2'!D70</f>
        <v>171428.57142857142</v>
      </c>
      <c r="E70" s="14">
        <f>'BEV B2'!E70</f>
        <v>171428.57142857142</v>
      </c>
      <c r="F70" s="14">
        <f>'BEV B2'!F70</f>
        <v>171428.57142857142</v>
      </c>
      <c r="G70" s="3" t="str">
        <f>'BEV B2'!G70</f>
        <v>no data</v>
      </c>
      <c r="H70" s="3" t="str">
        <f>'BEV B2'!H70</f>
        <v>no data</v>
      </c>
      <c r="I70" s="59" t="s">
        <v>111</v>
      </c>
      <c r="J70" s="59" t="s">
        <v>111</v>
      </c>
      <c r="K70" s="59" t="s">
        <v>111</v>
      </c>
      <c r="L70" s="59" t="s">
        <v>111</v>
      </c>
      <c r="M70" s="3"/>
      <c r="N70" s="15">
        <v>4</v>
      </c>
    </row>
    <row r="71" spans="1:14" ht="15.75" thickBot="1" x14ac:dyDescent="0.35">
      <c r="A71" s="5" t="s">
        <v>41</v>
      </c>
      <c r="B71" s="3">
        <v>1000000</v>
      </c>
      <c r="C71" s="14">
        <f>B71+(C$2-B$2)*($D71-$B71)/($D$2-$B$2)</f>
        <v>733764.39226362656</v>
      </c>
      <c r="D71" s="14">
        <f>B71*'FCV L3'!D71/'FCV L3'!B71</f>
        <v>400969.8825931598</v>
      </c>
      <c r="E71" s="14">
        <f>+D71</f>
        <v>400969.8825931598</v>
      </c>
      <c r="F71" s="14">
        <f>+E71</f>
        <v>400969.8825931598</v>
      </c>
      <c r="G71" s="3">
        <v>750000</v>
      </c>
      <c r="H71" s="3">
        <v>2000000</v>
      </c>
      <c r="I71" s="3">
        <v>200000</v>
      </c>
      <c r="J71" s="3">
        <v>500000</v>
      </c>
      <c r="K71" s="59" t="s">
        <v>111</v>
      </c>
      <c r="L71" s="59" t="s">
        <v>111</v>
      </c>
      <c r="M71" s="3"/>
      <c r="N71" s="15">
        <v>4</v>
      </c>
    </row>
    <row r="72" spans="1:14" ht="15.75" thickBot="1" x14ac:dyDescent="0.35">
      <c r="A72" s="5" t="s">
        <v>42</v>
      </c>
      <c r="B72" s="3">
        <f>[1]Fremskrivninger!N10*B8+190*[1]Fremskrivninger!N9+73.2*[1]Fremskrivninger!N8</f>
        <v>124850</v>
      </c>
      <c r="C72" s="14">
        <f t="shared" ref="C72:E73" si="4">B72+(C$2-B$2)*($F72-$B72)/($F$2-$B$2)</f>
        <v>116028.20689655172</v>
      </c>
      <c r="D72" s="14">
        <f t="shared" si="4"/>
        <v>105000.96551724138</v>
      </c>
      <c r="E72" s="14">
        <f t="shared" si="4"/>
        <v>82946.482758620696</v>
      </c>
      <c r="F72" s="3">
        <f>[1]Fremskrivninger!P10*F8+190*[1]Fremskrivninger!P9+73.2*[1]Fremskrivninger!P8</f>
        <v>60892</v>
      </c>
      <c r="G72" s="59" t="s">
        <v>111</v>
      </c>
      <c r="H72" s="59" t="s">
        <v>111</v>
      </c>
      <c r="I72" s="59" t="s">
        <v>111</v>
      </c>
      <c r="J72" s="59" t="s">
        <v>111</v>
      </c>
      <c r="K72" s="59" t="s">
        <v>111</v>
      </c>
      <c r="L72" s="59" t="s">
        <v>111</v>
      </c>
      <c r="M72" s="3"/>
      <c r="N72" s="15">
        <v>4</v>
      </c>
    </row>
    <row r="73" spans="1:14" ht="15.75" thickBot="1" x14ac:dyDescent="0.35">
      <c r="A73" s="5" t="s">
        <v>137</v>
      </c>
      <c r="B73" s="3">
        <f>[1]Fremskrivninger!$N$12*B14</f>
        <v>109200</v>
      </c>
      <c r="C73" s="14">
        <f t="shared" si="4"/>
        <v>100344.8275862069</v>
      </c>
      <c r="D73" s="14">
        <f t="shared" si="4"/>
        <v>89275.862068965522</v>
      </c>
      <c r="E73" s="14">
        <f t="shared" si="4"/>
        <v>67137.931034482768</v>
      </c>
      <c r="F73" s="14">
        <f>[1]Fremskrivninger!$P$12*F14</f>
        <v>45000</v>
      </c>
      <c r="G73" s="59" t="s">
        <v>111</v>
      </c>
      <c r="H73" s="59" t="s">
        <v>111</v>
      </c>
      <c r="I73" s="59" t="s">
        <v>111</v>
      </c>
      <c r="J73" s="59" t="s">
        <v>111</v>
      </c>
      <c r="K73" s="59" t="s">
        <v>111</v>
      </c>
      <c r="L73" s="59" t="s">
        <v>111</v>
      </c>
      <c r="M73" s="3"/>
      <c r="N73" s="15">
        <v>4</v>
      </c>
    </row>
    <row r="74" spans="1:14" ht="15.75" thickBot="1" x14ac:dyDescent="0.35">
      <c r="A74" s="5" t="s">
        <v>113</v>
      </c>
      <c r="B74" s="14">
        <f>'BEV B2'!B74</f>
        <v>6400</v>
      </c>
      <c r="C74" s="14">
        <f>'BEV B2'!C74</f>
        <v>6400</v>
      </c>
      <c r="D74" s="14">
        <f>'BEV B2'!D74</f>
        <v>6400</v>
      </c>
      <c r="E74" s="14">
        <f>'BEV B2'!E74</f>
        <v>6400</v>
      </c>
      <c r="F74" s="14">
        <f>'BEV B2'!F74</f>
        <v>6400</v>
      </c>
      <c r="G74" s="59" t="s">
        <v>111</v>
      </c>
      <c r="H74" s="59" t="s">
        <v>111</v>
      </c>
      <c r="I74" s="59" t="s">
        <v>111</v>
      </c>
      <c r="J74" s="59" t="s">
        <v>111</v>
      </c>
      <c r="K74" s="59" t="s">
        <v>111</v>
      </c>
      <c r="L74" s="59" t="s">
        <v>111</v>
      </c>
      <c r="M74" s="3"/>
      <c r="N74" s="15">
        <v>4</v>
      </c>
    </row>
    <row r="75" spans="1:14" ht="15.75" thickBot="1" x14ac:dyDescent="0.35">
      <c r="A75" s="5" t="s">
        <v>112</v>
      </c>
      <c r="B75" s="13">
        <f>'BEV B2'!B75</f>
        <v>0.107</v>
      </c>
      <c r="C75" s="13">
        <f>'BEV B2'!C75</f>
        <v>0.107</v>
      </c>
      <c r="D75" s="13">
        <f>'BEV B2'!D75</f>
        <v>0.107</v>
      </c>
      <c r="E75" s="13">
        <f>'BEV B2'!E75</f>
        <v>0.107</v>
      </c>
      <c r="F75" s="13">
        <f>'BEV B2'!F75</f>
        <v>0.107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  <row r="77" spans="1:14" x14ac:dyDescent="0.3">
      <c r="A77" s="44"/>
      <c r="C77" s="45"/>
      <c r="D77" s="45"/>
      <c r="E77" s="45"/>
      <c r="F77" s="45"/>
    </row>
    <row r="78" spans="1:14" x14ac:dyDescent="0.3">
      <c r="A78" s="44"/>
      <c r="C78" s="45"/>
      <c r="D78" s="45"/>
      <c r="E78" s="45"/>
    </row>
    <row r="79" spans="1:14" x14ac:dyDescent="0.3">
      <c r="A79" s="44"/>
      <c r="C79" s="45"/>
      <c r="D79" s="45"/>
      <c r="E79" s="45"/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1200-000000000000}"/>
    <hyperlink ref="N2" location="References!A1" display="Ref" xr:uid="{21FE287D-F60D-4739-84C2-5C45C8CA4EE3}"/>
  </hyperlink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D27"/>
  <sheetViews>
    <sheetView topLeftCell="A4" workbookViewId="0">
      <selection activeCell="D31" sqref="D31"/>
    </sheetView>
  </sheetViews>
  <sheetFormatPr defaultRowHeight="15" x14ac:dyDescent="0.3"/>
  <cols>
    <col min="1" max="1" width="23.85546875" bestFit="1" customWidth="1"/>
    <col min="2" max="2" width="17" bestFit="1" customWidth="1"/>
    <col min="3" max="4" width="12" bestFit="1" customWidth="1"/>
    <col min="5" max="5" width="15.140625" bestFit="1" customWidth="1"/>
    <col min="6" max="6" width="28.28515625" bestFit="1" customWidth="1"/>
    <col min="7" max="7" width="20.5703125" bestFit="1" customWidth="1"/>
    <col min="8" max="8" width="15.5703125" bestFit="1" customWidth="1"/>
    <col min="9" max="9" width="19.140625" bestFit="1" customWidth="1"/>
    <col min="10" max="10" width="16.85546875" bestFit="1" customWidth="1"/>
    <col min="11" max="11" width="20.42578125" bestFit="1" customWidth="1"/>
    <col min="12" max="12" width="17.7109375" bestFit="1" customWidth="1"/>
    <col min="13" max="13" width="21.42578125" bestFit="1" customWidth="1"/>
    <col min="14" max="17" width="12" bestFit="1" customWidth="1"/>
    <col min="18" max="18" width="12.28515625" bestFit="1" customWidth="1"/>
    <col min="19" max="19" width="19.7109375" bestFit="1" customWidth="1"/>
    <col min="20" max="20" width="14.140625" bestFit="1" customWidth="1"/>
    <col min="21" max="21" width="17" bestFit="1" customWidth="1"/>
    <col min="22" max="22" width="13.85546875" bestFit="1" customWidth="1"/>
    <col min="23" max="23" width="12" bestFit="1" customWidth="1"/>
  </cols>
  <sheetData>
    <row r="1" spans="1:4" x14ac:dyDescent="0.3">
      <c r="A1" s="55" t="s">
        <v>101</v>
      </c>
    </row>
    <row r="5" spans="1:4" x14ac:dyDescent="0.3">
      <c r="A5" s="40" t="s">
        <v>58</v>
      </c>
      <c r="B5" t="s">
        <v>133</v>
      </c>
    </row>
    <row r="7" spans="1:4" x14ac:dyDescent="0.3">
      <c r="A7" s="40" t="s">
        <v>126</v>
      </c>
      <c r="B7" s="40" t="s">
        <v>57</v>
      </c>
    </row>
    <row r="8" spans="1:4" x14ac:dyDescent="0.3">
      <c r="A8" s="40" t="s">
        <v>55</v>
      </c>
      <c r="B8" t="s">
        <v>123</v>
      </c>
      <c r="C8" t="s">
        <v>124</v>
      </c>
      <c r="D8" t="s">
        <v>56</v>
      </c>
    </row>
    <row r="9" spans="1:4" x14ac:dyDescent="0.3">
      <c r="A9" s="43" t="s">
        <v>145</v>
      </c>
      <c r="B9">
        <v>0.24248286318251397</v>
      </c>
      <c r="C9">
        <v>0.28740697169901641</v>
      </c>
      <c r="D9">
        <v>0.26494491744076515</v>
      </c>
    </row>
    <row r="10" spans="1:4" x14ac:dyDescent="0.3">
      <c r="A10" s="66" t="s">
        <v>128</v>
      </c>
      <c r="B10">
        <v>0.23813506516102215</v>
      </c>
      <c r="C10">
        <v>0.30750100289275939</v>
      </c>
      <c r="D10">
        <v>0.27281803402689081</v>
      </c>
    </row>
    <row r="11" spans="1:4" x14ac:dyDescent="0.3">
      <c r="A11" s="66" t="s">
        <v>129</v>
      </c>
      <c r="B11">
        <v>0.24658232321382453</v>
      </c>
      <c r="C11">
        <v>0.3107443709944156</v>
      </c>
      <c r="D11">
        <v>0.27866334710412005</v>
      </c>
    </row>
    <row r="12" spans="1:4" x14ac:dyDescent="0.3">
      <c r="A12" s="66" t="s">
        <v>130</v>
      </c>
      <c r="B12">
        <v>0.24641170834268644</v>
      </c>
      <c r="C12">
        <v>0.25303573774042892</v>
      </c>
      <c r="D12">
        <v>0.24972372304155765</v>
      </c>
    </row>
    <row r="13" spans="1:4" x14ac:dyDescent="0.3">
      <c r="A13" s="66" t="s">
        <v>131</v>
      </c>
      <c r="B13">
        <v>0.22884504891585014</v>
      </c>
      <c r="C13">
        <v>0.28193765412396543</v>
      </c>
      <c r="D13">
        <v>0.25539135151990772</v>
      </c>
    </row>
    <row r="14" spans="1:4" x14ac:dyDescent="0.3">
      <c r="A14" s="66" t="s">
        <v>132</v>
      </c>
      <c r="B14">
        <v>0.25244017027918658</v>
      </c>
      <c r="C14">
        <v>0.28381609274351272</v>
      </c>
      <c r="D14">
        <v>0.26812813151134968</v>
      </c>
    </row>
    <row r="15" spans="1:4" x14ac:dyDescent="0.3">
      <c r="A15" s="43" t="s">
        <v>125</v>
      </c>
      <c r="B15">
        <v>0.57955037612048976</v>
      </c>
      <c r="C15">
        <v>0.62868131533198401</v>
      </c>
      <c r="D15">
        <v>0.60411584572623689</v>
      </c>
    </row>
    <row r="16" spans="1:4" x14ac:dyDescent="0.3">
      <c r="A16" s="66" t="s">
        <v>128</v>
      </c>
      <c r="B16">
        <v>0.57869953446371436</v>
      </c>
      <c r="C16">
        <v>0.62206753757788347</v>
      </c>
      <c r="D16">
        <v>0.60038353602079897</v>
      </c>
    </row>
    <row r="17" spans="1:4" x14ac:dyDescent="0.3">
      <c r="A17" s="66" t="s">
        <v>129</v>
      </c>
      <c r="B17">
        <v>0.61684757990513861</v>
      </c>
      <c r="C17">
        <v>0.66185826471873022</v>
      </c>
      <c r="D17">
        <v>0.63935292231193441</v>
      </c>
    </row>
    <row r="18" spans="1:4" x14ac:dyDescent="0.3">
      <c r="A18" s="66" t="s">
        <v>130</v>
      </c>
      <c r="B18">
        <v>0.56930474837056855</v>
      </c>
      <c r="C18">
        <v>0.61747783684976554</v>
      </c>
      <c r="D18">
        <v>0.5933912926101671</v>
      </c>
    </row>
    <row r="19" spans="1:4" x14ac:dyDescent="0.3">
      <c r="A19" s="66" t="s">
        <v>131</v>
      </c>
      <c r="B19">
        <v>0.55887081850273834</v>
      </c>
      <c r="C19">
        <v>0.59684148247426927</v>
      </c>
      <c r="D19">
        <v>0.57785615048850381</v>
      </c>
    </row>
    <row r="20" spans="1:4" x14ac:dyDescent="0.3">
      <c r="A20" s="66" t="s">
        <v>132</v>
      </c>
      <c r="B20">
        <v>0.57402919936028851</v>
      </c>
      <c r="C20">
        <v>0.64516145503927069</v>
      </c>
      <c r="D20">
        <v>0.60959532719977971</v>
      </c>
    </row>
    <row r="21" spans="1:4" x14ac:dyDescent="0.3">
      <c r="A21" s="43" t="s">
        <v>144</v>
      </c>
      <c r="B21">
        <v>0.25344035485092864</v>
      </c>
      <c r="C21">
        <v>0.31682047375300559</v>
      </c>
      <c r="D21">
        <v>0.28513041430196717</v>
      </c>
    </row>
    <row r="22" spans="1:4" x14ac:dyDescent="0.3">
      <c r="A22" s="66" t="s">
        <v>128</v>
      </c>
      <c r="B22">
        <v>0.25487335459536409</v>
      </c>
      <c r="C22">
        <v>0.32131962795090568</v>
      </c>
      <c r="D22">
        <v>0.28809649127313491</v>
      </c>
    </row>
    <row r="23" spans="1:4" x14ac:dyDescent="0.3">
      <c r="A23" s="66" t="s">
        <v>129</v>
      </c>
      <c r="B23">
        <v>0.26526266919675673</v>
      </c>
      <c r="C23">
        <v>0.33587932687078936</v>
      </c>
      <c r="D23">
        <v>0.30057099803377313</v>
      </c>
    </row>
    <row r="24" spans="1:4" x14ac:dyDescent="0.3">
      <c r="A24" s="66" t="s">
        <v>130</v>
      </c>
      <c r="B24">
        <v>0.24943143104385404</v>
      </c>
      <c r="C24">
        <v>0.3012691686181494</v>
      </c>
      <c r="D24">
        <v>0.27535029983100173</v>
      </c>
    </row>
    <row r="25" spans="1:4" x14ac:dyDescent="0.3">
      <c r="A25" s="66" t="s">
        <v>131</v>
      </c>
      <c r="B25">
        <v>0.24546378285589118</v>
      </c>
      <c r="C25">
        <v>0.30475693475431009</v>
      </c>
      <c r="D25">
        <v>0.27511035880510065</v>
      </c>
    </row>
    <row r="26" spans="1:4" x14ac:dyDescent="0.3">
      <c r="A26" s="66" t="s">
        <v>132</v>
      </c>
      <c r="B26">
        <v>0.25217053656277727</v>
      </c>
      <c r="C26">
        <v>0.32087731057087343</v>
      </c>
      <c r="D26">
        <v>0.28652392356682538</v>
      </c>
    </row>
    <row r="27" spans="1:4" x14ac:dyDescent="0.3">
      <c r="A27" s="43" t="s">
        <v>56</v>
      </c>
      <c r="B27">
        <v>0.35849119805131086</v>
      </c>
      <c r="C27">
        <v>0.41096958692800195</v>
      </c>
      <c r="D27">
        <v>0.3847303924896564</v>
      </c>
    </row>
  </sheetData>
  <hyperlinks>
    <hyperlink ref="A1" location="'START PAGE'!A1" display="'START PAGE'!A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AX272"/>
  <sheetViews>
    <sheetView zoomScaleNormal="100" workbookViewId="0">
      <pane ySplit="1" topLeftCell="A2" activePane="bottomLeft" state="frozen"/>
      <selection activeCell="K1" sqref="K1"/>
      <selection pane="bottomLeft" activeCell="E1" sqref="E1"/>
    </sheetView>
  </sheetViews>
  <sheetFormatPr defaultColWidth="9.140625" defaultRowHeight="15" x14ac:dyDescent="0.3"/>
  <cols>
    <col min="1" max="1" width="32.85546875" style="33" bestFit="1" customWidth="1"/>
    <col min="2" max="2" width="18.85546875" style="33" bestFit="1" customWidth="1"/>
    <col min="3" max="3" width="22.7109375" style="33" bestFit="1" customWidth="1"/>
    <col min="4" max="4" width="9.5703125" style="33" bestFit="1" customWidth="1"/>
    <col min="5" max="5" width="11.28515625" style="33" bestFit="1" customWidth="1"/>
    <col min="6" max="7" width="16.7109375" style="33" bestFit="1" customWidth="1"/>
    <col min="8" max="8" width="12.7109375" style="33" bestFit="1" customWidth="1"/>
    <col min="9" max="9" width="27.140625" style="33" bestFit="1" customWidth="1"/>
    <col min="10" max="10" width="124" style="33" bestFit="1" customWidth="1"/>
    <col min="11" max="13" width="9.140625" style="33"/>
    <col min="14" max="14" width="20" style="33" bestFit="1" customWidth="1"/>
    <col min="15" max="15" width="19.5703125" style="33" bestFit="1" customWidth="1"/>
    <col min="16" max="16" width="19.5703125" style="33" customWidth="1"/>
    <col min="17" max="17" width="13.5703125" style="33" bestFit="1" customWidth="1"/>
    <col min="18" max="18" width="23.140625" style="33" bestFit="1" customWidth="1"/>
    <col min="19" max="19" width="31.28515625" style="33" bestFit="1" customWidth="1"/>
    <col min="20" max="20" width="7.85546875" style="33" bestFit="1" customWidth="1"/>
    <col min="21" max="21" width="9.140625" style="33"/>
    <col min="22" max="22" width="10.5703125" style="33" bestFit="1" customWidth="1"/>
    <col min="23" max="23" width="12" style="33" bestFit="1" customWidth="1"/>
    <col min="24" max="24" width="16.42578125" style="33" bestFit="1" customWidth="1"/>
    <col min="25" max="25" width="11.7109375" style="33" bestFit="1" customWidth="1"/>
    <col min="26" max="27" width="9.140625" style="33"/>
    <col min="28" max="50" width="8.7109375" customWidth="1"/>
    <col min="51" max="16384" width="9.140625" style="33"/>
  </cols>
  <sheetData>
    <row r="1" spans="1:26" x14ac:dyDescent="0.3">
      <c r="A1" s="33" t="str">
        <f>+'[1]Test order'!A1</f>
        <v>Vehicle</v>
      </c>
      <c r="B1" s="33" t="str">
        <f>+'[1]Test order'!B1</f>
        <v>Route</v>
      </c>
      <c r="C1" s="33" t="str">
        <f>+'[1]Test order'!C1</f>
        <v>Engine</v>
      </c>
      <c r="D1" s="33" t="str">
        <f>+'[1]Test order'!D1</f>
        <v>Fuel</v>
      </c>
      <c r="E1" s="33" t="str">
        <f>+'[1]Test order'!E1</f>
        <v>Total MJ/km</v>
      </c>
      <c r="F1" s="33" t="str">
        <f>+'[1]Test order'!F1</f>
        <v>Mechanical MJ/km</v>
      </c>
      <c r="G1" s="33" t="str">
        <f>+'[1]Test order'!G1</f>
        <v>Efficiency %</v>
      </c>
      <c r="H1" s="33" t="str">
        <f>+'[1]Test order'!H1</f>
        <v>Fuel Economy</v>
      </c>
      <c r="I1" s="33" t="str">
        <f>+'[1]Test order'!I1</f>
        <v>Enhed</v>
      </c>
      <c r="J1" s="33" t="str">
        <f>+'[1]Test order'!J1</f>
        <v>Case</v>
      </c>
      <c r="K1" s="33" t="str">
        <f>+'[1]Test order'!K1</f>
        <v>Note</v>
      </c>
      <c r="L1" s="33" t="str">
        <f>+'[1]Test order'!L1</f>
        <v>Year</v>
      </c>
      <c r="M1" s="33" t="s">
        <v>58</v>
      </c>
      <c r="N1" s="33" t="s">
        <v>69</v>
      </c>
      <c r="O1" s="33" t="s">
        <v>59</v>
      </c>
      <c r="P1" s="33" t="s">
        <v>61</v>
      </c>
      <c r="Q1" s="33" t="s">
        <v>60</v>
      </c>
      <c r="R1" s="33" t="s">
        <v>135</v>
      </c>
      <c r="S1" s="33" t="s">
        <v>62</v>
      </c>
      <c r="T1" s="33" t="s">
        <v>68</v>
      </c>
      <c r="U1" s="33" t="s">
        <v>63</v>
      </c>
      <c r="V1" s="33" t="s">
        <v>64</v>
      </c>
      <c r="W1" s="33" t="s">
        <v>65</v>
      </c>
      <c r="X1" s="33" t="s">
        <v>66</v>
      </c>
      <c r="Y1" s="33" t="s">
        <v>67</v>
      </c>
    </row>
    <row r="2" spans="1:26" x14ac:dyDescent="0.3">
      <c r="A2" s="33" t="str">
        <f>+'[1]Test order'!A2</f>
        <v>2022 RIGID TRUCK - EMPTY</v>
      </c>
      <c r="B2" s="33" t="str">
        <f>+'[1]Test order'!B2</f>
        <v>URBAN DELIVERY</v>
      </c>
      <c r="C2" s="33" t="str">
        <f>+'[1]Test order'!C2</f>
        <v>Diesel 380 kW</v>
      </c>
      <c r="D2" s="33" t="str">
        <f>+'[1]Test order'!D2</f>
        <v>Diesel</v>
      </c>
      <c r="E2" s="34">
        <f>+'[1]Test order'!E2</f>
        <v>8.2516787263615647</v>
      </c>
      <c r="F2" s="34">
        <f>+'[1]Test order'!F2</f>
        <v>1.1974543929100037</v>
      </c>
      <c r="G2" s="38">
        <f>+'[1]Test order'!G2</f>
        <v>0.14511645843463425</v>
      </c>
      <c r="H2" s="39">
        <f>+'[1]Test order'!H2</f>
        <v>4.3627486228942871</v>
      </c>
      <c r="I2" s="33" t="str">
        <f>+'[1]Test order'!I2</f>
        <v>km/l</v>
      </c>
      <c r="J2" s="33" t="str">
        <f>+'[1]Test order'!J2</f>
        <v>Diesel 2022 RIGID TRUCK - EMPTY Diesel 380 kW URBAN DELIVERY 11000 kg 22.9 l /100km 15%</v>
      </c>
      <c r="K2" s="33">
        <f>+'[1]Test order'!K2</f>
        <v>0</v>
      </c>
      <c r="L2" s="33" t="str">
        <f t="shared" ref="L2:L65" si="0">LEFT(A2,4)</f>
        <v>2022</v>
      </c>
      <c r="M2" s="33" t="str">
        <f t="shared" ref="M2:M65" si="1">RIGHT(A2,LEN(A2)-FIND("-",A2)-1)</f>
        <v>EMPTY</v>
      </c>
      <c r="N2" s="33" t="str">
        <f t="shared" ref="N2:N65" si="2">MID(LEFT(A2,FIND("-",A2)-1),6,20)</f>
        <v xml:space="preserve">RIGID TRUCK </v>
      </c>
      <c r="O2" s="33" t="str">
        <f t="shared" ref="O2:O65" si="3">_xlfn.TEXTJOIN(" ",FALSE,D2,I2)</f>
        <v>Diesel km/l</v>
      </c>
      <c r="P2" s="41">
        <f>+'Diesel L1'!$B$71</f>
        <v>174667.55319148937</v>
      </c>
      <c r="Q2" s="41">
        <f t="shared" ref="Q2:Q65" si="4">+P2-R2-S2</f>
        <v>141367.55319148937</v>
      </c>
      <c r="R2" s="41">
        <f>+'Diesel L1'!$B$73</f>
        <v>33000</v>
      </c>
      <c r="S2" s="41">
        <f>+'Diesel L1'!$B$72</f>
        <v>300</v>
      </c>
      <c r="T2" s="37">
        <f>'[1]Test order'!M2</f>
        <v>11000</v>
      </c>
      <c r="U2" s="33">
        <v>0</v>
      </c>
      <c r="V2" s="33">
        <v>0</v>
      </c>
      <c r="W2" s="34" t="e">
        <f>IF(U2&gt;0,E2/U2*1000,NA())</f>
        <v>#N/A</v>
      </c>
      <c r="X2" s="34" t="str">
        <f t="shared" ref="X2:X65" si="5">IF(V2&gt;0,E2/V2,"")</f>
        <v/>
      </c>
      <c r="Y2" s="42">
        <f t="shared" ref="Y2:Y46" si="6">9.1428+0.2063*U2/1000</f>
        <v>9.1427999999999994</v>
      </c>
      <c r="Z2" s="34"/>
    </row>
    <row r="3" spans="1:26" x14ac:dyDescent="0.3">
      <c r="A3" s="33" t="str">
        <f>+'[1]Test order'!A3</f>
        <v>2022 RIGID TRUCK - EMPTY</v>
      </c>
      <c r="B3" s="33" t="str">
        <f>+'[1]Test order'!B3</f>
        <v>REGIONAL DELIVERY</v>
      </c>
      <c r="C3" s="33" t="str">
        <f>+'[1]Test order'!C3</f>
        <v>Diesel 380 kW</v>
      </c>
      <c r="D3" s="33" t="str">
        <f>+'[1]Test order'!D3</f>
        <v>Diesel</v>
      </c>
      <c r="E3" s="34">
        <f>+'[1]Test order'!E3</f>
        <v>7.1227235414272885</v>
      </c>
      <c r="F3" s="34">
        <f>+'[1]Test order'!F3</f>
        <v>1.8814160823822021</v>
      </c>
      <c r="G3" s="38">
        <f>+'[1]Test order'!G3</f>
        <v>0.26414279193057016</v>
      </c>
      <c r="H3" s="39">
        <f>+'[1]Test order'!H3</f>
        <v>5.0542464256286621</v>
      </c>
      <c r="I3" s="33" t="str">
        <f>+'[1]Test order'!I3</f>
        <v>km/l</v>
      </c>
      <c r="J3" s="33" t="str">
        <f>+'[1]Test order'!J3</f>
        <v>Diesel 2022 RIGID TRUCK - EMPTY Diesel 380 kW REGIONAL DELIVERY 11000 kg 19.8 l /100km 26%</v>
      </c>
      <c r="K3" s="33">
        <f>+'[1]Test order'!K3</f>
        <v>0</v>
      </c>
      <c r="L3" s="33" t="str">
        <f t="shared" si="0"/>
        <v>2022</v>
      </c>
      <c r="M3" s="33" t="str">
        <f t="shared" si="1"/>
        <v>EMPTY</v>
      </c>
      <c r="N3" s="33" t="str">
        <f t="shared" si="2"/>
        <v xml:space="preserve">RIGID TRUCK </v>
      </c>
      <c r="O3" s="33" t="str">
        <f t="shared" si="3"/>
        <v>Diesel km/l</v>
      </c>
      <c r="P3" s="41">
        <f>+'Diesel L1'!$B$71</f>
        <v>174667.55319148937</v>
      </c>
      <c r="Q3" s="41">
        <f t="shared" si="4"/>
        <v>141367.55319148937</v>
      </c>
      <c r="R3" s="41">
        <f>+'Diesel L1'!$B$73</f>
        <v>33000</v>
      </c>
      <c r="S3" s="41">
        <f>+'Diesel L1'!$B$72</f>
        <v>300</v>
      </c>
      <c r="T3" s="37">
        <f>'[1]Test order'!M3</f>
        <v>11000</v>
      </c>
      <c r="U3" s="33">
        <v>0</v>
      </c>
      <c r="V3" s="33">
        <v>0</v>
      </c>
      <c r="W3" s="34" t="e">
        <f t="shared" ref="W3:W66" si="7">IF(U3&gt;0,E3/U3*1000,NA())</f>
        <v>#N/A</v>
      </c>
      <c r="X3" s="34" t="str">
        <f t="shared" si="5"/>
        <v/>
      </c>
      <c r="Y3" s="42">
        <f t="shared" si="6"/>
        <v>9.1427999999999994</v>
      </c>
      <c r="Z3" s="34"/>
    </row>
    <row r="4" spans="1:26" x14ac:dyDescent="0.3">
      <c r="A4" s="33" t="str">
        <f>+'[1]Test order'!A4</f>
        <v>2022 RIGID TRUCK - EMPTY</v>
      </c>
      <c r="B4" s="33" t="str">
        <f>+'[1]Test order'!B4</f>
        <v>LONG HAUL</v>
      </c>
      <c r="C4" s="33" t="str">
        <f>+'[1]Test order'!C4</f>
        <v>Diesel 380 kW</v>
      </c>
      <c r="D4" s="33" t="str">
        <f>+'[1]Test order'!D4</f>
        <v>Diesel</v>
      </c>
      <c r="E4" s="34">
        <f>+'[1]Test order'!E4</f>
        <v>7.0714803548634499</v>
      </c>
      <c r="F4" s="34">
        <f>+'[1]Test order'!F4</f>
        <v>2.3215257525444031</v>
      </c>
      <c r="G4" s="38">
        <f>+'[1]Test order'!G4</f>
        <v>0.32829416699825248</v>
      </c>
      <c r="H4" s="39">
        <f>+'[1]Test order'!H4</f>
        <v>5.0908718109130859</v>
      </c>
      <c r="I4" s="33" t="str">
        <f>+'[1]Test order'!I4</f>
        <v>km/l</v>
      </c>
      <c r="J4" s="33" t="str">
        <f>+'[1]Test order'!J4</f>
        <v>Diesel 2022 RIGID TRUCK - EMPTY Diesel 380 kW LONG HAUL 11000 kg 19.6 l /100km 33%</v>
      </c>
      <c r="K4" s="33">
        <f>+'[1]Test order'!K4</f>
        <v>0</v>
      </c>
      <c r="L4" s="33" t="str">
        <f t="shared" si="0"/>
        <v>2022</v>
      </c>
      <c r="M4" s="33" t="str">
        <f t="shared" si="1"/>
        <v>EMPTY</v>
      </c>
      <c r="N4" s="33" t="str">
        <f t="shared" si="2"/>
        <v xml:space="preserve">RIGID TRUCK </v>
      </c>
      <c r="O4" s="33" t="str">
        <f t="shared" si="3"/>
        <v>Diesel km/l</v>
      </c>
      <c r="P4" s="41">
        <f>+'Diesel L1'!$B$71</f>
        <v>174667.55319148937</v>
      </c>
      <c r="Q4" s="41">
        <f t="shared" si="4"/>
        <v>141367.55319148937</v>
      </c>
      <c r="R4" s="41">
        <f>+'Diesel L1'!$B$73</f>
        <v>33000</v>
      </c>
      <c r="S4" s="41">
        <f>+'Diesel L1'!$B$72</f>
        <v>300</v>
      </c>
      <c r="T4" s="37">
        <f>'[1]Test order'!M4</f>
        <v>11000</v>
      </c>
      <c r="U4" s="33">
        <v>0</v>
      </c>
      <c r="V4" s="33">
        <v>0</v>
      </c>
      <c r="W4" s="34" t="e">
        <f t="shared" si="7"/>
        <v>#N/A</v>
      </c>
      <c r="X4" s="34" t="str">
        <f t="shared" si="5"/>
        <v/>
      </c>
      <c r="Y4" s="42">
        <f t="shared" si="6"/>
        <v>9.1427999999999994</v>
      </c>
      <c r="Z4" s="34"/>
    </row>
    <row r="5" spans="1:26" x14ac:dyDescent="0.3">
      <c r="A5" s="33" t="str">
        <f>+'[1]Test order'!A5</f>
        <v>2022 RIGID TRUCK - TYPICAL</v>
      </c>
      <c r="B5" s="33" t="str">
        <f>+'[1]Test order'!B5</f>
        <v>URBAN DELIVERY</v>
      </c>
      <c r="C5" s="33" t="str">
        <f>+'[1]Test order'!C5</f>
        <v>Diesel 380 kW</v>
      </c>
      <c r="D5" s="33" t="str">
        <f>+'[1]Test order'!D5</f>
        <v>Diesel</v>
      </c>
      <c r="E5" s="34">
        <f>+'[1]Test order'!E5</f>
        <v>10.579715959447361</v>
      </c>
      <c r="F5" s="34">
        <f>+'[1]Test order'!F5</f>
        <v>1.5233623385429382</v>
      </c>
      <c r="G5" s="38">
        <f>+'[1]Test order'!G5</f>
        <v>0.14398896382304313</v>
      </c>
      <c r="H5" s="39">
        <f>+'[1]Test order'!H5</f>
        <v>3.4027378559112549</v>
      </c>
      <c r="I5" s="33" t="str">
        <f>+'[1]Test order'!I5</f>
        <v>km/l</v>
      </c>
      <c r="J5" s="33" t="str">
        <f>+'[1]Test order'!J5</f>
        <v>Diesel 2022 RIGID TRUCK - TYPICAL Diesel 380 kW URBAN DELIVERY 17645 kg 29.4 l /100km 14%</v>
      </c>
      <c r="K5" s="33">
        <f>+'[1]Test order'!K5</f>
        <v>0</v>
      </c>
      <c r="L5" s="33" t="str">
        <f t="shared" si="0"/>
        <v>2022</v>
      </c>
      <c r="M5" s="33" t="str">
        <f t="shared" si="1"/>
        <v>TYPICAL</v>
      </c>
      <c r="N5" s="33" t="str">
        <f t="shared" si="2"/>
        <v xml:space="preserve">RIGID TRUCK </v>
      </c>
      <c r="O5" s="33" t="str">
        <f t="shared" si="3"/>
        <v>Diesel km/l</v>
      </c>
      <c r="P5" s="41">
        <f>+'Diesel L1'!$B$71</f>
        <v>174667.55319148937</v>
      </c>
      <c r="Q5" s="41">
        <f t="shared" si="4"/>
        <v>141367.55319148937</v>
      </c>
      <c r="R5" s="41">
        <f>+'Diesel L1'!$B$73</f>
        <v>33000</v>
      </c>
      <c r="S5" s="41">
        <f>+'Diesel L1'!$B$72</f>
        <v>300</v>
      </c>
      <c r="T5" s="37">
        <f>'[1]Test order'!M5</f>
        <v>17645</v>
      </c>
      <c r="U5" s="37">
        <f>+'Diesel L1'!$B$7</f>
        <v>6645</v>
      </c>
      <c r="V5" s="33">
        <v>0</v>
      </c>
      <c r="W5" s="34">
        <f t="shared" si="7"/>
        <v>1.5921318223397081</v>
      </c>
      <c r="X5" s="34" t="str">
        <f t="shared" si="5"/>
        <v/>
      </c>
      <c r="Y5" s="42">
        <f t="shared" si="6"/>
        <v>10.5136635</v>
      </c>
      <c r="Z5" s="34"/>
    </row>
    <row r="6" spans="1:26" x14ac:dyDescent="0.3">
      <c r="A6" s="33" t="str">
        <f>+'[1]Test order'!A6</f>
        <v>2022 RIGID TRUCK - TYPICAL</v>
      </c>
      <c r="B6" s="33" t="str">
        <f>+'[1]Test order'!B6</f>
        <v>REGIONAL DELIVERY</v>
      </c>
      <c r="C6" s="33" t="str">
        <f>+'[1]Test order'!C6</f>
        <v>Diesel 380 kW</v>
      </c>
      <c r="D6" s="33" t="str">
        <f>+'[1]Test order'!D6</f>
        <v>Diesel</v>
      </c>
      <c r="E6" s="34">
        <f>+'[1]Test order'!E6</f>
        <v>8.5012256250158345</v>
      </c>
      <c r="F6" s="34">
        <f>+'[1]Test order'!F6</f>
        <v>2.2073662877082825</v>
      </c>
      <c r="G6" s="38">
        <f>+'[1]Test order'!G6</f>
        <v>0.25965271186461081</v>
      </c>
      <c r="H6" s="39">
        <f>+'[1]Test order'!H6</f>
        <v>4.2346835136413574</v>
      </c>
      <c r="I6" s="33" t="str">
        <f>+'[1]Test order'!I6</f>
        <v>km/l</v>
      </c>
      <c r="J6" s="33" t="str">
        <f>+'[1]Test order'!J6</f>
        <v>Diesel 2022 RIGID TRUCK - TYPICAL Diesel 380 kW REGIONAL DELIVERY 17645 kg 23.6 l /100km 26%</v>
      </c>
      <c r="K6" s="33">
        <f>+'[1]Test order'!K6</f>
        <v>0</v>
      </c>
      <c r="L6" s="33" t="str">
        <f t="shared" si="0"/>
        <v>2022</v>
      </c>
      <c r="M6" s="33" t="str">
        <f t="shared" si="1"/>
        <v>TYPICAL</v>
      </c>
      <c r="N6" s="33" t="str">
        <f t="shared" si="2"/>
        <v xml:space="preserve">RIGID TRUCK </v>
      </c>
      <c r="O6" s="33" t="str">
        <f t="shared" si="3"/>
        <v>Diesel km/l</v>
      </c>
      <c r="P6" s="41">
        <f>+'Diesel L1'!$B$71</f>
        <v>174667.55319148937</v>
      </c>
      <c r="Q6" s="41">
        <f t="shared" si="4"/>
        <v>141367.55319148937</v>
      </c>
      <c r="R6" s="41">
        <f>+'Diesel L1'!$B$73</f>
        <v>33000</v>
      </c>
      <c r="S6" s="41">
        <f>+'Diesel L1'!$B$72</f>
        <v>300</v>
      </c>
      <c r="T6" s="37">
        <f>'[1]Test order'!M6</f>
        <v>17645</v>
      </c>
      <c r="U6" s="37">
        <f>+'Diesel L1'!$B$7</f>
        <v>6645</v>
      </c>
      <c r="V6" s="33">
        <v>0</v>
      </c>
      <c r="W6" s="34">
        <f t="shared" si="7"/>
        <v>1.279341704291322</v>
      </c>
      <c r="X6" s="34" t="str">
        <f t="shared" si="5"/>
        <v/>
      </c>
      <c r="Y6" s="42">
        <f t="shared" si="6"/>
        <v>10.5136635</v>
      </c>
      <c r="Z6" s="34"/>
    </row>
    <row r="7" spans="1:26" x14ac:dyDescent="0.3">
      <c r="A7" s="33" t="str">
        <f>+'[1]Test order'!A7</f>
        <v>2022 RIGID TRUCK - TYPICAL</v>
      </c>
      <c r="B7" s="33" t="str">
        <f>+'[1]Test order'!B7</f>
        <v>LONG HAUL</v>
      </c>
      <c r="C7" s="33" t="str">
        <f>+'[1]Test order'!C7</f>
        <v>Diesel 380 kW</v>
      </c>
      <c r="D7" s="33" t="str">
        <f>+'[1]Test order'!D7</f>
        <v>Diesel</v>
      </c>
      <c r="E7" s="34">
        <f>+'[1]Test order'!E7</f>
        <v>7.8769592375098538</v>
      </c>
      <c r="F7" s="34">
        <f>+'[1]Test order'!F7</f>
        <v>2.6474876999855042</v>
      </c>
      <c r="G7" s="38">
        <f>+'[1]Test order'!G7</f>
        <v>0.33610529395381961</v>
      </c>
      <c r="H7" s="39">
        <f>+'[1]Test order'!H7</f>
        <v>4.5702915191650391</v>
      </c>
      <c r="I7" s="33" t="str">
        <f>+'[1]Test order'!I7</f>
        <v>km/l</v>
      </c>
      <c r="J7" s="33" t="str">
        <f>+'[1]Test order'!J7</f>
        <v>Diesel 2022 RIGID TRUCK - TYPICAL Diesel 380 kW LONG HAUL 17645 kg 21.9 l /100km 34%</v>
      </c>
      <c r="K7" s="33">
        <f>+'[1]Test order'!K7</f>
        <v>0</v>
      </c>
      <c r="L7" s="33" t="str">
        <f t="shared" si="0"/>
        <v>2022</v>
      </c>
      <c r="M7" s="33" t="str">
        <f t="shared" si="1"/>
        <v>TYPICAL</v>
      </c>
      <c r="N7" s="33" t="str">
        <f t="shared" si="2"/>
        <v xml:space="preserve">RIGID TRUCK </v>
      </c>
      <c r="O7" s="33" t="str">
        <f t="shared" si="3"/>
        <v>Diesel km/l</v>
      </c>
      <c r="P7" s="41">
        <f>+'Diesel L1'!$B$71</f>
        <v>174667.55319148937</v>
      </c>
      <c r="Q7" s="41">
        <f t="shared" si="4"/>
        <v>141367.55319148937</v>
      </c>
      <c r="R7" s="41">
        <f>+'Diesel L1'!$B$73</f>
        <v>33000</v>
      </c>
      <c r="S7" s="41">
        <f>+'Diesel L1'!$B$72</f>
        <v>300</v>
      </c>
      <c r="T7" s="37">
        <f>'[1]Test order'!M7</f>
        <v>17645</v>
      </c>
      <c r="U7" s="37">
        <f>+'Diesel L1'!$B$7</f>
        <v>6645</v>
      </c>
      <c r="V7" s="33">
        <v>0</v>
      </c>
      <c r="W7" s="34">
        <f t="shared" si="7"/>
        <v>1.1853964240044927</v>
      </c>
      <c r="X7" s="34" t="str">
        <f t="shared" si="5"/>
        <v/>
      </c>
      <c r="Y7" s="42">
        <f t="shared" si="6"/>
        <v>10.5136635</v>
      </c>
      <c r="Z7" s="34"/>
    </row>
    <row r="8" spans="1:26" x14ac:dyDescent="0.3">
      <c r="A8" s="33" t="str">
        <f>+'[1]Test order'!A8</f>
        <v>2022 RIGID TRUCK - FULL</v>
      </c>
      <c r="B8" s="33" t="str">
        <f>+'[1]Test order'!B8</f>
        <v>URBAN DELIVERY</v>
      </c>
      <c r="C8" s="33" t="str">
        <f>+'[1]Test order'!C8</f>
        <v>Diesel 380 kW</v>
      </c>
      <c r="D8" s="33" t="str">
        <f>+'[1]Test order'!D8</f>
        <v>Diesel</v>
      </c>
      <c r="E8" s="34">
        <f>+'[1]Test order'!E8</f>
        <v>13.610932089811362</v>
      </c>
      <c r="F8" s="34">
        <f>+'[1]Test order'!F8</f>
        <v>1.9331322908401489</v>
      </c>
      <c r="G8" s="38">
        <f>+'[1]Test order'!G8</f>
        <v>0.14202791389189429</v>
      </c>
      <c r="H8" s="39">
        <f>+'[1]Test order'!H8</f>
        <v>2.644932746887207</v>
      </c>
      <c r="I8" s="33" t="str">
        <f>+'[1]Test order'!I8</f>
        <v>km/l</v>
      </c>
      <c r="J8" s="33" t="str">
        <f>+'[1]Test order'!J8</f>
        <v>Diesel 2022 RIGID TRUCK - FULL Diesel 380 kW URBAN DELIVERY 26000 kg 37.8 l /100km 14%</v>
      </c>
      <c r="K8" s="33">
        <f>+'[1]Test order'!K8</f>
        <v>0</v>
      </c>
      <c r="L8" s="33" t="str">
        <f t="shared" si="0"/>
        <v>2022</v>
      </c>
      <c r="M8" s="33" t="str">
        <f t="shared" si="1"/>
        <v>FULL</v>
      </c>
      <c r="N8" s="33" t="str">
        <f t="shared" si="2"/>
        <v xml:space="preserve">RIGID TRUCK </v>
      </c>
      <c r="O8" s="33" t="str">
        <f t="shared" si="3"/>
        <v>Diesel km/l</v>
      </c>
      <c r="P8" s="41">
        <f>+'Diesel L1'!$B$71</f>
        <v>174667.55319148937</v>
      </c>
      <c r="Q8" s="41">
        <f t="shared" si="4"/>
        <v>141367.55319148937</v>
      </c>
      <c r="R8" s="41">
        <f>+'Diesel L1'!$B$73</f>
        <v>33000</v>
      </c>
      <c r="S8" s="41">
        <f>+'Diesel L1'!$B$72</f>
        <v>300</v>
      </c>
      <c r="T8" s="37">
        <f>'[1]Test order'!M8</f>
        <v>26000</v>
      </c>
      <c r="U8" s="33">
        <f>+'Diesel L1'!$B$4</f>
        <v>15000</v>
      </c>
      <c r="V8" s="33">
        <v>0</v>
      </c>
      <c r="W8" s="34">
        <f t="shared" si="7"/>
        <v>0.90739547265409071</v>
      </c>
      <c r="X8" s="34" t="str">
        <f t="shared" si="5"/>
        <v/>
      </c>
      <c r="Y8" s="42">
        <f t="shared" si="6"/>
        <v>12.237299999999999</v>
      </c>
      <c r="Z8" s="34"/>
    </row>
    <row r="9" spans="1:26" x14ac:dyDescent="0.3">
      <c r="A9" s="33" t="str">
        <f>+'[1]Test order'!A9</f>
        <v>2022 RIGID TRUCK - FULL</v>
      </c>
      <c r="B9" s="33" t="str">
        <f>+'[1]Test order'!B9</f>
        <v>REGIONAL DELIVERY</v>
      </c>
      <c r="C9" s="33" t="str">
        <f>+'[1]Test order'!C9</f>
        <v>Diesel 380 kW</v>
      </c>
      <c r="D9" s="33" t="str">
        <f>+'[1]Test order'!D9</f>
        <v>Diesel</v>
      </c>
      <c r="E9" s="34">
        <f>+'[1]Test order'!E9</f>
        <v>10.268412645422764</v>
      </c>
      <c r="F9" s="34">
        <f>+'[1]Test order'!F9</f>
        <v>2.6171222925186157</v>
      </c>
      <c r="G9" s="38">
        <f>+'[1]Test order'!G9</f>
        <v>0.25487116489082867</v>
      </c>
      <c r="H9" s="39">
        <f>+'[1]Test order'!H9</f>
        <v>3.5058972835540771</v>
      </c>
      <c r="I9" s="33" t="str">
        <f>+'[1]Test order'!I9</f>
        <v>km/l</v>
      </c>
      <c r="J9" s="33" t="str">
        <f>+'[1]Test order'!J9</f>
        <v>Diesel 2022 RIGID TRUCK - FULL Diesel 380 kW REGIONAL DELIVERY 26000 kg 28.5 l /100km 25%</v>
      </c>
      <c r="K9" s="33">
        <f>+'[1]Test order'!K9</f>
        <v>0</v>
      </c>
      <c r="L9" s="33" t="str">
        <f t="shared" si="0"/>
        <v>2022</v>
      </c>
      <c r="M9" s="33" t="str">
        <f t="shared" si="1"/>
        <v>FULL</v>
      </c>
      <c r="N9" s="33" t="str">
        <f t="shared" si="2"/>
        <v xml:space="preserve">RIGID TRUCK </v>
      </c>
      <c r="O9" s="33" t="str">
        <f t="shared" si="3"/>
        <v>Diesel km/l</v>
      </c>
      <c r="P9" s="41">
        <f>+'Diesel L1'!$B$71</f>
        <v>174667.55319148937</v>
      </c>
      <c r="Q9" s="41">
        <f t="shared" si="4"/>
        <v>141367.55319148937</v>
      </c>
      <c r="R9" s="41">
        <f>+'Diesel L1'!$B$73</f>
        <v>33000</v>
      </c>
      <c r="S9" s="41">
        <f>+'Diesel L1'!$B$72</f>
        <v>300</v>
      </c>
      <c r="T9" s="37">
        <f>'[1]Test order'!M9</f>
        <v>26000</v>
      </c>
      <c r="U9" s="33">
        <f>+'Diesel L1'!$B$4</f>
        <v>15000</v>
      </c>
      <c r="V9" s="33">
        <v>0</v>
      </c>
      <c r="W9" s="34">
        <f t="shared" si="7"/>
        <v>0.68456084302818421</v>
      </c>
      <c r="X9" s="34" t="str">
        <f t="shared" si="5"/>
        <v/>
      </c>
      <c r="Y9" s="42">
        <f t="shared" si="6"/>
        <v>12.237299999999999</v>
      </c>
      <c r="Z9" s="34"/>
    </row>
    <row r="10" spans="1:26" x14ac:dyDescent="0.3">
      <c r="A10" s="33" t="str">
        <f>+'[1]Test order'!A10</f>
        <v>2022 RIGID TRUCK - FULL</v>
      </c>
      <c r="B10" s="33" t="str">
        <f>+'[1]Test order'!B10</f>
        <v>LONG HAUL</v>
      </c>
      <c r="C10" s="33" t="str">
        <f>+'[1]Test order'!C10</f>
        <v>Diesel 380 kW</v>
      </c>
      <c r="D10" s="33" t="str">
        <f>+'[1]Test order'!D10</f>
        <v>Diesel</v>
      </c>
      <c r="E10" s="34">
        <f>+'[1]Test order'!E10</f>
        <v>9.0620562181980944</v>
      </c>
      <c r="F10" s="34">
        <f>+'[1]Test order'!F10</f>
        <v>3.0573092699050903</v>
      </c>
      <c r="G10" s="38">
        <f>+'[1]Test order'!G10</f>
        <v>0.33737478518015723</v>
      </c>
      <c r="H10" s="39">
        <f>+'[1]Test order'!H10</f>
        <v>3.9726083278656006</v>
      </c>
      <c r="I10" s="33" t="str">
        <f>+'[1]Test order'!I10</f>
        <v>km/l</v>
      </c>
      <c r="J10" s="33" t="str">
        <f>+'[1]Test order'!J10</f>
        <v>Diesel 2022 RIGID TRUCK - FULL Diesel 380 kW LONG HAUL 26000 kg 25.2 l /100km 34%</v>
      </c>
      <c r="K10" s="33">
        <f>+'[1]Test order'!K10</f>
        <v>0</v>
      </c>
      <c r="L10" s="33" t="str">
        <f t="shared" si="0"/>
        <v>2022</v>
      </c>
      <c r="M10" s="33" t="str">
        <f t="shared" si="1"/>
        <v>FULL</v>
      </c>
      <c r="N10" s="33" t="str">
        <f t="shared" si="2"/>
        <v xml:space="preserve">RIGID TRUCK </v>
      </c>
      <c r="O10" s="33" t="str">
        <f t="shared" si="3"/>
        <v>Diesel km/l</v>
      </c>
      <c r="P10" s="41">
        <f>+'Diesel L1'!$B$71</f>
        <v>174667.55319148937</v>
      </c>
      <c r="Q10" s="41">
        <f t="shared" si="4"/>
        <v>141367.55319148937</v>
      </c>
      <c r="R10" s="41">
        <f>+'Diesel L1'!$B$73</f>
        <v>33000</v>
      </c>
      <c r="S10" s="41">
        <f>+'Diesel L1'!$B$72</f>
        <v>300</v>
      </c>
      <c r="T10" s="37">
        <f>'[1]Test order'!M10</f>
        <v>26000</v>
      </c>
      <c r="U10" s="33">
        <f>+'Diesel L1'!$B$4</f>
        <v>15000</v>
      </c>
      <c r="V10" s="33">
        <v>0</v>
      </c>
      <c r="W10" s="34">
        <f t="shared" si="7"/>
        <v>0.60413708121320631</v>
      </c>
      <c r="X10" s="34" t="str">
        <f t="shared" si="5"/>
        <v/>
      </c>
      <c r="Y10" s="42">
        <f t="shared" si="6"/>
        <v>12.237299999999999</v>
      </c>
      <c r="Z10" s="34"/>
    </row>
    <row r="11" spans="1:26" x14ac:dyDescent="0.3">
      <c r="A11" s="33" t="str">
        <f>+'[1]Test order'!A11</f>
        <v>2022 TRUCK WITH TRAILER - EMPTY</v>
      </c>
      <c r="B11" s="33" t="str">
        <f>+'[1]Test order'!B11</f>
        <v>URBAN DELIVERY</v>
      </c>
      <c r="C11" s="33" t="str">
        <f>+'[1]Test order'!C11</f>
        <v>Diesel 380 kW</v>
      </c>
      <c r="D11" s="33" t="str">
        <f>+'[1]Test order'!D11</f>
        <v>Diesel</v>
      </c>
      <c r="E11" s="34">
        <f>+'[1]Test order'!E11</f>
        <v>10.254203005790899</v>
      </c>
      <c r="F11" s="34">
        <f>+'[1]Test order'!F11</f>
        <v>1.5688545703887939</v>
      </c>
      <c r="G11" s="38">
        <f>+'[1]Test order'!G11</f>
        <v>0.15299624646623519</v>
      </c>
      <c r="H11" s="39">
        <f>+'[1]Test order'!H11</f>
        <v>3.5107555389404297</v>
      </c>
      <c r="I11" s="33" t="str">
        <f>+'[1]Test order'!I11</f>
        <v>km/l</v>
      </c>
      <c r="J11" s="33" t="str">
        <f>+'[1]Test order'!J11</f>
        <v>Diesel 2022 TRUCK WITH TRAILER - EMPTY Diesel 380 kW URBAN DELIVERY 15796.73931275 kg 28.5 l /100km 15%</v>
      </c>
      <c r="K11" s="33">
        <f>+'[1]Test order'!K11</f>
        <v>0</v>
      </c>
      <c r="L11" s="33" t="str">
        <f t="shared" si="0"/>
        <v>2022</v>
      </c>
      <c r="M11" s="33" t="str">
        <f t="shared" si="1"/>
        <v>EMPTY</v>
      </c>
      <c r="N11" s="33" t="str">
        <f t="shared" si="2"/>
        <v xml:space="preserve">TRUCK WITH TRAILER </v>
      </c>
      <c r="O11" s="33" t="str">
        <f t="shared" si="3"/>
        <v>Diesel km/l</v>
      </c>
      <c r="P11" s="41">
        <f>+'Diesel L2'!$B$71</f>
        <v>199468.08510638299</v>
      </c>
      <c r="Q11" s="41">
        <f t="shared" si="4"/>
        <v>166168.08510638299</v>
      </c>
      <c r="R11" s="41">
        <f>+'Diesel L2'!$B$73</f>
        <v>33000</v>
      </c>
      <c r="S11" s="41">
        <f>+'Diesel L2'!$B$72</f>
        <v>300</v>
      </c>
      <c r="T11" s="37">
        <f>'[1]Test order'!M11</f>
        <v>15796.73931275</v>
      </c>
      <c r="U11" s="33">
        <v>0</v>
      </c>
      <c r="V11" s="33">
        <v>0</v>
      </c>
      <c r="W11" s="34" t="e">
        <f t="shared" si="7"/>
        <v>#N/A</v>
      </c>
      <c r="X11" s="34" t="str">
        <f t="shared" si="5"/>
        <v/>
      </c>
      <c r="Y11" s="42">
        <f t="shared" si="6"/>
        <v>9.1427999999999994</v>
      </c>
      <c r="Z11" s="34"/>
    </row>
    <row r="12" spans="1:26" x14ac:dyDescent="0.3">
      <c r="A12" s="33" t="str">
        <f>+'[1]Test order'!A12</f>
        <v>2022 TRUCK WITH TRAILER - EMPTY</v>
      </c>
      <c r="B12" s="33" t="str">
        <f>+'[1]Test order'!B12</f>
        <v>REGIONAL DELIVERY</v>
      </c>
      <c r="C12" s="33" t="str">
        <f>+'[1]Test order'!C12</f>
        <v>Diesel 380 kW</v>
      </c>
      <c r="D12" s="33" t="str">
        <f>+'[1]Test order'!D12</f>
        <v>Diesel</v>
      </c>
      <c r="E12" s="34">
        <f>+'[1]Test order'!E12</f>
        <v>8.719593096669108</v>
      </c>
      <c r="F12" s="34">
        <f>+'[1]Test order'!F12</f>
        <v>2.3943417072296143</v>
      </c>
      <c r="G12" s="38">
        <f>+'[1]Test order'!G12</f>
        <v>0.2745932844210649</v>
      </c>
      <c r="H12" s="39">
        <f>+'[1]Test order'!H12</f>
        <v>4.1286330223083496</v>
      </c>
      <c r="I12" s="33" t="str">
        <f>+'[1]Test order'!I12</f>
        <v>km/l</v>
      </c>
      <c r="J12" s="33" t="str">
        <f>+'[1]Test order'!J12</f>
        <v>Diesel 2022 TRUCK WITH TRAILER - EMPTY Diesel 380 kW REGIONAL DELIVERY 15796.73931275 kg 24.2 l /100km 27%</v>
      </c>
      <c r="K12" s="33">
        <f>+'[1]Test order'!K12</f>
        <v>0</v>
      </c>
      <c r="L12" s="33" t="str">
        <f t="shared" si="0"/>
        <v>2022</v>
      </c>
      <c r="M12" s="33" t="str">
        <f t="shared" si="1"/>
        <v>EMPTY</v>
      </c>
      <c r="N12" s="33" t="str">
        <f t="shared" si="2"/>
        <v xml:space="preserve">TRUCK WITH TRAILER </v>
      </c>
      <c r="O12" s="33" t="str">
        <f t="shared" si="3"/>
        <v>Diesel km/l</v>
      </c>
      <c r="P12" s="41">
        <f>+'Diesel L2'!$B$71</f>
        <v>199468.08510638299</v>
      </c>
      <c r="Q12" s="41">
        <f t="shared" si="4"/>
        <v>166168.08510638299</v>
      </c>
      <c r="R12" s="41">
        <f>+'Diesel L2'!$B$73</f>
        <v>33000</v>
      </c>
      <c r="S12" s="41">
        <f>+'Diesel L2'!$B$72</f>
        <v>300</v>
      </c>
      <c r="T12" s="37">
        <f>'[1]Test order'!M12</f>
        <v>15796.73931275</v>
      </c>
      <c r="U12" s="33">
        <v>0</v>
      </c>
      <c r="V12" s="33">
        <v>0</v>
      </c>
      <c r="W12" s="34" t="e">
        <f t="shared" si="7"/>
        <v>#N/A</v>
      </c>
      <c r="X12" s="34" t="str">
        <f t="shared" si="5"/>
        <v/>
      </c>
      <c r="Y12" s="42">
        <f t="shared" si="6"/>
        <v>9.1427999999999994</v>
      </c>
      <c r="Z12" s="34"/>
    </row>
    <row r="13" spans="1:26" x14ac:dyDescent="0.3">
      <c r="A13" s="33" t="str">
        <f>+'[1]Test order'!A13</f>
        <v>2022 TRUCK WITH TRAILER - EMPTY</v>
      </c>
      <c r="B13" s="33" t="str">
        <f>+'[1]Test order'!B13</f>
        <v>LONG HAUL</v>
      </c>
      <c r="C13" s="33" t="str">
        <f>+'[1]Test order'!C13</f>
        <v>Diesel 380 kW</v>
      </c>
      <c r="D13" s="33" t="str">
        <f>+'[1]Test order'!D13</f>
        <v>Diesel</v>
      </c>
      <c r="E13" s="34">
        <f>+'[1]Test order'!E13</f>
        <v>8.4819385395005877</v>
      </c>
      <c r="F13" s="34">
        <f>+'[1]Test order'!F13</f>
        <v>2.925517737865448</v>
      </c>
      <c r="G13" s="38">
        <f>+'[1]Test order'!G13</f>
        <v>0.34491145205087764</v>
      </c>
      <c r="H13" s="39">
        <f>+'[1]Test order'!H13</f>
        <v>4.2443127632141113</v>
      </c>
      <c r="I13" s="33" t="str">
        <f>+'[1]Test order'!I13</f>
        <v>km/l</v>
      </c>
      <c r="J13" s="33" t="str">
        <f>+'[1]Test order'!J13</f>
        <v>Diesel 2022 TRUCK WITH TRAILER - EMPTY Diesel 380 kW LONG HAUL 15796.73931275 kg 23.6 l /100km 34%</v>
      </c>
      <c r="K13" s="33">
        <f>+'[1]Test order'!K13</f>
        <v>0</v>
      </c>
      <c r="L13" s="33" t="str">
        <f t="shared" si="0"/>
        <v>2022</v>
      </c>
      <c r="M13" s="33" t="str">
        <f t="shared" si="1"/>
        <v>EMPTY</v>
      </c>
      <c r="N13" s="33" t="str">
        <f t="shared" si="2"/>
        <v xml:space="preserve">TRUCK WITH TRAILER </v>
      </c>
      <c r="O13" s="33" t="str">
        <f t="shared" si="3"/>
        <v>Diesel km/l</v>
      </c>
      <c r="P13" s="41">
        <f>+'Diesel L2'!$B$71</f>
        <v>199468.08510638299</v>
      </c>
      <c r="Q13" s="41">
        <f t="shared" si="4"/>
        <v>166168.08510638299</v>
      </c>
      <c r="R13" s="41">
        <f>+'Diesel L2'!$B$73</f>
        <v>33000</v>
      </c>
      <c r="S13" s="41">
        <f>+'Diesel L2'!$B$72</f>
        <v>300</v>
      </c>
      <c r="T13" s="37">
        <f>'[1]Test order'!M13</f>
        <v>15796.73931275</v>
      </c>
      <c r="U13" s="33">
        <v>0</v>
      </c>
      <c r="V13" s="33">
        <v>0</v>
      </c>
      <c r="W13" s="34" t="e">
        <f t="shared" si="7"/>
        <v>#N/A</v>
      </c>
      <c r="X13" s="34" t="str">
        <f t="shared" si="5"/>
        <v/>
      </c>
      <c r="Y13" s="42">
        <f t="shared" si="6"/>
        <v>9.1427999999999994</v>
      </c>
      <c r="Z13" s="34"/>
    </row>
    <row r="14" spans="1:26" x14ac:dyDescent="0.3">
      <c r="A14" s="33" t="str">
        <f>+'[1]Test order'!A14</f>
        <v>2022 TRUCK WITH TRAILER - TYPICAL</v>
      </c>
      <c r="B14" s="33" t="str">
        <f>+'[1]Test order'!B14</f>
        <v>URBAN DELIVERY</v>
      </c>
      <c r="C14" s="33" t="str">
        <f>+'[1]Test order'!C14</f>
        <v>Diesel 380 kW</v>
      </c>
      <c r="D14" s="33" t="str">
        <f>+'[1]Test order'!D14</f>
        <v>Diesel</v>
      </c>
      <c r="E14" s="34">
        <f>+'[1]Test order'!E14</f>
        <v>15.772049279799049</v>
      </c>
      <c r="F14" s="34">
        <f>+'[1]Test order'!F14</f>
        <v>2.4105488657951355</v>
      </c>
      <c r="G14" s="38">
        <f>+'[1]Test order'!G14</f>
        <v>0.15283675716652645</v>
      </c>
      <c r="H14" s="39">
        <f>+'[1]Test order'!H14</f>
        <v>2.2825188636779785</v>
      </c>
      <c r="I14" s="33" t="str">
        <f>+'[1]Test order'!I14</f>
        <v>km/l</v>
      </c>
      <c r="J14" s="33" t="str">
        <f>+'[1]Test order'!J14</f>
        <v>Diesel 2022 TRUCK WITH TRAILER - TYPICAL Diesel 380 kW URBAN DELIVERY 32963.5316262057 kg 43.8 l /100km 15%</v>
      </c>
      <c r="K14" s="33">
        <f>+'[1]Test order'!K14</f>
        <v>0</v>
      </c>
      <c r="L14" s="33" t="str">
        <f t="shared" si="0"/>
        <v>2022</v>
      </c>
      <c r="M14" s="33" t="str">
        <f t="shared" si="1"/>
        <v>TYPICAL</v>
      </c>
      <c r="N14" s="33" t="str">
        <f t="shared" si="2"/>
        <v xml:space="preserve">TRUCK WITH TRAILER </v>
      </c>
      <c r="O14" s="33" t="str">
        <f t="shared" si="3"/>
        <v>Diesel km/l</v>
      </c>
      <c r="P14" s="41">
        <f>+'Diesel L2'!$B$71</f>
        <v>199468.08510638299</v>
      </c>
      <c r="Q14" s="41">
        <f t="shared" si="4"/>
        <v>166168.08510638299</v>
      </c>
      <c r="R14" s="41">
        <f>+'Diesel L2'!$B$73</f>
        <v>33000</v>
      </c>
      <c r="S14" s="41">
        <f>+'Diesel L2'!$B$72</f>
        <v>300</v>
      </c>
      <c r="T14" s="37">
        <f>'[1]Test order'!M14</f>
        <v>32963.531626205746</v>
      </c>
      <c r="U14" s="37">
        <f>+'Diesel L2'!$B$7</f>
        <v>17166.79231345575</v>
      </c>
      <c r="V14" s="33">
        <v>0</v>
      </c>
      <c r="W14" s="34">
        <f t="shared" si="7"/>
        <v>0.91875342765325663</v>
      </c>
      <c r="X14" s="34" t="str">
        <f t="shared" si="5"/>
        <v/>
      </c>
      <c r="Y14" s="42">
        <f t="shared" si="6"/>
        <v>12.684309254265921</v>
      </c>
      <c r="Z14" s="34"/>
    </row>
    <row r="15" spans="1:26" x14ac:dyDescent="0.3">
      <c r="A15" s="33" t="str">
        <f>+'[1]Test order'!A15</f>
        <v>2022 TRUCK WITH TRAILER - TYPICAL</v>
      </c>
      <c r="B15" s="33" t="str">
        <f>+'[1]Test order'!B15</f>
        <v>REGIONAL DELIVERY</v>
      </c>
      <c r="C15" s="33" t="str">
        <f>+'[1]Test order'!C15</f>
        <v>Diesel 380 kW</v>
      </c>
      <c r="D15" s="33" t="str">
        <f>+'[1]Test order'!D15</f>
        <v>Diesel</v>
      </c>
      <c r="E15" s="34">
        <f>+'[1]Test order'!E15</f>
        <v>12.434105802631525</v>
      </c>
      <c r="F15" s="34">
        <f>+'[1]Test order'!F15</f>
        <v>3.235681414604187</v>
      </c>
      <c r="G15" s="38">
        <f>+'[1]Test order'!G15</f>
        <v>0.26022630545088293</v>
      </c>
      <c r="H15" s="39">
        <f>+'[1]Test order'!H15</f>
        <v>2.8952624797821045</v>
      </c>
      <c r="I15" s="33" t="str">
        <f>+'[1]Test order'!I15</f>
        <v>km/l</v>
      </c>
      <c r="J15" s="33" t="str">
        <f>+'[1]Test order'!J15</f>
        <v>Diesel 2022 TRUCK WITH TRAILER - TYPICAL Diesel 380 kW REGIONAL DELIVERY 32963.5316262057 kg 34.5 l /100km 26%</v>
      </c>
      <c r="K15" s="33">
        <f>+'[1]Test order'!K15</f>
        <v>0</v>
      </c>
      <c r="L15" s="33" t="str">
        <f t="shared" si="0"/>
        <v>2022</v>
      </c>
      <c r="M15" s="33" t="str">
        <f t="shared" si="1"/>
        <v>TYPICAL</v>
      </c>
      <c r="N15" s="33" t="str">
        <f t="shared" si="2"/>
        <v xml:space="preserve">TRUCK WITH TRAILER </v>
      </c>
      <c r="O15" s="33" t="str">
        <f t="shared" si="3"/>
        <v>Diesel km/l</v>
      </c>
      <c r="P15" s="41">
        <f>+'Diesel L2'!$B$71</f>
        <v>199468.08510638299</v>
      </c>
      <c r="Q15" s="41">
        <f t="shared" si="4"/>
        <v>166168.08510638299</v>
      </c>
      <c r="R15" s="41">
        <f>+'Diesel L2'!$B$73</f>
        <v>33000</v>
      </c>
      <c r="S15" s="41">
        <f>+'Diesel L2'!$B$72</f>
        <v>300</v>
      </c>
      <c r="T15" s="37">
        <f>'[1]Test order'!M15</f>
        <v>32963.531626205746</v>
      </c>
      <c r="U15" s="37">
        <f>+'Diesel L2'!$B$7</f>
        <v>17166.79231345575</v>
      </c>
      <c r="V15" s="33">
        <v>0</v>
      </c>
      <c r="W15" s="34">
        <f t="shared" si="7"/>
        <v>0.72431154146866272</v>
      </c>
      <c r="X15" s="34" t="str">
        <f t="shared" si="5"/>
        <v/>
      </c>
      <c r="Y15" s="42">
        <f t="shared" si="6"/>
        <v>12.684309254265921</v>
      </c>
      <c r="Z15" s="34"/>
    </row>
    <row r="16" spans="1:26" x14ac:dyDescent="0.3">
      <c r="A16" s="33" t="str">
        <f>+'[1]Test order'!A16</f>
        <v>2022 TRUCK WITH TRAILER - TYPICAL</v>
      </c>
      <c r="B16" s="33" t="str">
        <f>+'[1]Test order'!B16</f>
        <v>LONG HAUL</v>
      </c>
      <c r="C16" s="33" t="str">
        <f>+'[1]Test order'!C16</f>
        <v>Diesel 380 kW</v>
      </c>
      <c r="D16" s="33" t="str">
        <f>+'[1]Test order'!D16</f>
        <v>Diesel</v>
      </c>
      <c r="E16" s="34">
        <f>+'[1]Test order'!E16</f>
        <v>10.944093307680292</v>
      </c>
      <c r="F16" s="34">
        <f>+'[1]Test order'!F16</f>
        <v>3.7675856351852417</v>
      </c>
      <c r="G16" s="38">
        <f>+'[1]Test order'!G16</f>
        <v>0.34425744822015031</v>
      </c>
      <c r="H16" s="39">
        <f>+'[1]Test order'!H16</f>
        <v>3.2894456386566162</v>
      </c>
      <c r="I16" s="33" t="str">
        <f>+'[1]Test order'!I16</f>
        <v>km/l</v>
      </c>
      <c r="J16" s="33" t="str">
        <f>+'[1]Test order'!J16</f>
        <v>Diesel 2022 TRUCK WITH TRAILER - TYPICAL Diesel 380 kW LONG HAUL 32963.5316262057 kg 30.4 l /100km 34%</v>
      </c>
      <c r="K16" s="33">
        <f>+'[1]Test order'!K16</f>
        <v>0</v>
      </c>
      <c r="L16" s="33" t="str">
        <f t="shared" si="0"/>
        <v>2022</v>
      </c>
      <c r="M16" s="33" t="str">
        <f t="shared" si="1"/>
        <v>TYPICAL</v>
      </c>
      <c r="N16" s="33" t="str">
        <f t="shared" si="2"/>
        <v xml:space="preserve">TRUCK WITH TRAILER </v>
      </c>
      <c r="O16" s="33" t="str">
        <f t="shared" si="3"/>
        <v>Diesel km/l</v>
      </c>
      <c r="P16" s="41">
        <f>+'Diesel L2'!$B$71</f>
        <v>199468.08510638299</v>
      </c>
      <c r="Q16" s="41">
        <f t="shared" si="4"/>
        <v>166168.08510638299</v>
      </c>
      <c r="R16" s="41">
        <f>+'Diesel L2'!$B$73</f>
        <v>33000</v>
      </c>
      <c r="S16" s="41">
        <f>+'Diesel L2'!$B$72</f>
        <v>300</v>
      </c>
      <c r="T16" s="37">
        <f>'[1]Test order'!M16</f>
        <v>32963.531626205746</v>
      </c>
      <c r="U16" s="37">
        <f>+'Diesel L2'!$B$7</f>
        <v>17166.79231345575</v>
      </c>
      <c r="V16" s="33">
        <v>0</v>
      </c>
      <c r="W16" s="34">
        <f t="shared" si="7"/>
        <v>0.63751533238402636</v>
      </c>
      <c r="X16" s="34" t="str">
        <f t="shared" si="5"/>
        <v/>
      </c>
      <c r="Y16" s="42">
        <f t="shared" si="6"/>
        <v>12.684309254265921</v>
      </c>
      <c r="Z16" s="34"/>
    </row>
    <row r="17" spans="1:26" x14ac:dyDescent="0.3">
      <c r="A17" s="33" t="str">
        <f>+'[1]Test order'!A17</f>
        <v>2022 TRUCK WITH TRAILER - FULL</v>
      </c>
      <c r="B17" s="33" t="str">
        <f>+'[1]Test order'!B17</f>
        <v>URBAN DELIVERY</v>
      </c>
      <c r="C17" s="33" t="str">
        <f>+'[1]Test order'!C17</f>
        <v>Diesel 380 kW</v>
      </c>
      <c r="D17" s="33" t="str">
        <f>+'[1]Test order'!D17</f>
        <v>Diesel</v>
      </c>
      <c r="E17" s="34">
        <f>+'[1]Test order'!E17</f>
        <v>19.864838794724353</v>
      </c>
      <c r="F17" s="34">
        <f>+'[1]Test order'!F17</f>
        <v>3.5236313939094543</v>
      </c>
      <c r="G17" s="38">
        <f>+'[1]Test order'!G17</f>
        <v>0.17738031656442388</v>
      </c>
      <c r="H17" s="39">
        <f>+'[1]Test order'!H17</f>
        <v>1.8122472763061523</v>
      </c>
      <c r="I17" s="33" t="str">
        <f>+'[1]Test order'!I17</f>
        <v>km/l</v>
      </c>
      <c r="J17" s="33" t="str">
        <f>+'[1]Test order'!J17</f>
        <v>Diesel 2022 TRUCK WITH TRAILER - FULL Diesel 380 kW URBAN DELIVERY 56000 kg 55.2 l /100km 18%</v>
      </c>
      <c r="K17" s="33">
        <f>+'[1]Test order'!K17</f>
        <v>0</v>
      </c>
      <c r="L17" s="33" t="str">
        <f t="shared" si="0"/>
        <v>2022</v>
      </c>
      <c r="M17" s="33" t="str">
        <f t="shared" si="1"/>
        <v>FULL</v>
      </c>
      <c r="N17" s="33" t="str">
        <f t="shared" si="2"/>
        <v xml:space="preserve">TRUCK WITH TRAILER </v>
      </c>
      <c r="O17" s="33" t="str">
        <f t="shared" si="3"/>
        <v>Diesel km/l</v>
      </c>
      <c r="P17" s="41">
        <f>+'Diesel L2'!$B$71</f>
        <v>199468.08510638299</v>
      </c>
      <c r="Q17" s="41">
        <f t="shared" si="4"/>
        <v>166168.08510638299</v>
      </c>
      <c r="R17" s="41">
        <f>+'Diesel L2'!$B$73</f>
        <v>33000</v>
      </c>
      <c r="S17" s="41">
        <f>+'Diesel L2'!$B$72</f>
        <v>300</v>
      </c>
      <c r="T17" s="37">
        <f>'[1]Test order'!M17</f>
        <v>56000</v>
      </c>
      <c r="U17" s="37">
        <f>+'Diesel L2'!$B$4</f>
        <v>40203.260687250004</v>
      </c>
      <c r="V17" s="33">
        <v>0</v>
      </c>
      <c r="W17" s="34">
        <f t="shared" si="7"/>
        <v>0.49411014069871839</v>
      </c>
      <c r="X17" s="34" t="str">
        <f t="shared" si="5"/>
        <v/>
      </c>
      <c r="Y17" s="42">
        <f t="shared" si="6"/>
        <v>17.436732679779674</v>
      </c>
      <c r="Z17" s="34"/>
    </row>
    <row r="18" spans="1:26" x14ac:dyDescent="0.3">
      <c r="A18" s="33" t="str">
        <f>+'[1]Test order'!A18</f>
        <v>2022 TRUCK WITH TRAILER - FULL</v>
      </c>
      <c r="B18" s="33" t="str">
        <f>+'[1]Test order'!B18</f>
        <v>REGIONAL DELIVERY</v>
      </c>
      <c r="C18" s="33" t="str">
        <f>+'[1]Test order'!C18</f>
        <v>Diesel 380 kW</v>
      </c>
      <c r="D18" s="33" t="str">
        <f>+'[1]Test order'!D18</f>
        <v>Diesel</v>
      </c>
      <c r="E18" s="34">
        <f>+'[1]Test order'!E18</f>
        <v>16.395754204430194</v>
      </c>
      <c r="F18" s="34">
        <f>+'[1]Test order'!F18</f>
        <v>4.361417293548584</v>
      </c>
      <c r="G18" s="38">
        <f>+'[1]Test order'!G18</f>
        <v>0.26600894592394614</v>
      </c>
      <c r="H18" s="39">
        <f>+'[1]Test order'!H18</f>
        <v>2.195690393447876</v>
      </c>
      <c r="I18" s="33" t="str">
        <f>+'[1]Test order'!I18</f>
        <v>km/l</v>
      </c>
      <c r="J18" s="33" t="str">
        <f>+'[1]Test order'!J18</f>
        <v>Diesel 2022 TRUCK WITH TRAILER - FULL Diesel 380 kW REGIONAL DELIVERY 56000 kg 45.5 l /100km 27%</v>
      </c>
      <c r="K18" s="33">
        <f>+'[1]Test order'!K18</f>
        <v>0</v>
      </c>
      <c r="L18" s="33" t="str">
        <f t="shared" si="0"/>
        <v>2022</v>
      </c>
      <c r="M18" s="33" t="str">
        <f t="shared" si="1"/>
        <v>FULL</v>
      </c>
      <c r="N18" s="33" t="str">
        <f t="shared" si="2"/>
        <v xml:space="preserve">TRUCK WITH TRAILER </v>
      </c>
      <c r="O18" s="33" t="str">
        <f t="shared" si="3"/>
        <v>Diesel km/l</v>
      </c>
      <c r="P18" s="41">
        <f>+'Diesel L2'!$B$71</f>
        <v>199468.08510638299</v>
      </c>
      <c r="Q18" s="41">
        <f t="shared" si="4"/>
        <v>166168.08510638299</v>
      </c>
      <c r="R18" s="41">
        <f>+'Diesel L2'!$B$73</f>
        <v>33000</v>
      </c>
      <c r="S18" s="41">
        <f>+'Diesel L2'!$B$72</f>
        <v>300</v>
      </c>
      <c r="T18" s="37">
        <f>'[1]Test order'!M18</f>
        <v>56000</v>
      </c>
      <c r="U18" s="37">
        <f>+'Diesel L2'!$B$4</f>
        <v>40203.260687250004</v>
      </c>
      <c r="V18" s="33">
        <v>0</v>
      </c>
      <c r="W18" s="34">
        <f t="shared" si="7"/>
        <v>0.4078215031356876</v>
      </c>
      <c r="X18" s="34" t="str">
        <f t="shared" si="5"/>
        <v/>
      </c>
      <c r="Y18" s="42">
        <f t="shared" si="6"/>
        <v>17.436732679779674</v>
      </c>
      <c r="Z18" s="34"/>
    </row>
    <row r="19" spans="1:26" x14ac:dyDescent="0.3">
      <c r="A19" s="33" t="str">
        <f>+'[1]Test order'!A19</f>
        <v>2022 TRUCK WITH TRAILER - FULL</v>
      </c>
      <c r="B19" s="33" t="str">
        <f>+'[1]Test order'!B19</f>
        <v>LONG HAUL</v>
      </c>
      <c r="C19" s="33" t="str">
        <f>+'[1]Test order'!C19</f>
        <v>Diesel 380 kW</v>
      </c>
      <c r="D19" s="33" t="str">
        <f>+'[1]Test order'!D19</f>
        <v>Diesel</v>
      </c>
      <c r="E19" s="34">
        <f>+'[1]Test order'!E19</f>
        <v>13.547426687798968</v>
      </c>
      <c r="F19" s="34">
        <f>+'[1]Test order'!F19</f>
        <v>4.8971879482269287</v>
      </c>
      <c r="G19" s="38">
        <f>+'[1]Test order'!G19</f>
        <v>0.36148473515176249</v>
      </c>
      <c r="H19" s="39">
        <f>+'[1]Test order'!H19</f>
        <v>2.6573312282562256</v>
      </c>
      <c r="I19" s="33" t="str">
        <f>+'[1]Test order'!I19</f>
        <v>km/l</v>
      </c>
      <c r="J19" s="33" t="str">
        <f>+'[1]Test order'!J19</f>
        <v>Diesel 2022 TRUCK WITH TRAILER - FULL Diesel 380 kW LONG HAUL 56000 kg 37.6 l /100km 36%</v>
      </c>
      <c r="K19" s="33">
        <f>+'[1]Test order'!K19</f>
        <v>0</v>
      </c>
      <c r="L19" s="33" t="str">
        <f t="shared" si="0"/>
        <v>2022</v>
      </c>
      <c r="M19" s="33" t="str">
        <f t="shared" si="1"/>
        <v>FULL</v>
      </c>
      <c r="N19" s="33" t="str">
        <f t="shared" si="2"/>
        <v xml:space="preserve">TRUCK WITH TRAILER </v>
      </c>
      <c r="O19" s="33" t="str">
        <f t="shared" si="3"/>
        <v>Diesel km/l</v>
      </c>
      <c r="P19" s="41">
        <f>+'Diesel L2'!$B$71</f>
        <v>199468.08510638299</v>
      </c>
      <c r="Q19" s="41">
        <f t="shared" si="4"/>
        <v>166168.08510638299</v>
      </c>
      <c r="R19" s="41">
        <f>+'Diesel L2'!$B$73</f>
        <v>33000</v>
      </c>
      <c r="S19" s="41">
        <f>+'Diesel L2'!$B$72</f>
        <v>300</v>
      </c>
      <c r="T19" s="37">
        <f>'[1]Test order'!M19</f>
        <v>56000</v>
      </c>
      <c r="U19" s="37">
        <f>+'Diesel L2'!$B$4</f>
        <v>40203.260687250004</v>
      </c>
      <c r="V19" s="33">
        <v>0</v>
      </c>
      <c r="W19" s="34">
        <f t="shared" si="7"/>
        <v>0.33697333142173158</v>
      </c>
      <c r="X19" s="34" t="str">
        <f t="shared" si="5"/>
        <v/>
      </c>
      <c r="Y19" s="42">
        <f t="shared" si="6"/>
        <v>17.436732679779674</v>
      </c>
      <c r="Z19" s="34"/>
    </row>
    <row r="20" spans="1:26" x14ac:dyDescent="0.3">
      <c r="A20" s="33" t="str">
        <f>+'[1]Test order'!A20</f>
        <v>2022 SEMI TRUCK - EMPTY</v>
      </c>
      <c r="B20" s="33" t="str">
        <f>+'[1]Test order'!B20</f>
        <v>URBAN DELIVERY</v>
      </c>
      <c r="C20" s="33" t="str">
        <f>+'[1]Test order'!C20</f>
        <v>Diesel 380 kW</v>
      </c>
      <c r="D20" s="33" t="str">
        <f>+'[1]Test order'!D20</f>
        <v>Diesel</v>
      </c>
      <c r="E20" s="34">
        <f>+'[1]Test order'!E20</f>
        <v>9.3417169079168509</v>
      </c>
      <c r="F20" s="34">
        <f>+'[1]Test order'!F20</f>
        <v>1.367280900478363</v>
      </c>
      <c r="G20" s="38">
        <f>+'[1]Test order'!G20</f>
        <v>0.14636291315139616</v>
      </c>
      <c r="H20" s="39">
        <f>+'[1]Test order'!H20</f>
        <v>3.8536813259124756</v>
      </c>
      <c r="I20" s="33" t="str">
        <f>+'[1]Test order'!I20</f>
        <v>km/l</v>
      </c>
      <c r="J20" s="33" t="str">
        <f>+'[1]Test order'!J20</f>
        <v>Diesel 2022 SEMI TRUCK - EMPTY Diesel 380 kW URBAN DELIVERY 14000 kg 25.9 l /100km 15%</v>
      </c>
      <c r="K20" s="33">
        <f>+'[1]Test order'!K20</f>
        <v>0</v>
      </c>
      <c r="L20" s="33" t="str">
        <f t="shared" si="0"/>
        <v>2022</v>
      </c>
      <c r="M20" s="33" t="str">
        <f t="shared" si="1"/>
        <v>EMPTY</v>
      </c>
      <c r="N20" s="33" t="str">
        <f t="shared" si="2"/>
        <v xml:space="preserve">SEMI TRUCK </v>
      </c>
      <c r="O20" s="33" t="str">
        <f t="shared" si="3"/>
        <v>Diesel km/l</v>
      </c>
      <c r="P20" s="41">
        <f>+'Diesel L3'!$B$71</f>
        <v>159574.4680851064</v>
      </c>
      <c r="Q20" s="41">
        <f t="shared" si="4"/>
        <v>126274.4680851064</v>
      </c>
      <c r="R20" s="41">
        <f>+'Diesel L3'!$B$73</f>
        <v>33000</v>
      </c>
      <c r="S20" s="41">
        <f>+'Diesel L3'!$B$72</f>
        <v>300</v>
      </c>
      <c r="T20" s="37">
        <f>'[1]Test order'!M20</f>
        <v>14000</v>
      </c>
      <c r="U20" s="33">
        <v>0</v>
      </c>
      <c r="V20" s="33">
        <v>0</v>
      </c>
      <c r="W20" s="34" t="e">
        <f t="shared" si="7"/>
        <v>#N/A</v>
      </c>
      <c r="X20" s="34" t="str">
        <f t="shared" si="5"/>
        <v/>
      </c>
      <c r="Y20" s="42">
        <f t="shared" si="6"/>
        <v>9.1427999999999994</v>
      </c>
      <c r="Z20" s="34"/>
    </row>
    <row r="21" spans="1:26" x14ac:dyDescent="0.3">
      <c r="A21" s="33" t="str">
        <f>+'[1]Test order'!A21</f>
        <v>2022 SEMI TRUCK - EMPTY</v>
      </c>
      <c r="B21" s="33" t="str">
        <f>+'[1]Test order'!B21</f>
        <v>REGIONAL DELIVERY</v>
      </c>
      <c r="C21" s="33" t="str">
        <f>+'[1]Test order'!C21</f>
        <v>Diesel 380 kW</v>
      </c>
      <c r="D21" s="33" t="str">
        <f>+'[1]Test order'!D21</f>
        <v>Diesel</v>
      </c>
      <c r="E21" s="34">
        <f>+'[1]Test order'!E21</f>
        <v>7.8320876957620662</v>
      </c>
      <c r="F21" s="34">
        <f>+'[1]Test order'!F21</f>
        <v>2.0748434066772461</v>
      </c>
      <c r="G21" s="38">
        <f>+'[1]Test order'!G21</f>
        <v>0.26491575264152639</v>
      </c>
      <c r="H21" s="39">
        <f>+'[1]Test order'!H21</f>
        <v>4.5964756011962891</v>
      </c>
      <c r="I21" s="33" t="str">
        <f>+'[1]Test order'!I21</f>
        <v>km/l</v>
      </c>
      <c r="J21" s="33" t="str">
        <f>+'[1]Test order'!J21</f>
        <v>Diesel 2022 SEMI TRUCK - EMPTY Diesel 380 kW REGIONAL DELIVERY 14000 kg 21.8 l /100km 26%</v>
      </c>
      <c r="K21" s="33">
        <f>+'[1]Test order'!K21</f>
        <v>0</v>
      </c>
      <c r="L21" s="33" t="str">
        <f t="shared" si="0"/>
        <v>2022</v>
      </c>
      <c r="M21" s="33" t="str">
        <f t="shared" si="1"/>
        <v>EMPTY</v>
      </c>
      <c r="N21" s="33" t="str">
        <f t="shared" si="2"/>
        <v xml:space="preserve">SEMI TRUCK </v>
      </c>
      <c r="O21" s="33" t="str">
        <f t="shared" si="3"/>
        <v>Diesel km/l</v>
      </c>
      <c r="P21" s="41">
        <f>+'Diesel L3'!$B$71</f>
        <v>159574.4680851064</v>
      </c>
      <c r="Q21" s="41">
        <f t="shared" si="4"/>
        <v>126274.4680851064</v>
      </c>
      <c r="R21" s="41">
        <f>+'Diesel L3'!$B$73</f>
        <v>33000</v>
      </c>
      <c r="S21" s="41">
        <f>+'Diesel L3'!$B$72</f>
        <v>300</v>
      </c>
      <c r="T21" s="37">
        <f>'[1]Test order'!M21</f>
        <v>14000</v>
      </c>
      <c r="U21" s="33">
        <v>0</v>
      </c>
      <c r="V21" s="33">
        <v>0</v>
      </c>
      <c r="W21" s="34" t="e">
        <f t="shared" si="7"/>
        <v>#N/A</v>
      </c>
      <c r="X21" s="34" t="str">
        <f t="shared" si="5"/>
        <v/>
      </c>
      <c r="Y21" s="42">
        <f t="shared" si="6"/>
        <v>9.1427999999999994</v>
      </c>
      <c r="Z21" s="34"/>
    </row>
    <row r="22" spans="1:26" x14ac:dyDescent="0.3">
      <c r="A22" s="33" t="str">
        <f>+'[1]Test order'!A22</f>
        <v>2022 SEMI TRUCK - EMPTY</v>
      </c>
      <c r="B22" s="33" t="str">
        <f>+'[1]Test order'!B22</f>
        <v>LONG HAUL</v>
      </c>
      <c r="C22" s="33" t="str">
        <f>+'[1]Test order'!C22</f>
        <v>Diesel 380 kW</v>
      </c>
      <c r="D22" s="33" t="str">
        <f>+'[1]Test order'!D22</f>
        <v>Diesel</v>
      </c>
      <c r="E22" s="34">
        <f>+'[1]Test order'!E22</f>
        <v>7.5527615071174914</v>
      </c>
      <c r="F22" s="34">
        <f>+'[1]Test order'!F22</f>
        <v>2.5301356315612793</v>
      </c>
      <c r="G22" s="38">
        <f>+'[1]Test order'!G22</f>
        <v>0.33499477365688785</v>
      </c>
      <c r="H22" s="39">
        <f>+'[1]Test order'!H22</f>
        <v>4.7664685249328613</v>
      </c>
      <c r="I22" s="33" t="str">
        <f>+'[1]Test order'!I22</f>
        <v>km/l</v>
      </c>
      <c r="J22" s="33" t="str">
        <f>+'[1]Test order'!J22</f>
        <v>Diesel 2022 SEMI TRUCK - EMPTY Diesel 380 kW LONG HAUL 14000 kg 21.0 l /100km 33%</v>
      </c>
      <c r="K22" s="33">
        <f>+'[1]Test order'!K22</f>
        <v>0</v>
      </c>
      <c r="L22" s="33" t="str">
        <f t="shared" si="0"/>
        <v>2022</v>
      </c>
      <c r="M22" s="33" t="str">
        <f t="shared" si="1"/>
        <v>EMPTY</v>
      </c>
      <c r="N22" s="33" t="str">
        <f t="shared" si="2"/>
        <v xml:space="preserve">SEMI TRUCK </v>
      </c>
      <c r="O22" s="33" t="str">
        <f t="shared" si="3"/>
        <v>Diesel km/l</v>
      </c>
      <c r="P22" s="41">
        <f>+'Diesel L3'!$B$71</f>
        <v>159574.4680851064</v>
      </c>
      <c r="Q22" s="41">
        <f t="shared" si="4"/>
        <v>126274.4680851064</v>
      </c>
      <c r="R22" s="41">
        <f>+'Diesel L3'!$B$73</f>
        <v>33000</v>
      </c>
      <c r="S22" s="41">
        <f>+'Diesel L3'!$B$72</f>
        <v>300</v>
      </c>
      <c r="T22" s="37">
        <f>'[1]Test order'!M22</f>
        <v>14000</v>
      </c>
      <c r="U22" s="33">
        <v>0</v>
      </c>
      <c r="V22" s="33">
        <v>0</v>
      </c>
      <c r="W22" s="34" t="e">
        <f t="shared" si="7"/>
        <v>#N/A</v>
      </c>
      <c r="X22" s="34" t="str">
        <f t="shared" si="5"/>
        <v/>
      </c>
      <c r="Y22" s="42">
        <f t="shared" si="6"/>
        <v>9.1427999999999994</v>
      </c>
      <c r="Z22" s="34"/>
    </row>
    <row r="23" spans="1:26" x14ac:dyDescent="0.3">
      <c r="A23" s="33" t="str">
        <f>+'[1]Test order'!A23</f>
        <v>2022 SEMI TRUCK - TYPICAL</v>
      </c>
      <c r="B23" s="33" t="str">
        <f>+'[1]Test order'!B23</f>
        <v>URBAN DELIVERY</v>
      </c>
      <c r="C23" s="33" t="str">
        <f>+'[1]Test order'!C23</f>
        <v>Diesel 380 kW</v>
      </c>
      <c r="D23" s="33" t="str">
        <f>+'[1]Test order'!D23</f>
        <v>Diesel</v>
      </c>
      <c r="E23" s="34">
        <f>+'[1]Test order'!E23</f>
        <v>15.669417762014669</v>
      </c>
      <c r="F23" s="34">
        <f>+'[1]Test order'!F23</f>
        <v>2.3645432591438293</v>
      </c>
      <c r="G23" s="38">
        <f>+'[1]Test order'!G23</f>
        <v>0.15090179450546554</v>
      </c>
      <c r="H23" s="39">
        <f>+'[1]Test order'!H23</f>
        <v>2.297468900680542</v>
      </c>
      <c r="I23" s="33" t="str">
        <f>+'[1]Test order'!I23</f>
        <v>km/l</v>
      </c>
      <c r="J23" s="33" t="str">
        <f>+'[1]Test order'!J23</f>
        <v>Diesel 2022 SEMI TRUCK - TYPICAL Diesel 380 kW URBAN DELIVERY 34340 kg 43.5 l /100km 15%</v>
      </c>
      <c r="K23" s="33">
        <f>+'[1]Test order'!K23</f>
        <v>0</v>
      </c>
      <c r="L23" s="33" t="str">
        <f t="shared" si="0"/>
        <v>2022</v>
      </c>
      <c r="M23" s="33" t="str">
        <f t="shared" si="1"/>
        <v>TYPICAL</v>
      </c>
      <c r="N23" s="33" t="str">
        <f t="shared" si="2"/>
        <v xml:space="preserve">SEMI TRUCK </v>
      </c>
      <c r="O23" s="33" t="str">
        <f t="shared" si="3"/>
        <v>Diesel km/l</v>
      </c>
      <c r="P23" s="41">
        <f>+'Diesel L3'!$B$71</f>
        <v>159574.4680851064</v>
      </c>
      <c r="Q23" s="41">
        <f t="shared" si="4"/>
        <v>126274.4680851064</v>
      </c>
      <c r="R23" s="41">
        <f>+'Diesel L3'!$B$73</f>
        <v>33000</v>
      </c>
      <c r="S23" s="41">
        <f>+'Diesel L3'!$B$72</f>
        <v>300</v>
      </c>
      <c r="T23" s="37">
        <f>'[1]Test order'!M23</f>
        <v>34340</v>
      </c>
      <c r="U23" s="37">
        <f>+'Diesel L3'!$B$7</f>
        <v>20339.999999999996</v>
      </c>
      <c r="V23" s="33">
        <v>0</v>
      </c>
      <c r="W23" s="34">
        <f t="shared" si="7"/>
        <v>0.77037452123965944</v>
      </c>
      <c r="X23" s="34" t="str">
        <f t="shared" si="5"/>
        <v/>
      </c>
      <c r="Y23" s="42">
        <f t="shared" si="6"/>
        <v>13.338941999999999</v>
      </c>
      <c r="Z23" s="34"/>
    </row>
    <row r="24" spans="1:26" x14ac:dyDescent="0.3">
      <c r="A24" s="33" t="str">
        <f>+'[1]Test order'!A24</f>
        <v>2022 SEMI TRUCK - TYPICAL</v>
      </c>
      <c r="B24" s="33" t="str">
        <f>+'[1]Test order'!B24</f>
        <v>REGIONAL DELIVERY</v>
      </c>
      <c r="C24" s="33" t="str">
        <f>+'[1]Test order'!C24</f>
        <v>Diesel 380 kW</v>
      </c>
      <c r="D24" s="33" t="str">
        <f>+'[1]Test order'!D24</f>
        <v>Diesel</v>
      </c>
      <c r="E24" s="34">
        <f>+'[1]Test order'!E24</f>
        <v>12.234415688643628</v>
      </c>
      <c r="F24" s="34">
        <f>+'[1]Test order'!F24</f>
        <v>3.071841835975647</v>
      </c>
      <c r="G24" s="38">
        <f>+'[1]Test order'!G24</f>
        <v>0.25108202256255097</v>
      </c>
      <c r="H24" s="39">
        <f>+'[1]Test order'!H24</f>
        <v>2.942518949508667</v>
      </c>
      <c r="I24" s="33" t="str">
        <f>+'[1]Test order'!I24</f>
        <v>km/l</v>
      </c>
      <c r="J24" s="33" t="str">
        <f>+'[1]Test order'!J24</f>
        <v>Diesel 2022 SEMI TRUCK - TYPICAL Diesel 380 kW REGIONAL DELIVERY 34340 kg 34.0 l /100km 25%</v>
      </c>
      <c r="K24" s="33">
        <f>+'[1]Test order'!K24</f>
        <v>0</v>
      </c>
      <c r="L24" s="33" t="str">
        <f t="shared" si="0"/>
        <v>2022</v>
      </c>
      <c r="M24" s="33" t="str">
        <f t="shared" si="1"/>
        <v>TYPICAL</v>
      </c>
      <c r="N24" s="33" t="str">
        <f t="shared" si="2"/>
        <v xml:space="preserve">SEMI TRUCK </v>
      </c>
      <c r="O24" s="33" t="str">
        <f t="shared" si="3"/>
        <v>Diesel km/l</v>
      </c>
      <c r="P24" s="41">
        <f>+'Diesel L3'!$B$71</f>
        <v>159574.4680851064</v>
      </c>
      <c r="Q24" s="41">
        <f t="shared" si="4"/>
        <v>126274.4680851064</v>
      </c>
      <c r="R24" s="41">
        <f>+'Diesel L3'!$B$73</f>
        <v>33000</v>
      </c>
      <c r="S24" s="41">
        <f>+'Diesel L3'!$B$72</f>
        <v>300</v>
      </c>
      <c r="T24" s="37">
        <f>'[1]Test order'!M24</f>
        <v>34340</v>
      </c>
      <c r="U24" s="37">
        <f>+'Diesel L3'!$B$7</f>
        <v>20339.999999999996</v>
      </c>
      <c r="V24" s="33">
        <v>0</v>
      </c>
      <c r="W24" s="34">
        <f t="shared" si="7"/>
        <v>0.60149536325681563</v>
      </c>
      <c r="X24" s="34" t="str">
        <f t="shared" si="5"/>
        <v/>
      </c>
      <c r="Y24" s="42">
        <f t="shared" si="6"/>
        <v>13.338941999999999</v>
      </c>
      <c r="Z24" s="34"/>
    </row>
    <row r="25" spans="1:26" x14ac:dyDescent="0.3">
      <c r="A25" s="33" t="str">
        <f>+'[1]Test order'!A25</f>
        <v>2022 SEMI TRUCK - TYPICAL</v>
      </c>
      <c r="B25" s="33" t="str">
        <f>+'[1]Test order'!B25</f>
        <v>LONG HAUL</v>
      </c>
      <c r="C25" s="33" t="str">
        <f>+'[1]Test order'!C25</f>
        <v>Diesel 380 kW</v>
      </c>
      <c r="D25" s="33" t="str">
        <f>+'[1]Test order'!D25</f>
        <v>Diesel</v>
      </c>
      <c r="E25" s="34">
        <f>+'[1]Test order'!E25</f>
        <v>10.460562393905736</v>
      </c>
      <c r="F25" s="34">
        <f>+'[1]Test order'!F25</f>
        <v>3.5278383493423462</v>
      </c>
      <c r="G25" s="38">
        <f>+'[1]Test order'!G25</f>
        <v>0.33725130796004282</v>
      </c>
      <c r="H25" s="39">
        <f>+'[1]Test order'!H25</f>
        <v>3.4414975643157959</v>
      </c>
      <c r="I25" s="33" t="str">
        <f>+'[1]Test order'!I25</f>
        <v>km/l</v>
      </c>
      <c r="J25" s="33" t="str">
        <f>+'[1]Test order'!J25</f>
        <v>Diesel 2022 SEMI TRUCK - TYPICAL Diesel 380 kW LONG HAUL 34340 kg 29.1 l /100km 34%</v>
      </c>
      <c r="K25" s="33">
        <f>+'[1]Test order'!K25</f>
        <v>0</v>
      </c>
      <c r="L25" s="33" t="str">
        <f t="shared" si="0"/>
        <v>2022</v>
      </c>
      <c r="M25" s="33" t="str">
        <f t="shared" si="1"/>
        <v>TYPICAL</v>
      </c>
      <c r="N25" s="33" t="str">
        <f t="shared" si="2"/>
        <v xml:space="preserve">SEMI TRUCK </v>
      </c>
      <c r="O25" s="33" t="str">
        <f t="shared" si="3"/>
        <v>Diesel km/l</v>
      </c>
      <c r="P25" s="41">
        <f>+'Diesel L3'!$B$71</f>
        <v>159574.4680851064</v>
      </c>
      <c r="Q25" s="41">
        <f t="shared" si="4"/>
        <v>126274.4680851064</v>
      </c>
      <c r="R25" s="41">
        <f>+'Diesel L3'!$B$73</f>
        <v>33000</v>
      </c>
      <c r="S25" s="41">
        <f>+'Diesel L3'!$B$72</f>
        <v>300</v>
      </c>
      <c r="T25" s="37">
        <f>'[1]Test order'!M25</f>
        <v>34340</v>
      </c>
      <c r="U25" s="37">
        <f>+'Diesel L3'!$B$7</f>
        <v>20339.999999999996</v>
      </c>
      <c r="V25" s="33">
        <v>0</v>
      </c>
      <c r="W25" s="34">
        <f t="shared" si="7"/>
        <v>0.51428527010352698</v>
      </c>
      <c r="X25" s="34" t="str">
        <f t="shared" si="5"/>
        <v/>
      </c>
      <c r="Y25" s="42">
        <f t="shared" si="6"/>
        <v>13.338941999999999</v>
      </c>
      <c r="Z25" s="34"/>
    </row>
    <row r="26" spans="1:26" x14ac:dyDescent="0.3">
      <c r="A26" s="33" t="str">
        <f>+'[1]Test order'!A26</f>
        <v>2022 SEMI TRUCK - FULL</v>
      </c>
      <c r="B26" s="33" t="str">
        <f>+'[1]Test order'!B26</f>
        <v>URBAN DELIVERY</v>
      </c>
      <c r="C26" s="33" t="str">
        <f>+'[1]Test order'!C26</f>
        <v>Diesel 380 kW</v>
      </c>
      <c r="D26" s="33" t="str">
        <f>+'[1]Test order'!D26</f>
        <v>Diesel</v>
      </c>
      <c r="E26" s="34">
        <f>+'[1]Test order'!E26</f>
        <v>18.469426968064372</v>
      </c>
      <c r="F26" s="34">
        <f>+'[1]Test order'!F26</f>
        <v>3.1235120296478271</v>
      </c>
      <c r="G26" s="38">
        <f>+'[1]Test order'!G26</f>
        <v>0.16911797182710192</v>
      </c>
      <c r="H26" s="39">
        <f>+'[1]Test order'!H26</f>
        <v>1.9491671323776245</v>
      </c>
      <c r="I26" s="33" t="str">
        <f>+'[1]Test order'!I26</f>
        <v>km/l</v>
      </c>
      <c r="J26" s="33" t="str">
        <f>+'[1]Test order'!J26</f>
        <v>Diesel 2022 SEMI TRUCK - FULL Diesel 380 kW URBAN DELIVERY 50000 kg 51.3 l /100km 17%</v>
      </c>
      <c r="K26" s="33">
        <f>+'[1]Test order'!K26</f>
        <v>0</v>
      </c>
      <c r="L26" s="33" t="str">
        <f t="shared" si="0"/>
        <v>2022</v>
      </c>
      <c r="M26" s="33" t="str">
        <f t="shared" si="1"/>
        <v>FULL</v>
      </c>
      <c r="N26" s="33" t="str">
        <f t="shared" si="2"/>
        <v xml:space="preserve">SEMI TRUCK </v>
      </c>
      <c r="O26" s="33" t="str">
        <f t="shared" si="3"/>
        <v>Diesel km/l</v>
      </c>
      <c r="P26" s="41">
        <f>+'Diesel L3'!$B$71</f>
        <v>159574.4680851064</v>
      </c>
      <c r="Q26" s="41">
        <f t="shared" si="4"/>
        <v>126274.4680851064</v>
      </c>
      <c r="R26" s="41">
        <f>+'Diesel L3'!$B$73</f>
        <v>33000</v>
      </c>
      <c r="S26" s="41">
        <f>+'Diesel L3'!$B$72</f>
        <v>300</v>
      </c>
      <c r="T26" s="37">
        <f>'[1]Test order'!M26</f>
        <v>50000</v>
      </c>
      <c r="U26" s="37">
        <f>+'Diesel L3'!$B$4</f>
        <v>36000</v>
      </c>
      <c r="V26" s="33">
        <v>0</v>
      </c>
      <c r="W26" s="34">
        <f t="shared" si="7"/>
        <v>0.51303963800178809</v>
      </c>
      <c r="X26" s="34" t="str">
        <f t="shared" si="5"/>
        <v/>
      </c>
      <c r="Y26" s="42">
        <f t="shared" si="6"/>
        <v>16.569600000000001</v>
      </c>
      <c r="Z26" s="34"/>
    </row>
    <row r="27" spans="1:26" x14ac:dyDescent="0.3">
      <c r="A27" s="33" t="str">
        <f>+'[1]Test order'!A27</f>
        <v>2022 SEMI TRUCK - FULL</v>
      </c>
      <c r="B27" s="33" t="str">
        <f>+'[1]Test order'!B27</f>
        <v>REGIONAL DELIVERY</v>
      </c>
      <c r="C27" s="33" t="str">
        <f>+'[1]Test order'!C27</f>
        <v>Diesel 380 kW</v>
      </c>
      <c r="D27" s="33" t="str">
        <f>+'[1]Test order'!D27</f>
        <v>Diesel</v>
      </c>
      <c r="E27" s="34">
        <f>+'[1]Test order'!E27</f>
        <v>15.345140950855388</v>
      </c>
      <c r="F27" s="34">
        <f>+'[1]Test order'!F27</f>
        <v>3.8378890752792358</v>
      </c>
      <c r="G27" s="38">
        <f>+'[1]Test order'!G27</f>
        <v>0.25010451761704405</v>
      </c>
      <c r="H27" s="39">
        <f>+'[1]Test order'!H27</f>
        <v>2.3460195064544678</v>
      </c>
      <c r="I27" s="33" t="str">
        <f>+'[1]Test order'!I27</f>
        <v>km/l</v>
      </c>
      <c r="J27" s="33" t="str">
        <f>+'[1]Test order'!J27</f>
        <v>Diesel 2022 SEMI TRUCK - FULL Diesel 380 kW REGIONAL DELIVERY 50000 kg 42.6 l /100km 25%</v>
      </c>
      <c r="K27" s="33">
        <f>+'[1]Test order'!K27</f>
        <v>0</v>
      </c>
      <c r="L27" s="33" t="str">
        <f t="shared" si="0"/>
        <v>2022</v>
      </c>
      <c r="M27" s="33" t="str">
        <f t="shared" si="1"/>
        <v>FULL</v>
      </c>
      <c r="N27" s="33" t="str">
        <f t="shared" si="2"/>
        <v xml:space="preserve">SEMI TRUCK </v>
      </c>
      <c r="O27" s="33" t="str">
        <f t="shared" si="3"/>
        <v>Diesel km/l</v>
      </c>
      <c r="P27" s="41">
        <f>+'Diesel L3'!$B$71</f>
        <v>159574.4680851064</v>
      </c>
      <c r="Q27" s="41">
        <f t="shared" si="4"/>
        <v>126274.4680851064</v>
      </c>
      <c r="R27" s="41">
        <f>+'Diesel L3'!$B$73</f>
        <v>33000</v>
      </c>
      <c r="S27" s="41">
        <f>+'Diesel L3'!$B$72</f>
        <v>300</v>
      </c>
      <c r="T27" s="37">
        <f>'[1]Test order'!M27</f>
        <v>50000</v>
      </c>
      <c r="U27" s="37">
        <f>+'Diesel L3'!$B$4</f>
        <v>36000</v>
      </c>
      <c r="V27" s="33">
        <v>0</v>
      </c>
      <c r="W27" s="34">
        <f t="shared" si="7"/>
        <v>0.42625391530153856</v>
      </c>
      <c r="X27" s="34" t="str">
        <f t="shared" si="5"/>
        <v/>
      </c>
      <c r="Y27" s="42">
        <f t="shared" si="6"/>
        <v>16.569600000000001</v>
      </c>
      <c r="Z27" s="34"/>
    </row>
    <row r="28" spans="1:26" x14ac:dyDescent="0.3">
      <c r="A28" s="33" t="str">
        <f>+'[1]Test order'!A28</f>
        <v>2022 SEMI TRUCK - FULL</v>
      </c>
      <c r="B28" s="33" t="str">
        <f>+'[1]Test order'!B28</f>
        <v>LONG HAUL</v>
      </c>
      <c r="C28" s="33" t="str">
        <f>+'[1]Test order'!C28</f>
        <v>Diesel 380 kW</v>
      </c>
      <c r="D28" s="33" t="str">
        <f>+'[1]Test order'!D28</f>
        <v>Diesel</v>
      </c>
      <c r="E28" s="34">
        <f>+'[1]Test order'!E28</f>
        <v>12.684605539661932</v>
      </c>
      <c r="F28" s="34">
        <f>+'[1]Test order'!F28</f>
        <v>4.2958687543869019</v>
      </c>
      <c r="G28" s="38">
        <f>+'[1]Test order'!G28</f>
        <v>0.33866790267578117</v>
      </c>
      <c r="H28" s="39">
        <f>+'[1]Test order'!H28</f>
        <v>2.8380858898162842</v>
      </c>
      <c r="I28" s="33" t="str">
        <f>+'[1]Test order'!I28</f>
        <v>km/l</v>
      </c>
      <c r="J28" s="33" t="str">
        <f>+'[1]Test order'!J28</f>
        <v>Diesel 2022 SEMI TRUCK - FULL Diesel 380 kW LONG HAUL 50000 kg 35.2 l /100km 34%</v>
      </c>
      <c r="K28" s="33">
        <f>+'[1]Test order'!K28</f>
        <v>0</v>
      </c>
      <c r="L28" s="33" t="str">
        <f t="shared" si="0"/>
        <v>2022</v>
      </c>
      <c r="M28" s="33" t="str">
        <f t="shared" si="1"/>
        <v>FULL</v>
      </c>
      <c r="N28" s="33" t="str">
        <f t="shared" si="2"/>
        <v xml:space="preserve">SEMI TRUCK </v>
      </c>
      <c r="O28" s="33" t="str">
        <f t="shared" si="3"/>
        <v>Diesel km/l</v>
      </c>
      <c r="P28" s="41">
        <f>+'Diesel L3'!$B$71</f>
        <v>159574.4680851064</v>
      </c>
      <c r="Q28" s="41">
        <f t="shared" si="4"/>
        <v>126274.4680851064</v>
      </c>
      <c r="R28" s="41">
        <f>+'Diesel L3'!$B$73</f>
        <v>33000</v>
      </c>
      <c r="S28" s="41">
        <f>+'Diesel L3'!$B$72</f>
        <v>300</v>
      </c>
      <c r="T28" s="37">
        <f>'[1]Test order'!M28</f>
        <v>50000</v>
      </c>
      <c r="U28" s="37">
        <f>+'Diesel L3'!$B$4</f>
        <v>36000</v>
      </c>
      <c r="V28" s="33">
        <v>0</v>
      </c>
      <c r="W28" s="34">
        <f t="shared" si="7"/>
        <v>0.35235015387949814</v>
      </c>
      <c r="X28" s="34" t="str">
        <f t="shared" si="5"/>
        <v/>
      </c>
      <c r="Y28" s="42">
        <f t="shared" si="6"/>
        <v>16.569600000000001</v>
      </c>
      <c r="Z28" s="34"/>
    </row>
    <row r="29" spans="1:26" x14ac:dyDescent="0.3">
      <c r="A29" s="33" t="str">
        <f>+'[1]Test order'!A29</f>
        <v>2022 CITY BUS - EMPTY</v>
      </c>
      <c r="B29" s="33" t="str">
        <f>+'[1]Test order'!B29</f>
        <v>CITY ROUTE</v>
      </c>
      <c r="C29" s="33" t="str">
        <f>+'[1]Test order'!C29</f>
        <v>Diesel 380 kW</v>
      </c>
      <c r="D29" s="33" t="str">
        <f>+'[1]Test order'!D29</f>
        <v>Diesel</v>
      </c>
      <c r="E29" s="34">
        <f>+'[1]Test order'!E29</f>
        <v>10.70455895492216</v>
      </c>
      <c r="F29" s="34">
        <f>+'[1]Test order'!F29</f>
        <v>1.1445028185844421</v>
      </c>
      <c r="G29" s="38">
        <f>+'[1]Test order'!G29</f>
        <v>0.10691732591730722</v>
      </c>
      <c r="H29" s="39">
        <f>+'[1]Test order'!H29</f>
        <v>3.3630530834197998</v>
      </c>
      <c r="I29" s="33" t="str">
        <f>+'[1]Test order'!I29</f>
        <v>km/l</v>
      </c>
      <c r="J29" s="33" t="str">
        <f>+'[1]Test order'!J29</f>
        <v>Diesel 2022 CITY BUS - EMPTY Diesel 380 kW CITY ROUTE 11125 kg 29.7 l /100km 11%</v>
      </c>
      <c r="K29" s="33">
        <f>+'[1]Test order'!K29</f>
        <v>0</v>
      </c>
      <c r="L29" s="33" t="str">
        <f t="shared" si="0"/>
        <v>2022</v>
      </c>
      <c r="M29" s="33" t="str">
        <f t="shared" si="1"/>
        <v>EMPTY</v>
      </c>
      <c r="N29" s="33" t="str">
        <f t="shared" si="2"/>
        <v xml:space="preserve">CITY BUS </v>
      </c>
      <c r="O29" s="33" t="str">
        <f t="shared" si="3"/>
        <v>Diesel km/l</v>
      </c>
      <c r="P29" s="41">
        <f>+'Diesel B1'!$B$71</f>
        <v>169400</v>
      </c>
      <c r="Q29" s="41">
        <f t="shared" si="4"/>
        <v>150100</v>
      </c>
      <c r="R29" s="41">
        <f>+'Diesel B1'!$B$73</f>
        <v>19000</v>
      </c>
      <c r="S29" s="41">
        <f>+'Diesel B1'!$B$72</f>
        <v>300</v>
      </c>
      <c r="T29" s="37">
        <f>'[1]Test order'!M29</f>
        <v>11125</v>
      </c>
      <c r="U29" s="33">
        <v>0</v>
      </c>
      <c r="V29" s="33">
        <v>0</v>
      </c>
      <c r="W29" s="34" t="e">
        <f t="shared" si="7"/>
        <v>#N/A</v>
      </c>
      <c r="X29" s="34" t="str">
        <f t="shared" si="5"/>
        <v/>
      </c>
      <c r="Y29" s="42">
        <f t="shared" si="6"/>
        <v>9.1427999999999994</v>
      </c>
      <c r="Z29" s="34"/>
    </row>
    <row r="30" spans="1:26" x14ac:dyDescent="0.3">
      <c r="A30" s="33" t="str">
        <f>+'[1]Test order'!A30</f>
        <v>2022 CITY BUS - EMPTY</v>
      </c>
      <c r="B30" s="33" t="str">
        <f>+'[1]Test order'!B30</f>
        <v>RURAL ROUTE</v>
      </c>
      <c r="C30" s="33" t="str">
        <f>+'[1]Test order'!C30</f>
        <v>Diesel 380 kW</v>
      </c>
      <c r="D30" s="33" t="str">
        <f>+'[1]Test order'!D30</f>
        <v>Diesel</v>
      </c>
      <c r="E30" s="34">
        <f>+'[1]Test order'!E30</f>
        <v>7.524467247388948</v>
      </c>
      <c r="F30" s="34">
        <f>+'[1]Test order'!F30</f>
        <v>2.0494906306266785</v>
      </c>
      <c r="G30" s="38">
        <f>+'[1]Test order'!G30</f>
        <v>0.27237684253830308</v>
      </c>
      <c r="H30" s="39">
        <f>+'[1]Test order'!H30</f>
        <v>4.7843918800354004</v>
      </c>
      <c r="I30" s="33" t="str">
        <f>+'[1]Test order'!I30</f>
        <v>km/l</v>
      </c>
      <c r="J30" s="33" t="str">
        <f>+'[1]Test order'!J30</f>
        <v>Diesel 2022 CITY BUS - EMPTY Diesel 380 kW RURAL ROUTE 11125 kg 20.9 l /100km 27%</v>
      </c>
      <c r="K30" s="33">
        <f>+'[1]Test order'!K30</f>
        <v>0</v>
      </c>
      <c r="L30" s="33" t="str">
        <f t="shared" si="0"/>
        <v>2022</v>
      </c>
      <c r="M30" s="33" t="str">
        <f t="shared" si="1"/>
        <v>EMPTY</v>
      </c>
      <c r="N30" s="33" t="str">
        <f t="shared" si="2"/>
        <v xml:space="preserve">CITY BUS </v>
      </c>
      <c r="O30" s="33" t="str">
        <f t="shared" si="3"/>
        <v>Diesel km/l</v>
      </c>
      <c r="P30" s="41">
        <f>+'Diesel B1'!$B$71</f>
        <v>169400</v>
      </c>
      <c r="Q30" s="41">
        <f t="shared" si="4"/>
        <v>150100</v>
      </c>
      <c r="R30" s="41">
        <f>+'Diesel B1'!$B$73</f>
        <v>19000</v>
      </c>
      <c r="S30" s="41">
        <f>+'Diesel B1'!$B$72</f>
        <v>300</v>
      </c>
      <c r="T30" s="37">
        <f>'[1]Test order'!M30</f>
        <v>11125</v>
      </c>
      <c r="U30" s="33">
        <v>0</v>
      </c>
      <c r="V30" s="33">
        <v>0</v>
      </c>
      <c r="W30" s="34" t="e">
        <f t="shared" si="7"/>
        <v>#N/A</v>
      </c>
      <c r="X30" s="34" t="str">
        <f t="shared" si="5"/>
        <v/>
      </c>
      <c r="Y30" s="42">
        <f t="shared" si="6"/>
        <v>9.1427999999999994</v>
      </c>
      <c r="Z30" s="34"/>
    </row>
    <row r="31" spans="1:26" x14ac:dyDescent="0.3">
      <c r="A31" s="33" t="str">
        <f>+'[1]Test order'!A31</f>
        <v>2022 CITY BUS - EMPTY</v>
      </c>
      <c r="B31" s="33" t="str">
        <f>+'[1]Test order'!B31</f>
        <v>MOTORWAY</v>
      </c>
      <c r="C31" s="33" t="str">
        <f>+'[1]Test order'!C31</f>
        <v>Diesel 380 kW</v>
      </c>
      <c r="D31" s="33" t="str">
        <f>+'[1]Test order'!D31</f>
        <v>Diesel</v>
      </c>
      <c r="E31" s="34">
        <f>+'[1]Test order'!E31</f>
        <v>7.5902594507926615</v>
      </c>
      <c r="F31" s="34">
        <f>+'[1]Test order'!F31</f>
        <v>2.5427176952362061</v>
      </c>
      <c r="G31" s="38">
        <f>+'[1]Test order'!G31</f>
        <v>0.3349974677045679</v>
      </c>
      <c r="H31" s="39">
        <f>+'[1]Test order'!H31</f>
        <v>4.7429208755493164</v>
      </c>
      <c r="I31" s="33" t="str">
        <f>+'[1]Test order'!I31</f>
        <v>km/l</v>
      </c>
      <c r="J31" s="33" t="str">
        <f>+'[1]Test order'!J31</f>
        <v>Diesel 2022 CITY BUS - EMPTY Diesel 380 kW MOTORWAY 11125 kg 21.1 l /100km 33%</v>
      </c>
      <c r="K31" s="33">
        <f>+'[1]Test order'!K31</f>
        <v>0</v>
      </c>
      <c r="L31" s="33" t="str">
        <f t="shared" si="0"/>
        <v>2022</v>
      </c>
      <c r="M31" s="33" t="str">
        <f t="shared" si="1"/>
        <v>EMPTY</v>
      </c>
      <c r="N31" s="33" t="str">
        <f t="shared" si="2"/>
        <v xml:space="preserve">CITY BUS </v>
      </c>
      <c r="O31" s="33" t="str">
        <f t="shared" si="3"/>
        <v>Diesel km/l</v>
      </c>
      <c r="P31" s="41">
        <f>+'Diesel B1'!$B$71</f>
        <v>169400</v>
      </c>
      <c r="Q31" s="41">
        <f t="shared" si="4"/>
        <v>150100</v>
      </c>
      <c r="R31" s="41">
        <f>+'Diesel B1'!$B$73</f>
        <v>19000</v>
      </c>
      <c r="S31" s="41">
        <f>+'Diesel B1'!$B$72</f>
        <v>300</v>
      </c>
      <c r="T31" s="37">
        <f>'[1]Test order'!M31</f>
        <v>11125</v>
      </c>
      <c r="U31" s="33">
        <v>0</v>
      </c>
      <c r="V31" s="33">
        <v>0</v>
      </c>
      <c r="W31" s="34" t="e">
        <f t="shared" si="7"/>
        <v>#N/A</v>
      </c>
      <c r="X31" s="34" t="str">
        <f t="shared" si="5"/>
        <v/>
      </c>
      <c r="Y31" s="42">
        <f t="shared" si="6"/>
        <v>9.1427999999999994</v>
      </c>
      <c r="Z31" s="34"/>
    </row>
    <row r="32" spans="1:26" x14ac:dyDescent="0.3">
      <c r="A32" s="33" t="str">
        <f>+'[1]Test order'!A32</f>
        <v>2022 CITY BUS - TYPICAL</v>
      </c>
      <c r="B32" s="33" t="str">
        <f>+'[1]Test order'!B32</f>
        <v>CITY ROUTE</v>
      </c>
      <c r="C32" s="33" t="str">
        <f>+'[1]Test order'!C32</f>
        <v>Diesel 380 kW</v>
      </c>
      <c r="D32" s="33" t="str">
        <f>+'[1]Test order'!D32</f>
        <v>Diesel</v>
      </c>
      <c r="E32" s="34">
        <f>+'[1]Test order'!E32</f>
        <v>11.015199441605525</v>
      </c>
      <c r="F32" s="34">
        <f>+'[1]Test order'!F32</f>
        <v>1.1726443767547607</v>
      </c>
      <c r="G32" s="38">
        <f>+'[1]Test order'!G32</f>
        <v>0.10645693552543081</v>
      </c>
      <c r="H32" s="39">
        <f>+'[1]Test order'!H32</f>
        <v>3.2682113647460938</v>
      </c>
      <c r="I32" s="33" t="str">
        <f>+'[1]Test order'!I32</f>
        <v>km/l</v>
      </c>
      <c r="J32" s="33" t="str">
        <f>+'[1]Test order'!J32</f>
        <v>Diesel 2022 CITY BUS - TYPICAL Diesel 380 kW CITY ROUTE 11699 kg 30.6 l /100km 11%</v>
      </c>
      <c r="K32" s="33">
        <f>+'[1]Test order'!K32</f>
        <v>0</v>
      </c>
      <c r="L32" s="33" t="str">
        <f t="shared" si="0"/>
        <v>2022</v>
      </c>
      <c r="M32" s="33" t="str">
        <f t="shared" si="1"/>
        <v>TYPICAL</v>
      </c>
      <c r="N32" s="33" t="str">
        <f t="shared" si="2"/>
        <v xml:space="preserve">CITY BUS </v>
      </c>
      <c r="O32" s="33" t="str">
        <f t="shared" si="3"/>
        <v>Diesel km/l</v>
      </c>
      <c r="P32" s="41">
        <f>+'Diesel B1'!$B$71</f>
        <v>169400</v>
      </c>
      <c r="Q32" s="41">
        <f t="shared" si="4"/>
        <v>150100</v>
      </c>
      <c r="R32" s="41">
        <f>+'Diesel B1'!$B$73</f>
        <v>19000</v>
      </c>
      <c r="S32" s="41">
        <f>+'Diesel B1'!$B$72</f>
        <v>300</v>
      </c>
      <c r="T32" s="37">
        <f>'[1]Test order'!M32</f>
        <v>11699</v>
      </c>
      <c r="U32" s="37">
        <f>+T32-T29</f>
        <v>574</v>
      </c>
      <c r="V32" s="37">
        <f>+'FCV B1'!$B$7</f>
        <v>8.1999999999999993</v>
      </c>
      <c r="W32" s="34">
        <f t="shared" si="7"/>
        <v>19.190242929626347</v>
      </c>
      <c r="X32" s="34">
        <f t="shared" si="5"/>
        <v>1.3433170050738446</v>
      </c>
      <c r="Y32" s="42">
        <f t="shared" si="6"/>
        <v>9.2612161999999998</v>
      </c>
      <c r="Z32" s="34"/>
    </row>
    <row r="33" spans="1:26" x14ac:dyDescent="0.3">
      <c r="A33" s="33" t="str">
        <f>+'[1]Test order'!A33</f>
        <v>2022 CITY BUS - TYPICAL</v>
      </c>
      <c r="B33" s="33" t="str">
        <f>+'[1]Test order'!B33</f>
        <v>RURAL ROUTE</v>
      </c>
      <c r="C33" s="33" t="str">
        <f>+'[1]Test order'!C33</f>
        <v>Diesel 380 kW</v>
      </c>
      <c r="D33" s="33" t="str">
        <f>+'[1]Test order'!D33</f>
        <v>Diesel</v>
      </c>
      <c r="E33" s="34">
        <f>+'[1]Test order'!E33</f>
        <v>7.6304568310389485</v>
      </c>
      <c r="F33" s="34">
        <f>+'[1]Test order'!F33</f>
        <v>2.0776464343070984</v>
      </c>
      <c r="G33" s="38">
        <f>+'[1]Test order'!G33</f>
        <v>0.27228336131274727</v>
      </c>
      <c r="H33" s="39">
        <f>+'[1]Test order'!H33</f>
        <v>4.7179350852966309</v>
      </c>
      <c r="I33" s="33" t="str">
        <f>+'[1]Test order'!I33</f>
        <v>km/l</v>
      </c>
      <c r="J33" s="33" t="str">
        <f>+'[1]Test order'!J33</f>
        <v>Diesel 2022 CITY BUS - TYPICAL Diesel 380 kW RURAL ROUTE 11699 kg 21.2 l /100km 27%</v>
      </c>
      <c r="K33" s="33">
        <f>+'[1]Test order'!K33</f>
        <v>0</v>
      </c>
      <c r="L33" s="33" t="str">
        <f t="shared" si="0"/>
        <v>2022</v>
      </c>
      <c r="M33" s="33" t="str">
        <f t="shared" si="1"/>
        <v>TYPICAL</v>
      </c>
      <c r="N33" s="33" t="str">
        <f t="shared" si="2"/>
        <v xml:space="preserve">CITY BUS </v>
      </c>
      <c r="O33" s="33" t="str">
        <f t="shared" si="3"/>
        <v>Diesel km/l</v>
      </c>
      <c r="P33" s="41">
        <f>+'Diesel B1'!$B$71</f>
        <v>169400</v>
      </c>
      <c r="Q33" s="41">
        <f t="shared" si="4"/>
        <v>150100</v>
      </c>
      <c r="R33" s="41">
        <f>+'Diesel B1'!$B$73</f>
        <v>19000</v>
      </c>
      <c r="S33" s="41">
        <f>+'Diesel B1'!$B$72</f>
        <v>300</v>
      </c>
      <c r="T33" s="37">
        <f>'[1]Test order'!M33</f>
        <v>11699</v>
      </c>
      <c r="U33" s="37">
        <f t="shared" ref="U33:U34" si="8">+T33-T30</f>
        <v>574</v>
      </c>
      <c r="V33" s="37">
        <f>+'FCV B1'!$B$7</f>
        <v>8.1999999999999993</v>
      </c>
      <c r="W33" s="34">
        <f t="shared" si="7"/>
        <v>13.293478799719422</v>
      </c>
      <c r="X33" s="34">
        <f t="shared" si="5"/>
        <v>0.93054351598035967</v>
      </c>
      <c r="Y33" s="42">
        <f t="shared" si="6"/>
        <v>9.2612161999999998</v>
      </c>
      <c r="Z33" s="34"/>
    </row>
    <row r="34" spans="1:26" x14ac:dyDescent="0.3">
      <c r="A34" s="33" t="str">
        <f>+'[1]Test order'!A34</f>
        <v>2022 CITY BUS - TYPICAL</v>
      </c>
      <c r="B34" s="33" t="str">
        <f>+'[1]Test order'!B34</f>
        <v>MOTORWAY</v>
      </c>
      <c r="C34" s="33" t="str">
        <f>+'[1]Test order'!C34</f>
        <v>Diesel 380 kW</v>
      </c>
      <c r="D34" s="33" t="str">
        <f>+'[1]Test order'!D34</f>
        <v>Diesel</v>
      </c>
      <c r="E34" s="34">
        <f>+'[1]Test order'!E34</f>
        <v>7.6590502723416147</v>
      </c>
      <c r="F34" s="34">
        <f>+'[1]Test order'!F34</f>
        <v>2.5708743333816528</v>
      </c>
      <c r="G34" s="38">
        <f>+'[1]Test order'!G34</f>
        <v>0.33566489864488835</v>
      </c>
      <c r="H34" s="39">
        <f>+'[1]Test order'!H34</f>
        <v>4.7003216743469238</v>
      </c>
      <c r="I34" s="33" t="str">
        <f>+'[1]Test order'!I34</f>
        <v>km/l</v>
      </c>
      <c r="J34" s="33" t="str">
        <f>+'[1]Test order'!J34</f>
        <v>Diesel 2022 CITY BUS - TYPICAL Diesel 380 kW MOTORWAY 11699 kg 21.3 l /100km 34%</v>
      </c>
      <c r="K34" s="33">
        <f>+'[1]Test order'!K34</f>
        <v>0</v>
      </c>
      <c r="L34" s="33" t="str">
        <f t="shared" si="0"/>
        <v>2022</v>
      </c>
      <c r="M34" s="33" t="str">
        <f t="shared" si="1"/>
        <v>TYPICAL</v>
      </c>
      <c r="N34" s="33" t="str">
        <f t="shared" si="2"/>
        <v xml:space="preserve">CITY BUS </v>
      </c>
      <c r="O34" s="33" t="str">
        <f t="shared" si="3"/>
        <v>Diesel km/l</v>
      </c>
      <c r="P34" s="41">
        <f>+'Diesel B1'!$B$71</f>
        <v>169400</v>
      </c>
      <c r="Q34" s="41">
        <f t="shared" si="4"/>
        <v>150100</v>
      </c>
      <c r="R34" s="41">
        <f>+'Diesel B1'!$B$73</f>
        <v>19000</v>
      </c>
      <c r="S34" s="41">
        <f>+'Diesel B1'!$B$72</f>
        <v>300</v>
      </c>
      <c r="T34" s="37">
        <f>'[1]Test order'!M34</f>
        <v>11699</v>
      </c>
      <c r="U34" s="37">
        <f t="shared" si="8"/>
        <v>574</v>
      </c>
      <c r="V34" s="37">
        <f>+'FCV B1'!$B$7</f>
        <v>8.1999999999999993</v>
      </c>
      <c r="W34" s="34">
        <f t="shared" si="7"/>
        <v>13.343293157389573</v>
      </c>
      <c r="X34" s="34">
        <f t="shared" si="5"/>
        <v>0.93403052101727013</v>
      </c>
      <c r="Y34" s="42">
        <f t="shared" si="6"/>
        <v>9.2612161999999998</v>
      </c>
      <c r="Z34" s="34"/>
    </row>
    <row r="35" spans="1:26" x14ac:dyDescent="0.3">
      <c r="A35" s="33" t="str">
        <f>+'[1]Test order'!A35</f>
        <v>2022 CITY BUS - FULL</v>
      </c>
      <c r="B35" s="33" t="str">
        <f>+'[1]Test order'!B35</f>
        <v>CITY ROUTE</v>
      </c>
      <c r="C35" s="33" t="str">
        <f>+'[1]Test order'!C35</f>
        <v>Diesel 380 kW</v>
      </c>
      <c r="D35" s="33" t="str">
        <f>+'[1]Test order'!D35</f>
        <v>Diesel</v>
      </c>
      <c r="E35" s="34">
        <f>+'[1]Test order'!E35</f>
        <v>14.19205043741646</v>
      </c>
      <c r="F35" s="34">
        <f>+'[1]Test order'!F35</f>
        <v>1.4804682731628418</v>
      </c>
      <c r="G35" s="38">
        <f>+'[1]Test order'!G35</f>
        <v>0.10431672855810031</v>
      </c>
      <c r="H35" s="39">
        <f>+'[1]Test order'!H35</f>
        <v>2.5366313457489014</v>
      </c>
      <c r="I35" s="33" t="str">
        <f>+'[1]Test order'!I35</f>
        <v>km/l</v>
      </c>
      <c r="J35" s="33" t="str">
        <f>+'[1]Test order'!J35</f>
        <v>Diesel 2022 CITY BUS - FULL Diesel 380 kW CITY ROUTE 18000 kg 39.4 l /100km 10%</v>
      </c>
      <c r="K35" s="33">
        <f>+'[1]Test order'!K35</f>
        <v>0</v>
      </c>
      <c r="L35" s="33" t="str">
        <f t="shared" si="0"/>
        <v>2022</v>
      </c>
      <c r="M35" s="33" t="str">
        <f t="shared" si="1"/>
        <v>FULL</v>
      </c>
      <c r="N35" s="33" t="str">
        <f t="shared" si="2"/>
        <v xml:space="preserve">CITY BUS </v>
      </c>
      <c r="O35" s="33" t="str">
        <f t="shared" si="3"/>
        <v>Diesel km/l</v>
      </c>
      <c r="P35" s="41">
        <f>+'Diesel B1'!$B$71</f>
        <v>169400</v>
      </c>
      <c r="Q35" s="41">
        <f t="shared" si="4"/>
        <v>150100</v>
      </c>
      <c r="R35" s="41">
        <f>+'Diesel B1'!$B$73</f>
        <v>19000</v>
      </c>
      <c r="S35" s="41">
        <f>+'Diesel B1'!$B$72</f>
        <v>300</v>
      </c>
      <c r="T35" s="37">
        <f>'[1]Test order'!M35</f>
        <v>18000</v>
      </c>
      <c r="U35" s="37">
        <f>+T35-T29</f>
        <v>6875</v>
      </c>
      <c r="V35" s="33">
        <f>+'FCV B1'!$B$4</f>
        <v>63</v>
      </c>
      <c r="W35" s="34">
        <f t="shared" si="7"/>
        <v>2.0642982454423944</v>
      </c>
      <c r="X35" s="34">
        <f t="shared" si="5"/>
        <v>0.22527064186375334</v>
      </c>
      <c r="Y35" s="42">
        <f t="shared" si="6"/>
        <v>10.5611125</v>
      </c>
      <c r="Z35" s="34"/>
    </row>
    <row r="36" spans="1:26" x14ac:dyDescent="0.3">
      <c r="A36" s="33" t="str">
        <f>+'[1]Test order'!A36</f>
        <v>2022 CITY BUS - FULL</v>
      </c>
      <c r="B36" s="33" t="str">
        <f>+'[1]Test order'!B36</f>
        <v>RURAL ROUTE</v>
      </c>
      <c r="C36" s="33" t="str">
        <f>+'[1]Test order'!C36</f>
        <v>Diesel 380 kW</v>
      </c>
      <c r="D36" s="33" t="str">
        <f>+'[1]Test order'!D36</f>
        <v>Diesel</v>
      </c>
      <c r="E36" s="34">
        <f>+'[1]Test order'!E36</f>
        <v>8.933591844245008</v>
      </c>
      <c r="F36" s="34">
        <f>+'[1]Test order'!F36</f>
        <v>2.3867251873016357</v>
      </c>
      <c r="G36" s="38">
        <f>+'[1]Test order'!G36</f>
        <v>0.26716299881543804</v>
      </c>
      <c r="H36" s="39">
        <f>+'[1]Test order'!H36</f>
        <v>4.0297341346740723</v>
      </c>
      <c r="I36" s="33" t="str">
        <f>+'[1]Test order'!I36</f>
        <v>km/l</v>
      </c>
      <c r="J36" s="33" t="str">
        <f>+'[1]Test order'!J36</f>
        <v>Diesel 2022 CITY BUS - FULL Diesel 380 kW RURAL ROUTE 18000 kg 24.8 l /100km 27%</v>
      </c>
      <c r="K36" s="33">
        <f>+'[1]Test order'!K36</f>
        <v>0</v>
      </c>
      <c r="L36" s="33" t="str">
        <f t="shared" si="0"/>
        <v>2022</v>
      </c>
      <c r="M36" s="33" t="str">
        <f t="shared" si="1"/>
        <v>FULL</v>
      </c>
      <c r="N36" s="33" t="str">
        <f t="shared" si="2"/>
        <v xml:space="preserve">CITY BUS </v>
      </c>
      <c r="O36" s="33" t="str">
        <f t="shared" si="3"/>
        <v>Diesel km/l</v>
      </c>
      <c r="P36" s="41">
        <f>+'Diesel B1'!$B$71</f>
        <v>169400</v>
      </c>
      <c r="Q36" s="41">
        <f t="shared" si="4"/>
        <v>150100</v>
      </c>
      <c r="R36" s="41">
        <f>+'Diesel B1'!$B$73</f>
        <v>19000</v>
      </c>
      <c r="S36" s="41">
        <f>+'Diesel B1'!$B$72</f>
        <v>300</v>
      </c>
      <c r="T36" s="37">
        <f>'[1]Test order'!M36</f>
        <v>18000</v>
      </c>
      <c r="U36" s="37">
        <f t="shared" ref="U36:U37" si="9">+T36-T30</f>
        <v>6875</v>
      </c>
      <c r="V36" s="33">
        <f>+'FCV B1'!$B$4</f>
        <v>63</v>
      </c>
      <c r="W36" s="34">
        <f t="shared" si="7"/>
        <v>1.2994315409810921</v>
      </c>
      <c r="X36" s="34">
        <f t="shared" si="5"/>
        <v>0.14180304514674616</v>
      </c>
      <c r="Y36" s="42">
        <f t="shared" si="6"/>
        <v>10.5611125</v>
      </c>
      <c r="Z36" s="34"/>
    </row>
    <row r="37" spans="1:26" x14ac:dyDescent="0.3">
      <c r="A37" s="33" t="str">
        <f>+'[1]Test order'!A37</f>
        <v>2022 CITY BUS - FULL</v>
      </c>
      <c r="B37" s="33" t="str">
        <f>+'[1]Test order'!B37</f>
        <v>MOTORWAY</v>
      </c>
      <c r="C37" s="33" t="str">
        <f>+'[1]Test order'!C37</f>
        <v>Diesel 380 kW</v>
      </c>
      <c r="D37" s="33" t="str">
        <f>+'[1]Test order'!D37</f>
        <v>Diesel</v>
      </c>
      <c r="E37" s="34">
        <f>+'[1]Test order'!E37</f>
        <v>8.4089960781579425</v>
      </c>
      <c r="F37" s="34">
        <f>+'[1]Test order'!F37</f>
        <v>2.8799625039100647</v>
      </c>
      <c r="G37" s="38">
        <f>+'[1]Test order'!G37</f>
        <v>0.34248588977115368</v>
      </c>
      <c r="H37" s="39">
        <f>+'[1]Test order'!H37</f>
        <v>4.2811293601989746</v>
      </c>
      <c r="I37" s="33" t="str">
        <f>+'[1]Test order'!I37</f>
        <v>km/l</v>
      </c>
      <c r="J37" s="33" t="str">
        <f>+'[1]Test order'!J37</f>
        <v>Diesel 2022 CITY BUS - FULL Diesel 380 kW MOTORWAY 18000 kg 23.4 l /100km 34%</v>
      </c>
      <c r="K37" s="33">
        <f>+'[1]Test order'!K37</f>
        <v>0</v>
      </c>
      <c r="L37" s="33" t="str">
        <f t="shared" si="0"/>
        <v>2022</v>
      </c>
      <c r="M37" s="33" t="str">
        <f t="shared" si="1"/>
        <v>FULL</v>
      </c>
      <c r="N37" s="33" t="str">
        <f t="shared" si="2"/>
        <v xml:space="preserve">CITY BUS </v>
      </c>
      <c r="O37" s="33" t="str">
        <f t="shared" si="3"/>
        <v>Diesel km/l</v>
      </c>
      <c r="P37" s="41">
        <f>+'Diesel B1'!$B$71</f>
        <v>169400</v>
      </c>
      <c r="Q37" s="41">
        <f t="shared" si="4"/>
        <v>150100</v>
      </c>
      <c r="R37" s="41">
        <f>+'Diesel B1'!$B$73</f>
        <v>19000</v>
      </c>
      <c r="S37" s="41">
        <f>+'Diesel B1'!$B$72</f>
        <v>300</v>
      </c>
      <c r="T37" s="37">
        <f>'[1]Test order'!M37</f>
        <v>18000</v>
      </c>
      <c r="U37" s="37">
        <f t="shared" si="9"/>
        <v>6875</v>
      </c>
      <c r="V37" s="33">
        <f>+'FCV B1'!$B$4</f>
        <v>63</v>
      </c>
      <c r="W37" s="34">
        <f t="shared" si="7"/>
        <v>1.223126702277519</v>
      </c>
      <c r="X37" s="34">
        <f t="shared" si="5"/>
        <v>0.13347612822472923</v>
      </c>
      <c r="Y37" s="42">
        <f t="shared" si="6"/>
        <v>10.5611125</v>
      </c>
      <c r="Z37" s="34"/>
    </row>
    <row r="38" spans="1:26" x14ac:dyDescent="0.3">
      <c r="A38" s="33" t="str">
        <f>+'[1]Test order'!A38</f>
        <v>2022 TOURIST BUS - EMPTY</v>
      </c>
      <c r="B38" s="33" t="str">
        <f>+'[1]Test order'!B38</f>
        <v>CITY ROUTE</v>
      </c>
      <c r="C38" s="33" t="str">
        <f>+'[1]Test order'!C38</f>
        <v>Diesel 380 kW</v>
      </c>
      <c r="D38" s="33" t="str">
        <f>+'[1]Test order'!D38</f>
        <v>Diesel</v>
      </c>
      <c r="E38" s="34">
        <f>+'[1]Test order'!E38</f>
        <v>11.822357107741219</v>
      </c>
      <c r="F38" s="34">
        <f>+'[1]Test order'!F38</f>
        <v>1.1684503555297852</v>
      </c>
      <c r="G38" s="38">
        <f>+'[1]Test order'!G38</f>
        <v>9.8833958818981188E-2</v>
      </c>
      <c r="H38" s="39">
        <f>+'[1]Test order'!H38</f>
        <v>3.0450780391693115</v>
      </c>
      <c r="I38" s="33" t="str">
        <f>+'[1]Test order'!I38</f>
        <v>km/l</v>
      </c>
      <c r="J38" s="33" t="str">
        <f>+'[1]Test order'!J38</f>
        <v>Diesel 2022 TOURIST BUS - EMPTY Diesel 380 kW CITY ROUTE 13500 kg 32.8 l /100km 10%</v>
      </c>
      <c r="K38" s="33">
        <f>+'[1]Test order'!K38</f>
        <v>0</v>
      </c>
      <c r="L38" s="33" t="str">
        <f t="shared" si="0"/>
        <v>2022</v>
      </c>
      <c r="M38" s="33" t="str">
        <f t="shared" si="1"/>
        <v>EMPTY</v>
      </c>
      <c r="N38" s="33" t="str">
        <f t="shared" si="2"/>
        <v xml:space="preserve">TOURIST BUS </v>
      </c>
      <c r="O38" s="33" t="str">
        <f t="shared" si="3"/>
        <v>Diesel km/l</v>
      </c>
      <c r="P38" s="41">
        <f>+'Diesel B2'!$B$71</f>
        <v>259900</v>
      </c>
      <c r="Q38" s="41">
        <f t="shared" si="4"/>
        <v>240600</v>
      </c>
      <c r="R38" s="41">
        <f>+'Diesel B2'!$B$73</f>
        <v>19000</v>
      </c>
      <c r="S38" s="41">
        <f>+'Diesel B2'!$B$72</f>
        <v>300</v>
      </c>
      <c r="T38" s="37">
        <f>'[1]Test order'!M38</f>
        <v>13500</v>
      </c>
      <c r="U38" s="33">
        <v>0</v>
      </c>
      <c r="V38" s="33">
        <v>0</v>
      </c>
      <c r="W38" s="34" t="e">
        <f t="shared" si="7"/>
        <v>#N/A</v>
      </c>
      <c r="X38" s="34" t="str">
        <f t="shared" si="5"/>
        <v/>
      </c>
      <c r="Y38" s="42">
        <f t="shared" si="6"/>
        <v>9.1427999999999994</v>
      </c>
      <c r="Z38" s="34"/>
    </row>
    <row r="39" spans="1:26" x14ac:dyDescent="0.3">
      <c r="A39" s="33" t="str">
        <f>+'[1]Test order'!A39</f>
        <v>2022 TOURIST BUS - EMPTY</v>
      </c>
      <c r="B39" s="33" t="str">
        <f>+'[1]Test order'!B39</f>
        <v>RURAL ROUTE</v>
      </c>
      <c r="C39" s="33" t="str">
        <f>+'[1]Test order'!C39</f>
        <v>Diesel 380 kW</v>
      </c>
      <c r="D39" s="33" t="str">
        <f>+'[1]Test order'!D39</f>
        <v>Diesel</v>
      </c>
      <c r="E39" s="34">
        <f>+'[1]Test order'!E39</f>
        <v>7.4648575860175672</v>
      </c>
      <c r="F39" s="34">
        <f>+'[1]Test order'!F39</f>
        <v>1.9346418380737305</v>
      </c>
      <c r="G39" s="38">
        <f>+'[1]Test order'!G39</f>
        <v>0.25916661045182032</v>
      </c>
      <c r="H39" s="39">
        <f>+'[1]Test order'!H39</f>
        <v>4.8225970268249512</v>
      </c>
      <c r="I39" s="33" t="str">
        <f>+'[1]Test order'!I39</f>
        <v>km/l</v>
      </c>
      <c r="J39" s="33" t="str">
        <f>+'[1]Test order'!J39</f>
        <v>Diesel 2022 TOURIST BUS - EMPTY Diesel 380 kW RURAL ROUTE 13500 kg 20.7 l /100km 26%</v>
      </c>
      <c r="K39" s="33">
        <f>+'[1]Test order'!K39</f>
        <v>0</v>
      </c>
      <c r="L39" s="33" t="str">
        <f t="shared" si="0"/>
        <v>2022</v>
      </c>
      <c r="M39" s="33" t="str">
        <f t="shared" si="1"/>
        <v>EMPTY</v>
      </c>
      <c r="N39" s="33" t="str">
        <f t="shared" si="2"/>
        <v xml:space="preserve">TOURIST BUS </v>
      </c>
      <c r="O39" s="33" t="str">
        <f t="shared" si="3"/>
        <v>Diesel km/l</v>
      </c>
      <c r="P39" s="41">
        <f>+'Diesel B2'!$B$71</f>
        <v>259900</v>
      </c>
      <c r="Q39" s="41">
        <f t="shared" si="4"/>
        <v>240600</v>
      </c>
      <c r="R39" s="41">
        <f>+'Diesel B2'!$B$73</f>
        <v>19000</v>
      </c>
      <c r="S39" s="41">
        <f>+'Diesel B2'!$B$72</f>
        <v>300</v>
      </c>
      <c r="T39" s="37">
        <f>'[1]Test order'!M39</f>
        <v>13500</v>
      </c>
      <c r="U39" s="33">
        <v>0</v>
      </c>
      <c r="V39" s="33">
        <v>0</v>
      </c>
      <c r="W39" s="34" t="e">
        <f t="shared" si="7"/>
        <v>#N/A</v>
      </c>
      <c r="X39" s="34" t="str">
        <f t="shared" si="5"/>
        <v/>
      </c>
      <c r="Y39" s="42">
        <f t="shared" si="6"/>
        <v>9.1427999999999994</v>
      </c>
      <c r="Z39" s="34"/>
    </row>
    <row r="40" spans="1:26" x14ac:dyDescent="0.3">
      <c r="A40" s="33" t="str">
        <f>+'[1]Test order'!A40</f>
        <v>2022 TOURIST BUS - EMPTY</v>
      </c>
      <c r="B40" s="33" t="str">
        <f>+'[1]Test order'!B40</f>
        <v>MOTORWAY</v>
      </c>
      <c r="C40" s="33" t="str">
        <f>+'[1]Test order'!C40</f>
        <v>Diesel 380 kW</v>
      </c>
      <c r="D40" s="33" t="str">
        <f>+'[1]Test order'!D40</f>
        <v>Diesel</v>
      </c>
      <c r="E40" s="34">
        <f>+'[1]Test order'!E40</f>
        <v>7.1430153351955621</v>
      </c>
      <c r="F40" s="34">
        <f>+'[1]Test order'!F40</f>
        <v>2.351994514465332</v>
      </c>
      <c r="G40" s="38">
        <f>+'[1]Test order'!G40</f>
        <v>0.3292719396634109</v>
      </c>
      <c r="H40" s="39">
        <f>+'[1]Test order'!H40</f>
        <v>5.0398883819580078</v>
      </c>
      <c r="I40" s="33" t="str">
        <f>+'[1]Test order'!I40</f>
        <v>km/l</v>
      </c>
      <c r="J40" s="33" t="str">
        <f>+'[1]Test order'!J40</f>
        <v>Diesel 2022 TOURIST BUS - EMPTY Diesel 380 kW MOTORWAY 13500 kg 19.8 l /100km 33%</v>
      </c>
      <c r="K40" s="33">
        <f>+'[1]Test order'!K40</f>
        <v>0</v>
      </c>
      <c r="L40" s="33" t="str">
        <f t="shared" si="0"/>
        <v>2022</v>
      </c>
      <c r="M40" s="33" t="str">
        <f t="shared" si="1"/>
        <v>EMPTY</v>
      </c>
      <c r="N40" s="33" t="str">
        <f t="shared" si="2"/>
        <v xml:space="preserve">TOURIST BUS </v>
      </c>
      <c r="O40" s="33" t="str">
        <f t="shared" si="3"/>
        <v>Diesel km/l</v>
      </c>
      <c r="P40" s="41">
        <f>+'Diesel B2'!$B$71</f>
        <v>259900</v>
      </c>
      <c r="Q40" s="41">
        <f t="shared" si="4"/>
        <v>240600</v>
      </c>
      <c r="R40" s="41">
        <f>+'Diesel B2'!$B$73</f>
        <v>19000</v>
      </c>
      <c r="S40" s="41">
        <f>+'Diesel B2'!$B$72</f>
        <v>300</v>
      </c>
      <c r="T40" s="37">
        <f>'[1]Test order'!M40</f>
        <v>13500</v>
      </c>
      <c r="U40" s="33">
        <v>0</v>
      </c>
      <c r="V40" s="33">
        <v>0</v>
      </c>
      <c r="W40" s="34" t="e">
        <f t="shared" si="7"/>
        <v>#N/A</v>
      </c>
      <c r="X40" s="34" t="str">
        <f t="shared" si="5"/>
        <v/>
      </c>
      <c r="Y40" s="42">
        <f t="shared" si="6"/>
        <v>9.1427999999999994</v>
      </c>
      <c r="Z40" s="34"/>
    </row>
    <row r="41" spans="1:26" x14ac:dyDescent="0.3">
      <c r="A41" s="33" t="str">
        <f>+'[1]Test order'!A41</f>
        <v>2022 TOURIST BUS - TYPICAL</v>
      </c>
      <c r="B41" s="33" t="str">
        <f>+'[1]Test order'!B41</f>
        <v>CITY ROUTE</v>
      </c>
      <c r="C41" s="33" t="str">
        <f>+'[1]Test order'!C41</f>
        <v>Diesel 380 kW</v>
      </c>
      <c r="D41" s="33" t="str">
        <f>+'[1]Test order'!D41</f>
        <v>Diesel</v>
      </c>
      <c r="E41" s="34">
        <f>+'[1]Test order'!E41</f>
        <v>12.465753653104107</v>
      </c>
      <c r="F41" s="34">
        <f>+'[1]Test order'!F41</f>
        <v>1.2276588678359985</v>
      </c>
      <c r="G41" s="38">
        <f>+'[1]Test order'!G41</f>
        <v>9.8482522757883814E-2</v>
      </c>
      <c r="H41" s="39">
        <f>+'[1]Test order'!H41</f>
        <v>2.8879120349884033</v>
      </c>
      <c r="I41" s="33" t="str">
        <f>+'[1]Test order'!I41</f>
        <v>km/l</v>
      </c>
      <c r="J41" s="33" t="str">
        <f>+'[1]Test order'!J41</f>
        <v>Diesel 2022 TOURIST BUS - TYPICAL Diesel 380 kW CITY ROUTE 14711 kg 34.6 l /100km 10%</v>
      </c>
      <c r="K41" s="33">
        <f>+'[1]Test order'!K41</f>
        <v>0</v>
      </c>
      <c r="L41" s="33" t="str">
        <f t="shared" si="0"/>
        <v>2022</v>
      </c>
      <c r="M41" s="33" t="str">
        <f t="shared" si="1"/>
        <v>TYPICAL</v>
      </c>
      <c r="N41" s="33" t="str">
        <f t="shared" si="2"/>
        <v xml:space="preserve">TOURIST BUS </v>
      </c>
      <c r="O41" s="33" t="str">
        <f t="shared" si="3"/>
        <v>Diesel km/l</v>
      </c>
      <c r="P41" s="41">
        <f>+'Diesel B2'!$B$71</f>
        <v>259900</v>
      </c>
      <c r="Q41" s="41">
        <f t="shared" si="4"/>
        <v>240600</v>
      </c>
      <c r="R41" s="41">
        <f>+'Diesel B2'!$B$73</f>
        <v>19000</v>
      </c>
      <c r="S41" s="41">
        <f>+'Diesel B2'!$B$72</f>
        <v>300</v>
      </c>
      <c r="T41" s="37">
        <f>'[1]Test order'!M41</f>
        <v>14711</v>
      </c>
      <c r="U41" s="37">
        <f>+T41-T38</f>
        <v>1211</v>
      </c>
      <c r="V41" s="37">
        <f>+'FCV B2'!$B$7</f>
        <v>17.3</v>
      </c>
      <c r="W41" s="34">
        <f t="shared" si="7"/>
        <v>10.293768499673085</v>
      </c>
      <c r="X41" s="34">
        <f t="shared" si="5"/>
        <v>0.72056379497711598</v>
      </c>
      <c r="Y41" s="42">
        <f t="shared" si="6"/>
        <v>9.3926292999999994</v>
      </c>
      <c r="Z41" s="34"/>
    </row>
    <row r="42" spans="1:26" x14ac:dyDescent="0.3">
      <c r="A42" s="33" t="str">
        <f>+'[1]Test order'!A42</f>
        <v>2022 TOURIST BUS - TYPICAL</v>
      </c>
      <c r="B42" s="33" t="str">
        <f>+'[1]Test order'!B42</f>
        <v>RURAL ROUTE</v>
      </c>
      <c r="C42" s="33" t="str">
        <f>+'[1]Test order'!C42</f>
        <v>Diesel 380 kW</v>
      </c>
      <c r="D42" s="33" t="str">
        <f>+'[1]Test order'!D42</f>
        <v>Diesel</v>
      </c>
      <c r="E42" s="34">
        <f>+'[1]Test order'!E42</f>
        <v>7.7369290454759128</v>
      </c>
      <c r="F42" s="34">
        <f>+'[1]Test order'!F42</f>
        <v>1.9940425157546997</v>
      </c>
      <c r="G42" s="38">
        <f>+'[1]Test order'!G42</f>
        <v>0.25773049022863859</v>
      </c>
      <c r="H42" s="39">
        <f>+'[1]Test order'!H42</f>
        <v>4.6530089378356934</v>
      </c>
      <c r="I42" s="33" t="str">
        <f>+'[1]Test order'!I42</f>
        <v>km/l</v>
      </c>
      <c r="J42" s="33" t="str">
        <f>+'[1]Test order'!J42</f>
        <v>Diesel 2022 TOURIST BUS - TYPICAL Diesel 380 kW RURAL ROUTE 14711 kg 21.5 l /100km 26%</v>
      </c>
      <c r="K42" s="33">
        <f>+'[1]Test order'!K42</f>
        <v>0</v>
      </c>
      <c r="L42" s="33" t="str">
        <f t="shared" si="0"/>
        <v>2022</v>
      </c>
      <c r="M42" s="33" t="str">
        <f t="shared" si="1"/>
        <v>TYPICAL</v>
      </c>
      <c r="N42" s="33" t="str">
        <f t="shared" si="2"/>
        <v xml:space="preserve">TOURIST BUS </v>
      </c>
      <c r="O42" s="33" t="str">
        <f t="shared" si="3"/>
        <v>Diesel km/l</v>
      </c>
      <c r="P42" s="41">
        <f>+'Diesel B2'!$B$71</f>
        <v>259900</v>
      </c>
      <c r="Q42" s="41">
        <f t="shared" si="4"/>
        <v>240600</v>
      </c>
      <c r="R42" s="41">
        <f>+'Diesel B2'!$B$73</f>
        <v>19000</v>
      </c>
      <c r="S42" s="41">
        <f>+'Diesel B2'!$B$72</f>
        <v>300</v>
      </c>
      <c r="T42" s="37">
        <f>'[1]Test order'!M42</f>
        <v>14711</v>
      </c>
      <c r="U42" s="37">
        <f t="shared" ref="U42:U43" si="10">+T42-T39</f>
        <v>1211</v>
      </c>
      <c r="V42" s="37">
        <f>+'FCV B2'!$B$7</f>
        <v>17.3</v>
      </c>
      <c r="W42" s="34">
        <f t="shared" si="7"/>
        <v>6.388876172977632</v>
      </c>
      <c r="X42" s="34">
        <f t="shared" si="5"/>
        <v>0.44722133210843423</v>
      </c>
      <c r="Y42" s="42">
        <f t="shared" si="6"/>
        <v>9.3926292999999994</v>
      </c>
      <c r="Z42" s="34"/>
    </row>
    <row r="43" spans="1:26" x14ac:dyDescent="0.3">
      <c r="A43" s="33" t="str">
        <f>+'[1]Test order'!A43</f>
        <v>2022 TOURIST BUS - TYPICAL</v>
      </c>
      <c r="B43" s="33" t="str">
        <f>+'[1]Test order'!B43</f>
        <v>MOTORWAY</v>
      </c>
      <c r="C43" s="33" t="str">
        <f>+'[1]Test order'!C43</f>
        <v>Diesel 380 kW</v>
      </c>
      <c r="D43" s="33" t="str">
        <f>+'[1]Test order'!D43</f>
        <v>Diesel</v>
      </c>
      <c r="E43" s="34">
        <f>+'[1]Test order'!E43</f>
        <v>7.3001365509673928</v>
      </c>
      <c r="F43" s="34">
        <f>+'[1]Test order'!F43</f>
        <v>2.4113966822624207</v>
      </c>
      <c r="G43" s="38">
        <f>+'[1]Test order'!G43</f>
        <v>0.33032213376102798</v>
      </c>
      <c r="H43" s="39">
        <f>+'[1]Test order'!H43</f>
        <v>4.9314146041870117</v>
      </c>
      <c r="I43" s="33" t="str">
        <f>+'[1]Test order'!I43</f>
        <v>km/l</v>
      </c>
      <c r="J43" s="33" t="str">
        <f>+'[1]Test order'!J43</f>
        <v>Diesel 2022 TOURIST BUS - TYPICAL Diesel 380 kW MOTORWAY 14711 kg 20.3 l /100km 33%</v>
      </c>
      <c r="K43" s="33">
        <f>+'[1]Test order'!K43</f>
        <v>0</v>
      </c>
      <c r="L43" s="33" t="str">
        <f t="shared" si="0"/>
        <v>2022</v>
      </c>
      <c r="M43" s="33" t="str">
        <f t="shared" si="1"/>
        <v>TYPICAL</v>
      </c>
      <c r="N43" s="33" t="str">
        <f t="shared" si="2"/>
        <v xml:space="preserve">TOURIST BUS </v>
      </c>
      <c r="O43" s="33" t="str">
        <f t="shared" si="3"/>
        <v>Diesel km/l</v>
      </c>
      <c r="P43" s="41">
        <f>+'Diesel B2'!$B$71</f>
        <v>259900</v>
      </c>
      <c r="Q43" s="41">
        <f t="shared" si="4"/>
        <v>240600</v>
      </c>
      <c r="R43" s="41">
        <f>+'Diesel B2'!$B$73</f>
        <v>19000</v>
      </c>
      <c r="S43" s="41">
        <f>+'Diesel B2'!$B$72</f>
        <v>300</v>
      </c>
      <c r="T43" s="37">
        <f>'[1]Test order'!M43</f>
        <v>14711</v>
      </c>
      <c r="U43" s="37">
        <f t="shared" si="10"/>
        <v>1211</v>
      </c>
      <c r="V43" s="37">
        <f>+'FCV B2'!$B$7</f>
        <v>17.3</v>
      </c>
      <c r="W43" s="34">
        <f t="shared" si="7"/>
        <v>6.0281887291225376</v>
      </c>
      <c r="X43" s="34">
        <f t="shared" si="5"/>
        <v>0.4219732110385776</v>
      </c>
      <c r="Y43" s="42">
        <f t="shared" si="6"/>
        <v>9.3926292999999994</v>
      </c>
      <c r="Z43" s="34"/>
    </row>
    <row r="44" spans="1:26" x14ac:dyDescent="0.3">
      <c r="A44" s="33" t="str">
        <f>+'[1]Test order'!A44</f>
        <v>2022 TOURIST BUS - FULL</v>
      </c>
      <c r="B44" s="33" t="str">
        <f>+'[1]Test order'!B44</f>
        <v>CITY ROUTE</v>
      </c>
      <c r="C44" s="33" t="str">
        <f>+'[1]Test order'!C44</f>
        <v>Diesel 380 kW</v>
      </c>
      <c r="D44" s="33" t="str">
        <f>+'[1]Test order'!D44</f>
        <v>Diesel</v>
      </c>
      <c r="E44" s="34">
        <f>+'[1]Test order'!E44</f>
        <v>14.965021707936824</v>
      </c>
      <c r="F44" s="34">
        <f>+'[1]Test order'!F44</f>
        <v>1.4615823030471802</v>
      </c>
      <c r="G44" s="38">
        <f>+'[1]Test order'!G44</f>
        <v>9.7666567518042272E-2</v>
      </c>
      <c r="H44" s="39">
        <f>+'[1]Test order'!H44</f>
        <v>2.4056096076965332</v>
      </c>
      <c r="I44" s="33" t="str">
        <f>+'[1]Test order'!I44</f>
        <v>km/l</v>
      </c>
      <c r="J44" s="33" t="str">
        <f>+'[1]Test order'!J44</f>
        <v>Diesel 2022 TOURIST BUS - FULL Diesel 380 kW CITY ROUTE 19500 kg 41.6 l /100km 10%</v>
      </c>
      <c r="K44" s="33">
        <f>+'[1]Test order'!K44</f>
        <v>0</v>
      </c>
      <c r="L44" s="33" t="str">
        <f t="shared" si="0"/>
        <v>2022</v>
      </c>
      <c r="M44" s="33" t="str">
        <f t="shared" si="1"/>
        <v>FULL</v>
      </c>
      <c r="N44" s="33" t="str">
        <f t="shared" si="2"/>
        <v xml:space="preserve">TOURIST BUS </v>
      </c>
      <c r="O44" s="33" t="str">
        <f t="shared" si="3"/>
        <v>Diesel km/l</v>
      </c>
      <c r="P44" s="41">
        <f>+'Diesel B2'!$B$71</f>
        <v>259900</v>
      </c>
      <c r="Q44" s="41">
        <f t="shared" si="4"/>
        <v>240600</v>
      </c>
      <c r="R44" s="41">
        <f>+'Diesel B2'!$B$73</f>
        <v>19000</v>
      </c>
      <c r="S44" s="41">
        <f>+'Diesel B2'!$B$72</f>
        <v>300</v>
      </c>
      <c r="T44" s="37">
        <f>'[1]Test order'!M44</f>
        <v>19500</v>
      </c>
      <c r="U44" s="37">
        <f>+T44-T38</f>
        <v>6000</v>
      </c>
      <c r="V44" s="33">
        <f>+'FCV B2'!$B$4</f>
        <v>55</v>
      </c>
      <c r="W44" s="34">
        <f t="shared" si="7"/>
        <v>2.4941702846561373</v>
      </c>
      <c r="X44" s="34">
        <f t="shared" si="5"/>
        <v>0.27209130378066954</v>
      </c>
      <c r="Y44" s="42">
        <f t="shared" si="6"/>
        <v>10.380599999999999</v>
      </c>
      <c r="Z44" s="34"/>
    </row>
    <row r="45" spans="1:26" x14ac:dyDescent="0.3">
      <c r="A45" s="33" t="str">
        <f>+'[1]Test order'!A45</f>
        <v>2022 TOURIST BUS - FULL</v>
      </c>
      <c r="B45" s="33" t="str">
        <f>+'[1]Test order'!B45</f>
        <v>RURAL ROUTE</v>
      </c>
      <c r="C45" s="33" t="str">
        <f>+'[1]Test order'!C45</f>
        <v>Diesel 380 kW</v>
      </c>
      <c r="D45" s="33" t="str">
        <f>+'[1]Test order'!D45</f>
        <v>Diesel</v>
      </c>
      <c r="E45" s="34">
        <f>+'[1]Test order'!E45</f>
        <v>8.7708290349023308</v>
      </c>
      <c r="F45" s="34">
        <f>+'[1]Test order'!F45</f>
        <v>2.2289479970932007</v>
      </c>
      <c r="G45" s="38">
        <f>+'[1]Test order'!G45</f>
        <v>0.25413196269399424</v>
      </c>
      <c r="H45" s="39">
        <f>+'[1]Test order'!H45</f>
        <v>4.1045150756835938</v>
      </c>
      <c r="I45" s="33" t="str">
        <f>+'[1]Test order'!I45</f>
        <v>km/l</v>
      </c>
      <c r="J45" s="33" t="str">
        <f>+'[1]Test order'!J45</f>
        <v>Diesel 2022 TOURIST BUS - FULL Diesel 380 kW RURAL ROUTE 19500 kg 24.4 l /100km 25%</v>
      </c>
      <c r="K45" s="33">
        <f>+'[1]Test order'!K45</f>
        <v>0</v>
      </c>
      <c r="L45" s="33" t="str">
        <f t="shared" si="0"/>
        <v>2022</v>
      </c>
      <c r="M45" s="33" t="str">
        <f t="shared" si="1"/>
        <v>FULL</v>
      </c>
      <c r="N45" s="33" t="str">
        <f t="shared" si="2"/>
        <v xml:space="preserve">TOURIST BUS </v>
      </c>
      <c r="O45" s="33" t="str">
        <f t="shared" si="3"/>
        <v>Diesel km/l</v>
      </c>
      <c r="P45" s="41">
        <f>+'Diesel B2'!$B$71</f>
        <v>259900</v>
      </c>
      <c r="Q45" s="41">
        <f t="shared" si="4"/>
        <v>240600</v>
      </c>
      <c r="R45" s="41">
        <f>+'Diesel B2'!$B$73</f>
        <v>19000</v>
      </c>
      <c r="S45" s="41">
        <f>+'Diesel B2'!$B$72</f>
        <v>300</v>
      </c>
      <c r="T45" s="37">
        <f>'[1]Test order'!M45</f>
        <v>19500</v>
      </c>
      <c r="U45" s="37">
        <f t="shared" ref="U45:U46" si="11">+T45-T39</f>
        <v>6000</v>
      </c>
      <c r="V45" s="33">
        <f>+'FCV B2'!$B$4</f>
        <v>55</v>
      </c>
      <c r="W45" s="34">
        <f t="shared" si="7"/>
        <v>1.4618048391503884</v>
      </c>
      <c r="X45" s="34">
        <f t="shared" si="5"/>
        <v>0.15946961881640601</v>
      </c>
      <c r="Y45" s="42">
        <f t="shared" si="6"/>
        <v>10.380599999999999</v>
      </c>
      <c r="Z45" s="34"/>
    </row>
    <row r="46" spans="1:26" x14ac:dyDescent="0.3">
      <c r="A46" s="33" t="str">
        <f>+'[1]Test order'!A46</f>
        <v>2022 TOURIST BUS - FULL</v>
      </c>
      <c r="B46" s="33" t="str">
        <f>+'[1]Test order'!B46</f>
        <v>MOTORWAY</v>
      </c>
      <c r="C46" s="33" t="str">
        <f>+'[1]Test order'!C46</f>
        <v>Diesel 380 kW</v>
      </c>
      <c r="D46" s="33" t="str">
        <f>+'[1]Test order'!D46</f>
        <v>Diesel</v>
      </c>
      <c r="E46" s="34">
        <f>+'[1]Test order'!E46</f>
        <v>7.9345923868662656</v>
      </c>
      <c r="F46" s="34">
        <f>+'[1]Test order'!F46</f>
        <v>2.6463051438331604</v>
      </c>
      <c r="G46" s="38">
        <f>+'[1]Test order'!G46</f>
        <v>0.33351494504159496</v>
      </c>
      <c r="H46" s="39">
        <f>+'[1]Test order'!H46</f>
        <v>4.5370950698852539</v>
      </c>
      <c r="I46" s="33" t="str">
        <f>+'[1]Test order'!I46</f>
        <v>km/l</v>
      </c>
      <c r="J46" s="33" t="str">
        <f>+'[1]Test order'!J46</f>
        <v>Diesel 2022 TOURIST BUS - FULL Diesel 380 kW MOTORWAY 19500 kg 22.0 l /100km 33%</v>
      </c>
      <c r="K46" s="33">
        <f>+'[1]Test order'!K46</f>
        <v>0</v>
      </c>
      <c r="L46" s="33" t="str">
        <f t="shared" si="0"/>
        <v>2022</v>
      </c>
      <c r="M46" s="33" t="str">
        <f t="shared" si="1"/>
        <v>FULL</v>
      </c>
      <c r="N46" s="33" t="str">
        <f t="shared" si="2"/>
        <v xml:space="preserve">TOURIST BUS </v>
      </c>
      <c r="O46" s="33" t="str">
        <f t="shared" si="3"/>
        <v>Diesel km/l</v>
      </c>
      <c r="P46" s="41">
        <f>+'Diesel B2'!$B$71</f>
        <v>259900</v>
      </c>
      <c r="Q46" s="41">
        <f t="shared" si="4"/>
        <v>240600</v>
      </c>
      <c r="R46" s="41">
        <f>+'Diesel B2'!$B$73</f>
        <v>19000</v>
      </c>
      <c r="S46" s="41">
        <f>+'Diesel B2'!$B$72</f>
        <v>300</v>
      </c>
      <c r="T46" s="37">
        <f>'[1]Test order'!M46</f>
        <v>19500</v>
      </c>
      <c r="U46" s="37">
        <f t="shared" si="11"/>
        <v>6000</v>
      </c>
      <c r="V46" s="33">
        <f>+'FCV B2'!$B$4</f>
        <v>55</v>
      </c>
      <c r="W46" s="34">
        <f t="shared" si="7"/>
        <v>1.3224320644777108</v>
      </c>
      <c r="X46" s="34">
        <f t="shared" si="5"/>
        <v>0.1442653161248412</v>
      </c>
      <c r="Y46" s="42">
        <f t="shared" si="6"/>
        <v>10.380599999999999</v>
      </c>
      <c r="Z46" s="34"/>
    </row>
    <row r="47" spans="1:26" x14ac:dyDescent="0.3">
      <c r="A47" s="33" t="str">
        <f>+'[1]Test order'!A47</f>
        <v>2022 RIGID TRUCK - EMPTY</v>
      </c>
      <c r="B47" s="33" t="str">
        <f>+'[1]Test order'!B47</f>
        <v>URBAN DELIVERY</v>
      </c>
      <c r="C47" s="33" t="str">
        <f>+'[1]Test order'!C47</f>
        <v>Electric 290 kW</v>
      </c>
      <c r="D47" s="33" t="str">
        <f>+'[1]Test order'!D47</f>
        <v>Electricity</v>
      </c>
      <c r="E47" s="34">
        <f>+'[1]Test order'!E47</f>
        <v>2.1366846727292526</v>
      </c>
      <c r="F47" s="34">
        <f>+'[1]Test order'!F47</f>
        <v>1.1679841279983521</v>
      </c>
      <c r="G47" s="38">
        <f>+'[1]Test order'!G47</f>
        <v>0.54663383086211326</v>
      </c>
      <c r="H47" s="39">
        <f>+'[1]Test order'!H47</f>
        <v>1.684853196144104</v>
      </c>
      <c r="I47" s="33" t="str">
        <f>+'[1]Test order'!I47</f>
        <v>km/kWh</v>
      </c>
      <c r="J47" s="33" t="str">
        <f>+'[1]Test order'!J47</f>
        <v>Electricity 2022 RIGID TRUCK - EMPTY Electric 290 kW URBAN DELIVERY 10400 kg 59.4 kWh /100km 55%</v>
      </c>
      <c r="K47" s="33">
        <f>+'[1]Test order'!K47</f>
        <v>0</v>
      </c>
      <c r="L47" s="33" t="str">
        <f t="shared" si="0"/>
        <v>2022</v>
      </c>
      <c r="M47" s="33" t="str">
        <f t="shared" si="1"/>
        <v>EMPTY</v>
      </c>
      <c r="N47" s="33" t="str">
        <f t="shared" si="2"/>
        <v xml:space="preserve">RIGID TRUCK </v>
      </c>
      <c r="O47" s="33" t="str">
        <f t="shared" si="3"/>
        <v>Electricity km/kWh</v>
      </c>
      <c r="P47" s="41">
        <f>+'BEV L1'!$B$71</f>
        <v>380500</v>
      </c>
      <c r="Q47" s="41">
        <f t="shared" si="4"/>
        <v>197500</v>
      </c>
      <c r="R47" s="41">
        <f>+'BEV L1'!$B$73</f>
        <v>99000</v>
      </c>
      <c r="S47" s="41">
        <f>+'BEV L1'!$B$72</f>
        <v>84000</v>
      </c>
      <c r="T47" s="37">
        <f>'[1]Test order'!M47</f>
        <v>10400</v>
      </c>
      <c r="U47" s="33">
        <v>0</v>
      </c>
      <c r="V47" s="33">
        <v>0</v>
      </c>
      <c r="W47" s="34" t="e">
        <f t="shared" si="7"/>
        <v>#N/A</v>
      </c>
      <c r="X47" s="34" t="str">
        <f t="shared" si="5"/>
        <v/>
      </c>
      <c r="Y47" s="42"/>
      <c r="Z47" s="34"/>
    </row>
    <row r="48" spans="1:26" x14ac:dyDescent="0.3">
      <c r="A48" s="33" t="str">
        <f>+'[1]Test order'!A48</f>
        <v>2022 RIGID TRUCK - EMPTY</v>
      </c>
      <c r="B48" s="33" t="str">
        <f>+'[1]Test order'!B48</f>
        <v>REGIONAL DELIVERY</v>
      </c>
      <c r="C48" s="33" t="str">
        <f>+'[1]Test order'!C48</f>
        <v>Electric 290 kW</v>
      </c>
      <c r="D48" s="33" t="str">
        <f>+'[1]Test order'!D48</f>
        <v>Electricity</v>
      </c>
      <c r="E48" s="34">
        <f>+'[1]Test order'!E48</f>
        <v>2.7970565458733097</v>
      </c>
      <c r="F48" s="34">
        <f>+'[1]Test order'!F48</f>
        <v>1.8519698977470398</v>
      </c>
      <c r="G48" s="38">
        <f>+'[1]Test order'!G48</f>
        <v>0.66211385696845448</v>
      </c>
      <c r="H48" s="39">
        <f>+'[1]Test order'!H48</f>
        <v>1.2870672941207886</v>
      </c>
      <c r="I48" s="33" t="str">
        <f>+'[1]Test order'!I48</f>
        <v>km/kWh</v>
      </c>
      <c r="J48" s="33" t="str">
        <f>+'[1]Test order'!J48</f>
        <v>Electricity 2022 RIGID TRUCK - EMPTY Electric 290 kW REGIONAL DELIVERY 10400 kg 77.7 kWh /100km 66%</v>
      </c>
      <c r="K48" s="33">
        <f>+'[1]Test order'!K48</f>
        <v>0</v>
      </c>
      <c r="L48" s="33" t="str">
        <f t="shared" si="0"/>
        <v>2022</v>
      </c>
      <c r="M48" s="33" t="str">
        <f t="shared" si="1"/>
        <v>EMPTY</v>
      </c>
      <c r="N48" s="33" t="str">
        <f t="shared" si="2"/>
        <v xml:space="preserve">RIGID TRUCK </v>
      </c>
      <c r="O48" s="33" t="str">
        <f t="shared" si="3"/>
        <v>Electricity km/kWh</v>
      </c>
      <c r="P48" s="41">
        <f>+'BEV L1'!$B$71</f>
        <v>380500</v>
      </c>
      <c r="Q48" s="41">
        <f t="shared" si="4"/>
        <v>197500</v>
      </c>
      <c r="R48" s="41">
        <f>+'BEV L1'!$B$73</f>
        <v>99000</v>
      </c>
      <c r="S48" s="41">
        <f>+'BEV L1'!$B$72</f>
        <v>84000</v>
      </c>
      <c r="T48" s="37">
        <f>'[1]Test order'!M48</f>
        <v>10400</v>
      </c>
      <c r="U48" s="33">
        <v>0</v>
      </c>
      <c r="V48" s="33">
        <v>0</v>
      </c>
      <c r="W48" s="34" t="e">
        <f t="shared" si="7"/>
        <v>#N/A</v>
      </c>
      <c r="X48" s="34" t="str">
        <f t="shared" si="5"/>
        <v/>
      </c>
      <c r="Y48" s="42"/>
      <c r="Z48" s="34"/>
    </row>
    <row r="49" spans="1:26" x14ac:dyDescent="0.3">
      <c r="A49" s="33" t="str">
        <f>+'[1]Test order'!A49</f>
        <v>2022 RIGID TRUCK - EMPTY</v>
      </c>
      <c r="B49" s="33" t="str">
        <f>+'[1]Test order'!B49</f>
        <v>LONG HAUL</v>
      </c>
      <c r="C49" s="33" t="str">
        <f>+'[1]Test order'!C49</f>
        <v>Electric 290 kW</v>
      </c>
      <c r="D49" s="33" t="str">
        <f>+'[1]Test order'!D49</f>
        <v>Electricity</v>
      </c>
      <c r="E49" s="34">
        <f>+'[1]Test order'!E49</f>
        <v>3.1885906295375586</v>
      </c>
      <c r="F49" s="34">
        <f>+'[1]Test order'!F49</f>
        <v>2.2920897603034973</v>
      </c>
      <c r="G49" s="38">
        <f>+'[1]Test order'!G49</f>
        <v>0.71884102621098123</v>
      </c>
      <c r="H49" s="39">
        <f>+'[1]Test order'!H49</f>
        <v>1.1290254592895508</v>
      </c>
      <c r="I49" s="33" t="str">
        <f>+'[1]Test order'!I49</f>
        <v>km/kWh</v>
      </c>
      <c r="J49" s="33" t="str">
        <f>+'[1]Test order'!J49</f>
        <v>Electricity 2022 RIGID TRUCK - EMPTY Electric 290 kW LONG HAUL 10400 kg 88.6 kWh /100km 72%</v>
      </c>
      <c r="K49" s="33">
        <f>+'[1]Test order'!K49</f>
        <v>0</v>
      </c>
      <c r="L49" s="33" t="str">
        <f t="shared" si="0"/>
        <v>2022</v>
      </c>
      <c r="M49" s="33" t="str">
        <f t="shared" si="1"/>
        <v>EMPTY</v>
      </c>
      <c r="N49" s="33" t="str">
        <f t="shared" si="2"/>
        <v xml:space="preserve">RIGID TRUCK </v>
      </c>
      <c r="O49" s="33" t="str">
        <f t="shared" si="3"/>
        <v>Electricity km/kWh</v>
      </c>
      <c r="P49" s="41">
        <f>+'BEV L1'!$B$71</f>
        <v>380500</v>
      </c>
      <c r="Q49" s="41">
        <f t="shared" si="4"/>
        <v>197500</v>
      </c>
      <c r="R49" s="41">
        <f>+'BEV L1'!$B$73</f>
        <v>99000</v>
      </c>
      <c r="S49" s="41">
        <f>+'BEV L1'!$B$72</f>
        <v>84000</v>
      </c>
      <c r="T49" s="37">
        <f>'[1]Test order'!M49</f>
        <v>10400</v>
      </c>
      <c r="U49" s="33">
        <v>0</v>
      </c>
      <c r="V49" s="33">
        <v>0</v>
      </c>
      <c r="W49" s="34" t="e">
        <f t="shared" si="7"/>
        <v>#N/A</v>
      </c>
      <c r="X49" s="34" t="str">
        <f t="shared" si="5"/>
        <v/>
      </c>
      <c r="Y49" s="42"/>
      <c r="Z49" s="34"/>
    </row>
    <row r="50" spans="1:26" x14ac:dyDescent="0.3">
      <c r="A50" s="33" t="str">
        <f>+'[1]Test order'!A50</f>
        <v>2022 RIGID TRUCK - TYPICAL</v>
      </c>
      <c r="B50" s="33" t="str">
        <f>+'[1]Test order'!B50</f>
        <v>URBAN DELIVERY</v>
      </c>
      <c r="C50" s="33" t="str">
        <f>+'[1]Test order'!C50</f>
        <v>Electric 290 kW</v>
      </c>
      <c r="D50" s="33" t="str">
        <f>+'[1]Test order'!D50</f>
        <v>Electricity</v>
      </c>
      <c r="E50" s="34">
        <f>+'[1]Test order'!E50</f>
        <v>3.2222755041776279</v>
      </c>
      <c r="F50" s="34">
        <f>+'[1]Test order'!F50</f>
        <v>1.5449787974357605</v>
      </c>
      <c r="G50" s="38">
        <f>+'[1]Test order'!G50</f>
        <v>0.47946825013339817</v>
      </c>
      <c r="H50" s="39">
        <f>+'[1]Test order'!H50</f>
        <v>1.1172229051589966</v>
      </c>
      <c r="I50" s="33" t="str">
        <f>+'[1]Test order'!I50</f>
        <v>km/kWh</v>
      </c>
      <c r="J50" s="33" t="str">
        <f>+'[1]Test order'!J50</f>
        <v>Electricity 2022 RIGID TRUCK - TYPICAL Electric 290 kW URBAN DELIVERY 18196.8 kg 89.5 kWh /100km 48%</v>
      </c>
      <c r="K50" s="33">
        <f>+'[1]Test order'!K50</f>
        <v>0</v>
      </c>
      <c r="L50" s="33" t="str">
        <f t="shared" si="0"/>
        <v>2022</v>
      </c>
      <c r="M50" s="33" t="str">
        <f t="shared" si="1"/>
        <v>TYPICAL</v>
      </c>
      <c r="N50" s="33" t="str">
        <f t="shared" si="2"/>
        <v xml:space="preserve">RIGID TRUCK </v>
      </c>
      <c r="O50" s="33" t="str">
        <f t="shared" si="3"/>
        <v>Electricity km/kWh</v>
      </c>
      <c r="P50" s="41">
        <f>+'BEV L1'!$B$71</f>
        <v>380500</v>
      </c>
      <c r="Q50" s="41">
        <f t="shared" si="4"/>
        <v>197500</v>
      </c>
      <c r="R50" s="41">
        <f>+'BEV L1'!$B$73</f>
        <v>99000</v>
      </c>
      <c r="S50" s="41">
        <f>+'BEV L1'!$B$72</f>
        <v>84000</v>
      </c>
      <c r="T50" s="37">
        <f>'[1]Test order'!M50</f>
        <v>18196.8</v>
      </c>
      <c r="U50" s="37">
        <f>+'BEV L1'!$B$7</f>
        <v>7796.8</v>
      </c>
      <c r="V50" s="33">
        <v>0</v>
      </c>
      <c r="W50" s="34">
        <f t="shared" si="7"/>
        <v>0.4132817956312369</v>
      </c>
      <c r="X50" s="34" t="str">
        <f t="shared" si="5"/>
        <v/>
      </c>
      <c r="Y50" s="42"/>
      <c r="Z50" s="34"/>
    </row>
    <row r="51" spans="1:26" x14ac:dyDescent="0.3">
      <c r="A51" s="33" t="str">
        <f>+'[1]Test order'!A51</f>
        <v>2022 RIGID TRUCK - TYPICAL</v>
      </c>
      <c r="B51" s="33" t="str">
        <f>+'[1]Test order'!B51</f>
        <v>REGIONAL DELIVERY</v>
      </c>
      <c r="C51" s="33" t="str">
        <f>+'[1]Test order'!C51</f>
        <v>Electric 290 kW</v>
      </c>
      <c r="D51" s="33" t="str">
        <f>+'[1]Test order'!D51</f>
        <v>Electricity</v>
      </c>
      <c r="E51" s="34">
        <f>+'[1]Test order'!E51</f>
        <v>3.4908199112400422</v>
      </c>
      <c r="F51" s="34">
        <f>+'[1]Test order'!F51</f>
        <v>2.2336827516555786</v>
      </c>
      <c r="G51" s="38">
        <f>+'[1]Test order'!G51</f>
        <v>0.63987338460611354</v>
      </c>
      <c r="H51" s="39">
        <f>+'[1]Test order'!H51</f>
        <v>1.0312763452529907</v>
      </c>
      <c r="I51" s="33" t="str">
        <f>+'[1]Test order'!I51</f>
        <v>km/kWh</v>
      </c>
      <c r="J51" s="33" t="str">
        <f>+'[1]Test order'!J51</f>
        <v>Electricity 2022 RIGID TRUCK - TYPICAL Electric 290 kW REGIONAL DELIVERY 18196.8 kg 97.0 kWh /100km 64%</v>
      </c>
      <c r="K51" s="33">
        <f>+'[1]Test order'!K51</f>
        <v>0</v>
      </c>
      <c r="L51" s="33" t="str">
        <f t="shared" si="0"/>
        <v>2022</v>
      </c>
      <c r="M51" s="33" t="str">
        <f t="shared" si="1"/>
        <v>TYPICAL</v>
      </c>
      <c r="N51" s="33" t="str">
        <f t="shared" si="2"/>
        <v xml:space="preserve">RIGID TRUCK </v>
      </c>
      <c r="O51" s="33" t="str">
        <f t="shared" si="3"/>
        <v>Electricity km/kWh</v>
      </c>
      <c r="P51" s="41">
        <f>+'BEV L1'!$B$71</f>
        <v>380500</v>
      </c>
      <c r="Q51" s="41">
        <f t="shared" si="4"/>
        <v>197500</v>
      </c>
      <c r="R51" s="41">
        <f>+'BEV L1'!$B$73</f>
        <v>99000</v>
      </c>
      <c r="S51" s="41">
        <f>+'BEV L1'!$B$72</f>
        <v>84000</v>
      </c>
      <c r="T51" s="37">
        <f>'[1]Test order'!M51</f>
        <v>18196.8</v>
      </c>
      <c r="U51" s="37">
        <f>+'BEV L1'!$B$7</f>
        <v>7796.8</v>
      </c>
      <c r="V51" s="33">
        <v>0</v>
      </c>
      <c r="W51" s="34">
        <f t="shared" si="7"/>
        <v>0.44772469618818517</v>
      </c>
      <c r="X51" s="34" t="str">
        <f t="shared" si="5"/>
        <v/>
      </c>
      <c r="Y51" s="42"/>
      <c r="Z51" s="34"/>
    </row>
    <row r="52" spans="1:26" x14ac:dyDescent="0.3">
      <c r="A52" s="33" t="str">
        <f>+'[1]Test order'!A52</f>
        <v>2022 RIGID TRUCK - TYPICAL</v>
      </c>
      <c r="B52" s="33" t="str">
        <f>+'[1]Test order'!B52</f>
        <v>LONG HAUL</v>
      </c>
      <c r="C52" s="33" t="str">
        <f>+'[1]Test order'!C52</f>
        <v>Electric 290 kW</v>
      </c>
      <c r="D52" s="33" t="str">
        <f>+'[1]Test order'!D52</f>
        <v>Electricity</v>
      </c>
      <c r="E52" s="34">
        <f>+'[1]Test order'!E52</f>
        <v>3.6577556918915928</v>
      </c>
      <c r="F52" s="34">
        <f>+'[1]Test order'!F52</f>
        <v>2.6745550036430359</v>
      </c>
      <c r="G52" s="38">
        <f>+'[1]Test order'!G52</f>
        <v>0.73120110497590429</v>
      </c>
      <c r="H52" s="39">
        <f>+'[1]Test order'!H52</f>
        <v>0.98421007394790649</v>
      </c>
      <c r="I52" s="33" t="str">
        <f>+'[1]Test order'!I52</f>
        <v>km/kWh</v>
      </c>
      <c r="J52" s="33" t="str">
        <f>+'[1]Test order'!J52</f>
        <v>Electricity 2022 RIGID TRUCK - TYPICAL Electric 290 kW LONG HAUL 18196.8 kg 101.6 kWh /100km 73%</v>
      </c>
      <c r="K52" s="33">
        <f>+'[1]Test order'!K52</f>
        <v>0</v>
      </c>
      <c r="L52" s="33" t="str">
        <f t="shared" si="0"/>
        <v>2022</v>
      </c>
      <c r="M52" s="33" t="str">
        <f t="shared" si="1"/>
        <v>TYPICAL</v>
      </c>
      <c r="N52" s="33" t="str">
        <f t="shared" si="2"/>
        <v xml:space="preserve">RIGID TRUCK </v>
      </c>
      <c r="O52" s="33" t="str">
        <f t="shared" si="3"/>
        <v>Electricity km/kWh</v>
      </c>
      <c r="P52" s="41">
        <f>+'BEV L1'!$B$71</f>
        <v>380500</v>
      </c>
      <c r="Q52" s="41">
        <f t="shared" si="4"/>
        <v>197500</v>
      </c>
      <c r="R52" s="41">
        <f>+'BEV L1'!$B$73</f>
        <v>99000</v>
      </c>
      <c r="S52" s="41">
        <f>+'BEV L1'!$B$72</f>
        <v>84000</v>
      </c>
      <c r="T52" s="37">
        <f>'[1]Test order'!M52</f>
        <v>18196.8</v>
      </c>
      <c r="U52" s="37">
        <f>+'BEV L1'!$B$7</f>
        <v>7796.8</v>
      </c>
      <c r="V52" s="33">
        <v>0</v>
      </c>
      <c r="W52" s="34">
        <f t="shared" si="7"/>
        <v>0.46913550326949427</v>
      </c>
      <c r="X52" s="34" t="str">
        <f t="shared" si="5"/>
        <v/>
      </c>
      <c r="Y52" s="42"/>
      <c r="Z52" s="34"/>
    </row>
    <row r="53" spans="1:26" x14ac:dyDescent="0.3">
      <c r="A53" s="33" t="str">
        <f>+'[1]Test order'!A53</f>
        <v>2022 RIGID TRUCK - FULL</v>
      </c>
      <c r="B53" s="33" t="str">
        <f>+'[1]Test order'!B53</f>
        <v>URBAN DELIVERY</v>
      </c>
      <c r="C53" s="33" t="str">
        <f>+'[1]Test order'!C53</f>
        <v>Electric 290 kW</v>
      </c>
      <c r="D53" s="33" t="str">
        <f>+'[1]Test order'!D53</f>
        <v>Electricity</v>
      </c>
      <c r="E53" s="34">
        <f>+'[1]Test order'!E53</f>
        <v>4.8595668967126429</v>
      </c>
      <c r="F53" s="34">
        <f>+'[1]Test order'!F53</f>
        <v>1.9996832609176636</v>
      </c>
      <c r="G53" s="38">
        <f>+'[1]Test order'!G53</f>
        <v>0.41149413176519739</v>
      </c>
      <c r="H53" s="39">
        <f>+'[1]Test order'!H53</f>
        <v>0.74080675840377808</v>
      </c>
      <c r="I53" s="33" t="str">
        <f>+'[1]Test order'!I53</f>
        <v>km/kWh</v>
      </c>
      <c r="J53" s="33" t="str">
        <f>+'[1]Test order'!J53</f>
        <v>Electricity 2022 RIGID TRUCK - FULL Electric 290 kW URBAN DELIVERY 28000 kg 135.0 kWh /100km 41%</v>
      </c>
      <c r="K53" s="33">
        <f>+'[1]Test order'!K53</f>
        <v>0</v>
      </c>
      <c r="L53" s="33" t="str">
        <f t="shared" si="0"/>
        <v>2022</v>
      </c>
      <c r="M53" s="33" t="str">
        <f t="shared" si="1"/>
        <v>FULL</v>
      </c>
      <c r="N53" s="33" t="str">
        <f t="shared" si="2"/>
        <v xml:space="preserve">RIGID TRUCK </v>
      </c>
      <c r="O53" s="33" t="str">
        <f t="shared" si="3"/>
        <v>Electricity km/kWh</v>
      </c>
      <c r="P53" s="41">
        <f>+'BEV L1'!$B$71</f>
        <v>380500</v>
      </c>
      <c r="Q53" s="41">
        <f t="shared" si="4"/>
        <v>197500</v>
      </c>
      <c r="R53" s="41">
        <f>+'BEV L1'!$B$73</f>
        <v>99000</v>
      </c>
      <c r="S53" s="41">
        <f>+'BEV L1'!$B$72</f>
        <v>84000</v>
      </c>
      <c r="T53" s="37">
        <f>'[1]Test order'!M53</f>
        <v>28000</v>
      </c>
      <c r="U53" s="33">
        <f>+'BEV L1'!$B$4</f>
        <v>17600</v>
      </c>
      <c r="V53" s="33">
        <v>0</v>
      </c>
      <c r="W53" s="34">
        <f t="shared" si="7"/>
        <v>0.27611175549503653</v>
      </c>
      <c r="X53" s="34" t="str">
        <f t="shared" si="5"/>
        <v/>
      </c>
      <c r="Y53" s="42"/>
      <c r="Z53" s="34"/>
    </row>
    <row r="54" spans="1:26" x14ac:dyDescent="0.3">
      <c r="A54" s="33" t="str">
        <f>+'[1]Test order'!A54</f>
        <v>2022 RIGID TRUCK - FULL</v>
      </c>
      <c r="B54" s="33" t="str">
        <f>+'[1]Test order'!B54</f>
        <v>REGIONAL DELIVERY</v>
      </c>
      <c r="C54" s="33" t="str">
        <f>+'[1]Test order'!C54</f>
        <v>Electric 290 kW</v>
      </c>
      <c r="D54" s="33" t="str">
        <f>+'[1]Test order'!D54</f>
        <v>Electricity</v>
      </c>
      <c r="E54" s="34">
        <f>+'[1]Test order'!E54</f>
        <v>4.45613997706044</v>
      </c>
      <c r="F54" s="34">
        <f>+'[1]Test order'!F54</f>
        <v>2.7101609706878662</v>
      </c>
      <c r="G54" s="38">
        <f>+'[1]Test order'!G54</f>
        <v>0.60818578066204843</v>
      </c>
      <c r="H54" s="39">
        <f>+'[1]Test order'!H54</f>
        <v>0.80787408351898193</v>
      </c>
      <c r="I54" s="33" t="str">
        <f>+'[1]Test order'!I54</f>
        <v>km/kWh</v>
      </c>
      <c r="J54" s="33" t="str">
        <f>+'[1]Test order'!J54</f>
        <v>Electricity 2022 RIGID TRUCK - FULL Electric 290 kW REGIONAL DELIVERY 28000 kg 123.8 kWh /100km 61%</v>
      </c>
      <c r="K54" s="33">
        <f>+'[1]Test order'!K54</f>
        <v>0</v>
      </c>
      <c r="L54" s="33" t="str">
        <f t="shared" si="0"/>
        <v>2022</v>
      </c>
      <c r="M54" s="33" t="str">
        <f t="shared" si="1"/>
        <v>FULL</v>
      </c>
      <c r="N54" s="33" t="str">
        <f t="shared" si="2"/>
        <v xml:space="preserve">RIGID TRUCK </v>
      </c>
      <c r="O54" s="33" t="str">
        <f t="shared" si="3"/>
        <v>Electricity km/kWh</v>
      </c>
      <c r="P54" s="41">
        <f>+'BEV L1'!$B$71</f>
        <v>380500</v>
      </c>
      <c r="Q54" s="41">
        <f t="shared" si="4"/>
        <v>197500</v>
      </c>
      <c r="R54" s="41">
        <f>+'BEV L1'!$B$73</f>
        <v>99000</v>
      </c>
      <c r="S54" s="41">
        <f>+'BEV L1'!$B$72</f>
        <v>84000</v>
      </c>
      <c r="T54" s="37">
        <f>'[1]Test order'!M54</f>
        <v>28000</v>
      </c>
      <c r="U54" s="33">
        <f>+'BEV L1'!$B$4</f>
        <v>17600</v>
      </c>
      <c r="V54" s="33">
        <v>0</v>
      </c>
      <c r="W54" s="34">
        <f t="shared" si="7"/>
        <v>0.25318977142388865</v>
      </c>
      <c r="X54" s="34" t="str">
        <f t="shared" si="5"/>
        <v/>
      </c>
      <c r="Y54" s="42"/>
      <c r="Z54" s="34"/>
    </row>
    <row r="55" spans="1:26" x14ac:dyDescent="0.3">
      <c r="A55" s="33" t="str">
        <f>+'[1]Test order'!A55</f>
        <v>2022 RIGID TRUCK - FULL</v>
      </c>
      <c r="B55" s="33" t="str">
        <f>+'[1]Test order'!B55</f>
        <v>LONG HAUL</v>
      </c>
      <c r="C55" s="33" t="str">
        <f>+'[1]Test order'!C55</f>
        <v>Electric 290 kW</v>
      </c>
      <c r="D55" s="33" t="str">
        <f>+'[1]Test order'!D55</f>
        <v>Electricity</v>
      </c>
      <c r="E55" s="34">
        <f>+'[1]Test order'!E55</f>
        <v>4.2862612707075405</v>
      </c>
      <c r="F55" s="34">
        <f>+'[1]Test order'!F55</f>
        <v>3.1553997993469238</v>
      </c>
      <c r="G55" s="38">
        <f>+'[1]Test order'!G55</f>
        <v>0.73616599643867642</v>
      </c>
      <c r="H55" s="39">
        <f>+'[1]Test order'!H55</f>
        <v>0.83989280462265015</v>
      </c>
      <c r="I55" s="33" t="str">
        <f>+'[1]Test order'!I55</f>
        <v>km/kWh</v>
      </c>
      <c r="J55" s="33" t="str">
        <f>+'[1]Test order'!J55</f>
        <v>Electricity 2022 RIGID TRUCK - FULL Electric 290 kW LONG HAUL 28000 kg 119.1 kWh /100km 74%</v>
      </c>
      <c r="K55" s="33">
        <f>+'[1]Test order'!K55</f>
        <v>0</v>
      </c>
      <c r="L55" s="33" t="str">
        <f t="shared" si="0"/>
        <v>2022</v>
      </c>
      <c r="M55" s="33" t="str">
        <f t="shared" si="1"/>
        <v>FULL</v>
      </c>
      <c r="N55" s="33" t="str">
        <f t="shared" si="2"/>
        <v xml:space="preserve">RIGID TRUCK </v>
      </c>
      <c r="O55" s="33" t="str">
        <f t="shared" si="3"/>
        <v>Electricity km/kWh</v>
      </c>
      <c r="P55" s="41">
        <f>+'BEV L1'!$B$71</f>
        <v>380500</v>
      </c>
      <c r="Q55" s="41">
        <f t="shared" si="4"/>
        <v>197500</v>
      </c>
      <c r="R55" s="41">
        <f>+'BEV L1'!$B$73</f>
        <v>99000</v>
      </c>
      <c r="S55" s="41">
        <f>+'BEV L1'!$B$72</f>
        <v>84000</v>
      </c>
      <c r="T55" s="37">
        <f>'[1]Test order'!M55</f>
        <v>28000</v>
      </c>
      <c r="U55" s="33">
        <f>+'BEV L1'!$B$4</f>
        <v>17600</v>
      </c>
      <c r="V55" s="33">
        <v>0</v>
      </c>
      <c r="W55" s="34">
        <f t="shared" si="7"/>
        <v>0.24353757219929206</v>
      </c>
      <c r="X55" s="34" t="str">
        <f t="shared" si="5"/>
        <v/>
      </c>
      <c r="Y55" s="42"/>
      <c r="Z55" s="34"/>
    </row>
    <row r="56" spans="1:26" x14ac:dyDescent="0.3">
      <c r="A56" s="33" t="str">
        <f>+'[1]Test order'!A56</f>
        <v>2022 TRUCK WITH TRAILER - EMPTY</v>
      </c>
      <c r="B56" s="33" t="str">
        <f>+'[1]Test order'!B56</f>
        <v>URBAN DELIVERY</v>
      </c>
      <c r="C56" s="33" t="str">
        <f>+'[1]Test order'!C56</f>
        <v>Electric 290 kW</v>
      </c>
      <c r="D56" s="33" t="str">
        <f>+'[1]Test order'!D56</f>
        <v>Electricity</v>
      </c>
      <c r="E56" s="34">
        <f>+'[1]Test order'!E56</f>
        <v>2.9132879803456451</v>
      </c>
      <c r="F56" s="34">
        <f>+'[1]Test order'!F56</f>
        <v>1.5368446111679077</v>
      </c>
      <c r="G56" s="38">
        <f>+'[1]Test order'!G56</f>
        <v>0.5275292458336267</v>
      </c>
      <c r="H56" s="39">
        <f>+'[1]Test order'!H56</f>
        <v>1.2357171773910522</v>
      </c>
      <c r="I56" s="33" t="str">
        <f>+'[1]Test order'!I56</f>
        <v>km/kWh</v>
      </c>
      <c r="J56" s="33" t="str">
        <f>+'[1]Test order'!J56</f>
        <v>Electricity 2022 TRUCK WITH TRAILER - EMPTY Electric 290 kW URBAN DELIVERY 15196.73931275 kg 80.9 kWh /100km 53%</v>
      </c>
      <c r="K56" s="33">
        <f>+'[1]Test order'!K56</f>
        <v>0</v>
      </c>
      <c r="L56" s="33" t="str">
        <f t="shared" si="0"/>
        <v>2022</v>
      </c>
      <c r="M56" s="33" t="str">
        <f t="shared" si="1"/>
        <v>EMPTY</v>
      </c>
      <c r="N56" s="33" t="str">
        <f t="shared" si="2"/>
        <v xml:space="preserve">TRUCK WITH TRAILER </v>
      </c>
      <c r="O56" s="33" t="str">
        <f t="shared" si="3"/>
        <v>Electricity km/kWh</v>
      </c>
      <c r="P56" s="41">
        <f>+'BEV L2'!$B$71</f>
        <v>405300.5319148936</v>
      </c>
      <c r="Q56" s="41">
        <f t="shared" si="4"/>
        <v>123300.5319148936</v>
      </c>
      <c r="R56" s="41">
        <f>+'BEV L2'!$B$73</f>
        <v>147000</v>
      </c>
      <c r="S56" s="41">
        <f>+'BEV L2'!$B$72</f>
        <v>135000</v>
      </c>
      <c r="T56" s="37">
        <f>'[1]Test order'!M56</f>
        <v>15196.73931275</v>
      </c>
      <c r="U56" s="33">
        <v>0</v>
      </c>
      <c r="V56" s="33">
        <v>0</v>
      </c>
      <c r="W56" s="34" t="e">
        <f t="shared" si="7"/>
        <v>#N/A</v>
      </c>
      <c r="X56" s="34" t="str">
        <f t="shared" si="5"/>
        <v/>
      </c>
      <c r="Y56" s="42"/>
      <c r="Z56" s="34"/>
    </row>
    <row r="57" spans="1:26" x14ac:dyDescent="0.3">
      <c r="A57" s="33" t="str">
        <f>+'[1]Test order'!A57</f>
        <v>2022 TRUCK WITH TRAILER - EMPTY</v>
      </c>
      <c r="B57" s="33" t="str">
        <f>+'[1]Test order'!B57</f>
        <v>REGIONAL DELIVERY</v>
      </c>
      <c r="C57" s="33" t="str">
        <f>+'[1]Test order'!C57</f>
        <v>Electric 290 kW</v>
      </c>
      <c r="D57" s="33" t="str">
        <f>+'[1]Test order'!D57</f>
        <v>Electricity</v>
      </c>
      <c r="E57" s="34">
        <f>+'[1]Test order'!E57</f>
        <v>3.5467547575377227</v>
      </c>
      <c r="F57" s="34">
        <f>+'[1]Test order'!F57</f>
        <v>2.3646531701087952</v>
      </c>
      <c r="G57" s="38">
        <f>+'[1]Test order'!G57</f>
        <v>0.66670895840298172</v>
      </c>
      <c r="H57" s="39">
        <f>+'[1]Test order'!H57</f>
        <v>1.0150123834609985</v>
      </c>
      <c r="I57" s="33" t="str">
        <f>+'[1]Test order'!I57</f>
        <v>km/kWh</v>
      </c>
      <c r="J57" s="33" t="str">
        <f>+'[1]Test order'!J57</f>
        <v>Electricity 2022 TRUCK WITH TRAILER - EMPTY Electric 290 kW REGIONAL DELIVERY 15196.73931275 kg 98.5 kWh /100km 67%</v>
      </c>
      <c r="K57" s="33">
        <f>+'[1]Test order'!K57</f>
        <v>0</v>
      </c>
      <c r="L57" s="33" t="str">
        <f t="shared" si="0"/>
        <v>2022</v>
      </c>
      <c r="M57" s="33" t="str">
        <f t="shared" si="1"/>
        <v>EMPTY</v>
      </c>
      <c r="N57" s="33" t="str">
        <f t="shared" si="2"/>
        <v xml:space="preserve">TRUCK WITH TRAILER </v>
      </c>
      <c r="O57" s="33" t="str">
        <f t="shared" si="3"/>
        <v>Electricity km/kWh</v>
      </c>
      <c r="P57" s="41">
        <f>+'BEV L2'!$B$71</f>
        <v>405300.5319148936</v>
      </c>
      <c r="Q57" s="41">
        <f t="shared" si="4"/>
        <v>123300.5319148936</v>
      </c>
      <c r="R57" s="41">
        <f>+'BEV L2'!$B$73</f>
        <v>147000</v>
      </c>
      <c r="S57" s="41">
        <f>+'BEV L2'!$B$72</f>
        <v>135000</v>
      </c>
      <c r="T57" s="37">
        <f>'[1]Test order'!M57</f>
        <v>15196.73931275</v>
      </c>
      <c r="U57" s="33">
        <v>0</v>
      </c>
      <c r="V57" s="33">
        <v>0</v>
      </c>
      <c r="W57" s="34" t="e">
        <f t="shared" si="7"/>
        <v>#N/A</v>
      </c>
      <c r="X57" s="34" t="str">
        <f t="shared" si="5"/>
        <v/>
      </c>
      <c r="Y57" s="42"/>
      <c r="Z57" s="34"/>
    </row>
    <row r="58" spans="1:26" x14ac:dyDescent="0.3">
      <c r="A58" s="33" t="str">
        <f>+'[1]Test order'!A58</f>
        <v>2022 TRUCK WITH TRAILER - EMPTY</v>
      </c>
      <c r="B58" s="33" t="str">
        <f>+'[1]Test order'!B58</f>
        <v>LONG HAUL</v>
      </c>
      <c r="C58" s="33" t="str">
        <f>+'[1]Test order'!C58</f>
        <v>Electric 290 kW</v>
      </c>
      <c r="D58" s="33" t="str">
        <f>+'[1]Test order'!D58</f>
        <v>Electricity</v>
      </c>
      <c r="E58" s="34">
        <f>+'[1]Test order'!E58</f>
        <v>3.9179894280802365</v>
      </c>
      <c r="F58" s="34">
        <f>+'[1]Test order'!F58</f>
        <v>2.8960788249969482</v>
      </c>
      <c r="G58" s="38">
        <f>+'[1]Test order'!G58</f>
        <v>0.73917474208601652</v>
      </c>
      <c r="H58" s="39">
        <f>+'[1]Test order'!H58</f>
        <v>0.91883862018585205</v>
      </c>
      <c r="I58" s="33" t="str">
        <f>+'[1]Test order'!I58</f>
        <v>km/kWh</v>
      </c>
      <c r="J58" s="33" t="str">
        <f>+'[1]Test order'!J58</f>
        <v>Electricity 2022 TRUCK WITH TRAILER - EMPTY Electric 290 kW LONG HAUL 15196.73931275 kg 108.8 kWh /100km 74%</v>
      </c>
      <c r="K58" s="33">
        <f>+'[1]Test order'!K58</f>
        <v>0</v>
      </c>
      <c r="L58" s="33" t="str">
        <f t="shared" si="0"/>
        <v>2022</v>
      </c>
      <c r="M58" s="33" t="str">
        <f t="shared" si="1"/>
        <v>EMPTY</v>
      </c>
      <c r="N58" s="33" t="str">
        <f t="shared" si="2"/>
        <v xml:space="preserve">TRUCK WITH TRAILER </v>
      </c>
      <c r="O58" s="33" t="str">
        <f t="shared" si="3"/>
        <v>Electricity km/kWh</v>
      </c>
      <c r="P58" s="41">
        <f>+'BEV L2'!$B$71</f>
        <v>405300.5319148936</v>
      </c>
      <c r="Q58" s="41">
        <f t="shared" si="4"/>
        <v>123300.5319148936</v>
      </c>
      <c r="R58" s="41">
        <f>+'BEV L2'!$B$73</f>
        <v>147000</v>
      </c>
      <c r="S58" s="41">
        <f>+'BEV L2'!$B$72</f>
        <v>135000</v>
      </c>
      <c r="T58" s="37">
        <f>'[1]Test order'!M58</f>
        <v>15196.73931275</v>
      </c>
      <c r="U58" s="33">
        <v>0</v>
      </c>
      <c r="V58" s="33">
        <v>0</v>
      </c>
      <c r="W58" s="34" t="e">
        <f t="shared" si="7"/>
        <v>#N/A</v>
      </c>
      <c r="X58" s="34" t="str">
        <f t="shared" si="5"/>
        <v/>
      </c>
      <c r="Y58" s="42"/>
      <c r="Z58" s="34"/>
    </row>
    <row r="59" spans="1:26" x14ac:dyDescent="0.3">
      <c r="A59" s="33" t="str">
        <f>+'[1]Test order'!A59</f>
        <v>2022 TRUCK WITH TRAILER - TYPICAL</v>
      </c>
      <c r="B59" s="33" t="str">
        <f>+'[1]Test order'!B59</f>
        <v>URBAN DELIVERY</v>
      </c>
      <c r="C59" s="33" t="str">
        <f>+'[1]Test order'!C59</f>
        <v>Electric 290 kW</v>
      </c>
      <c r="D59" s="33" t="str">
        <f>+'[1]Test order'!D59</f>
        <v>Electricity</v>
      </c>
      <c r="E59" s="34">
        <f>+'[1]Test order'!E59</f>
        <v>6.9348528671180283</v>
      </c>
      <c r="F59" s="34">
        <f>+'[1]Test order'!F59</f>
        <v>2.6430374979972839</v>
      </c>
      <c r="G59" s="38">
        <f>+'[1]Test order'!G59</f>
        <v>0.38112380300516341</v>
      </c>
      <c r="H59" s="39">
        <f>+'[1]Test order'!H59</f>
        <v>0.51911699771881104</v>
      </c>
      <c r="I59" s="33" t="str">
        <f>+'[1]Test order'!I59</f>
        <v>km/kWh</v>
      </c>
      <c r="J59" s="33" t="str">
        <f>+'[1]Test order'!J59</f>
        <v>Electricity 2022 TRUCK WITH TRAILER - TYPICAL Electric 290 kW URBAN DELIVERY 39380.5816010463 kg 192.6 kWh /100km 38%</v>
      </c>
      <c r="K59" s="33">
        <f>+'[1]Test order'!K59</f>
        <v>0</v>
      </c>
      <c r="L59" s="33" t="str">
        <f t="shared" si="0"/>
        <v>2022</v>
      </c>
      <c r="M59" s="33" t="str">
        <f t="shared" si="1"/>
        <v>TYPICAL</v>
      </c>
      <c r="N59" s="33" t="str">
        <f t="shared" si="2"/>
        <v xml:space="preserve">TRUCK WITH TRAILER </v>
      </c>
      <c r="O59" s="33" t="str">
        <f t="shared" si="3"/>
        <v>Electricity km/kWh</v>
      </c>
      <c r="P59" s="41">
        <f>+'BEV L2'!$B$71</f>
        <v>405300.5319148936</v>
      </c>
      <c r="Q59" s="41">
        <f t="shared" si="4"/>
        <v>123300.5319148936</v>
      </c>
      <c r="R59" s="41">
        <f>+'BEV L2'!$B$73</f>
        <v>147000</v>
      </c>
      <c r="S59" s="41">
        <f>+'BEV L2'!$B$72</f>
        <v>135000</v>
      </c>
      <c r="T59" s="37">
        <f>'[1]Test order'!M59</f>
        <v>39380.581601046251</v>
      </c>
      <c r="U59" s="37">
        <f>+'BEV L2'!$B$7</f>
        <v>24183.842288296251</v>
      </c>
      <c r="V59" s="33">
        <v>0</v>
      </c>
      <c r="W59" s="34">
        <f t="shared" si="7"/>
        <v>0.28675562735017268</v>
      </c>
      <c r="X59" s="34" t="str">
        <f t="shared" si="5"/>
        <v/>
      </c>
      <c r="Y59" s="42"/>
      <c r="Z59" s="34"/>
    </row>
    <row r="60" spans="1:26" x14ac:dyDescent="0.3">
      <c r="A60" s="33" t="str">
        <f>+'[1]Test order'!A60</f>
        <v>2022 TRUCK WITH TRAILER - TYPICAL</v>
      </c>
      <c r="B60" s="33" t="str">
        <f>+'[1]Test order'!B60</f>
        <v>REGIONAL DELIVERY</v>
      </c>
      <c r="C60" s="33" t="str">
        <f>+'[1]Test order'!C60</f>
        <v>Electric 290 kW</v>
      </c>
      <c r="D60" s="33" t="str">
        <f>+'[1]Test order'!D60</f>
        <v>Electricity</v>
      </c>
      <c r="E60" s="34">
        <f>+'[1]Test order'!E60</f>
        <v>5.9467290713418715</v>
      </c>
      <c r="F60" s="34">
        <f>+'[1]Test order'!F60</f>
        <v>3.5328643321990967</v>
      </c>
      <c r="G60" s="38">
        <f>+'[1]Test order'!G60</f>
        <v>0.59408530131706683</v>
      </c>
      <c r="H60" s="39">
        <f>+'[1]Test order'!H60</f>
        <v>0.60537481307983398</v>
      </c>
      <c r="I60" s="33" t="str">
        <f>+'[1]Test order'!I60</f>
        <v>km/kWh</v>
      </c>
      <c r="J60" s="33" t="str">
        <f>+'[1]Test order'!J60</f>
        <v>Electricity 2022 TRUCK WITH TRAILER - TYPICAL Electric 290 kW REGIONAL DELIVERY 39380.5816010463 kg 165.2 kWh /100km 59%</v>
      </c>
      <c r="K60" s="33">
        <f>+'[1]Test order'!K60</f>
        <v>0</v>
      </c>
      <c r="L60" s="33" t="str">
        <f t="shared" si="0"/>
        <v>2022</v>
      </c>
      <c r="M60" s="33" t="str">
        <f t="shared" si="1"/>
        <v>TYPICAL</v>
      </c>
      <c r="N60" s="33" t="str">
        <f t="shared" si="2"/>
        <v xml:space="preserve">TRUCK WITH TRAILER </v>
      </c>
      <c r="O60" s="33" t="str">
        <f t="shared" si="3"/>
        <v>Electricity km/kWh</v>
      </c>
      <c r="P60" s="41">
        <f>+'BEV L2'!$B$71</f>
        <v>405300.5319148936</v>
      </c>
      <c r="Q60" s="41">
        <f t="shared" si="4"/>
        <v>123300.5319148936</v>
      </c>
      <c r="R60" s="41">
        <f>+'BEV L2'!$B$73</f>
        <v>147000</v>
      </c>
      <c r="S60" s="41">
        <f>+'BEV L2'!$B$72</f>
        <v>135000</v>
      </c>
      <c r="T60" s="37">
        <f>'[1]Test order'!M60</f>
        <v>39380.581601046251</v>
      </c>
      <c r="U60" s="37">
        <f>+'BEV L2'!$B$7</f>
        <v>24183.842288296251</v>
      </c>
      <c r="V60" s="33">
        <v>0</v>
      </c>
      <c r="W60" s="34">
        <f t="shared" si="7"/>
        <v>0.2458967851531097</v>
      </c>
      <c r="X60" s="34" t="str">
        <f t="shared" si="5"/>
        <v/>
      </c>
      <c r="Y60" s="42"/>
      <c r="Z60" s="34"/>
    </row>
    <row r="61" spans="1:26" x14ac:dyDescent="0.3">
      <c r="A61" s="33" t="str">
        <f>+'[1]Test order'!A61</f>
        <v>2022 TRUCK WITH TRAILER - TYPICAL</v>
      </c>
      <c r="B61" s="33" t="str">
        <f>+'[1]Test order'!B61</f>
        <v>LONG HAUL</v>
      </c>
      <c r="C61" s="33" t="str">
        <f>+'[1]Test order'!C61</f>
        <v>Electric 290 kW</v>
      </c>
      <c r="D61" s="33" t="str">
        <f>+'[1]Test order'!D61</f>
        <v>Electricity</v>
      </c>
      <c r="E61" s="34">
        <f>+'[1]Test order'!E61</f>
        <v>5.4654050086684771</v>
      </c>
      <c r="F61" s="34">
        <f>+'[1]Test order'!F61</f>
        <v>4.0819934606552124</v>
      </c>
      <c r="G61" s="38">
        <f>+'[1]Test order'!G61</f>
        <v>0.74687849375863513</v>
      </c>
      <c r="H61" s="39">
        <f>+'[1]Test order'!H61</f>
        <v>0.65868860483169556</v>
      </c>
      <c r="I61" s="33" t="str">
        <f>+'[1]Test order'!I61</f>
        <v>km/kWh</v>
      </c>
      <c r="J61" s="33" t="str">
        <f>+'[1]Test order'!J61</f>
        <v>Electricity 2022 TRUCK WITH TRAILER - TYPICAL Electric 290 kW LONG HAUL 39380.5816010463 kg 151.8 kWh /100km 75%</v>
      </c>
      <c r="K61" s="33">
        <f>+'[1]Test order'!K61</f>
        <v>0</v>
      </c>
      <c r="L61" s="33" t="str">
        <f t="shared" si="0"/>
        <v>2022</v>
      </c>
      <c r="M61" s="33" t="str">
        <f t="shared" si="1"/>
        <v>TYPICAL</v>
      </c>
      <c r="N61" s="33" t="str">
        <f t="shared" si="2"/>
        <v xml:space="preserve">TRUCK WITH TRAILER </v>
      </c>
      <c r="O61" s="33" t="str">
        <f t="shared" si="3"/>
        <v>Electricity km/kWh</v>
      </c>
      <c r="P61" s="41">
        <f>+'BEV L2'!$B$71</f>
        <v>405300.5319148936</v>
      </c>
      <c r="Q61" s="41">
        <f t="shared" si="4"/>
        <v>123300.5319148936</v>
      </c>
      <c r="R61" s="41">
        <f>+'BEV L2'!$B$73</f>
        <v>147000</v>
      </c>
      <c r="S61" s="41">
        <f>+'BEV L2'!$B$72</f>
        <v>135000</v>
      </c>
      <c r="T61" s="37">
        <f>'[1]Test order'!M61</f>
        <v>39380.581601046251</v>
      </c>
      <c r="U61" s="37">
        <f>+'BEV L2'!$B$7</f>
        <v>24183.842288296251</v>
      </c>
      <c r="V61" s="33">
        <v>0</v>
      </c>
      <c r="W61" s="34">
        <f t="shared" si="7"/>
        <v>0.22599407255121964</v>
      </c>
      <c r="X61" s="34" t="str">
        <f t="shared" si="5"/>
        <v/>
      </c>
      <c r="Y61" s="42"/>
      <c r="Z61" s="34"/>
    </row>
    <row r="62" spans="1:26" x14ac:dyDescent="0.3">
      <c r="A62" s="33" t="str">
        <f>+'[1]Test order'!A62</f>
        <v>2022 TRUCK WITH TRAILER - FULL</v>
      </c>
      <c r="B62" s="33" t="str">
        <f>+'[1]Test order'!B62</f>
        <v>URBAN DELIVERY</v>
      </c>
      <c r="C62" s="33" t="str">
        <f>+'[1]Test order'!C62</f>
        <v>Electric 290 kW</v>
      </c>
      <c r="D62" s="33" t="str">
        <f>+'[1]Test order'!D62</f>
        <v>Electricity</v>
      </c>
      <c r="E62" s="34">
        <f>+'[1]Test order'!E62</f>
        <v>9.8002614842749622</v>
      </c>
      <c r="F62" s="34">
        <f>+'[1]Test order'!F62</f>
        <v>3.4799278974533081</v>
      </c>
      <c r="G62" s="38">
        <f>+'[1]Test order'!G62</f>
        <v>0.35508520900560014</v>
      </c>
      <c r="H62" s="39">
        <f>+'[1]Test order'!H62</f>
        <v>0.36733713746070862</v>
      </c>
      <c r="I62" s="33" t="str">
        <f>+'[1]Test order'!I62</f>
        <v>km/kWh</v>
      </c>
      <c r="J62" s="33" t="str">
        <f>+'[1]Test order'!J62</f>
        <v>Electricity 2022 TRUCK WITH TRAILER - FULL Electric 290 kW URBAN DELIVERY 58000 kg 272.2 kWh /100km 36%</v>
      </c>
      <c r="K62" s="33">
        <f>+'[1]Test order'!K62</f>
        <v>0</v>
      </c>
      <c r="L62" s="33" t="str">
        <f t="shared" si="0"/>
        <v>2022</v>
      </c>
      <c r="M62" s="33" t="str">
        <f t="shared" si="1"/>
        <v>FULL</v>
      </c>
      <c r="N62" s="33" t="str">
        <f t="shared" si="2"/>
        <v xml:space="preserve">TRUCK WITH TRAILER </v>
      </c>
      <c r="O62" s="33" t="str">
        <f t="shared" si="3"/>
        <v>Electricity km/kWh</v>
      </c>
      <c r="P62" s="41">
        <f>+'BEV L2'!$B$71</f>
        <v>405300.5319148936</v>
      </c>
      <c r="Q62" s="41">
        <f t="shared" si="4"/>
        <v>123300.5319148936</v>
      </c>
      <c r="R62" s="41">
        <f>+'BEV L2'!$B$73</f>
        <v>147000</v>
      </c>
      <c r="S62" s="41">
        <f>+'BEV L2'!$B$72</f>
        <v>135000</v>
      </c>
      <c r="T62" s="37">
        <f>'[1]Test order'!M62</f>
        <v>58000</v>
      </c>
      <c r="U62" s="37">
        <f>+'BEV L2'!$B$4</f>
        <v>42803.260687250004</v>
      </c>
      <c r="V62" s="33">
        <v>0</v>
      </c>
      <c r="W62" s="34">
        <f t="shared" si="7"/>
        <v>0.22896062886148788</v>
      </c>
      <c r="X62" s="34" t="str">
        <f t="shared" si="5"/>
        <v/>
      </c>
      <c r="Y62" s="42"/>
      <c r="Z62" s="34"/>
    </row>
    <row r="63" spans="1:26" x14ac:dyDescent="0.3">
      <c r="A63" s="33" t="str">
        <f>+'[1]Test order'!A63</f>
        <v>2022 TRUCK WITH TRAILER - FULL</v>
      </c>
      <c r="B63" s="33" t="str">
        <f>+'[1]Test order'!B63</f>
        <v>REGIONAL DELIVERY</v>
      </c>
      <c r="C63" s="33" t="str">
        <f>+'[1]Test order'!C63</f>
        <v>Electric 290 kW</v>
      </c>
      <c r="D63" s="33" t="str">
        <f>+'[1]Test order'!D63</f>
        <v>Electricity</v>
      </c>
      <c r="E63" s="34">
        <f>+'[1]Test order'!E63</f>
        <v>7.7755181159546236</v>
      </c>
      <c r="F63" s="34">
        <f>+'[1]Test order'!F63</f>
        <v>4.4148313999176025</v>
      </c>
      <c r="G63" s="38">
        <f>+'[1]Test order'!G63</f>
        <v>0.56778613773129649</v>
      </c>
      <c r="H63" s="39">
        <f>+'[1]Test order'!H63</f>
        <v>0.46299165487289429</v>
      </c>
      <c r="I63" s="33" t="str">
        <f>+'[1]Test order'!I63</f>
        <v>km/kWh</v>
      </c>
      <c r="J63" s="33" t="str">
        <f>+'[1]Test order'!J63</f>
        <v>Electricity 2022 TRUCK WITH TRAILER - FULL Electric 290 kW REGIONAL DELIVERY 58000 kg 216.0 kWh /100km 57%</v>
      </c>
      <c r="K63" s="33">
        <f>+'[1]Test order'!K63</f>
        <v>0</v>
      </c>
      <c r="L63" s="33" t="str">
        <f t="shared" si="0"/>
        <v>2022</v>
      </c>
      <c r="M63" s="33" t="str">
        <f t="shared" si="1"/>
        <v>FULL</v>
      </c>
      <c r="N63" s="33" t="str">
        <f t="shared" si="2"/>
        <v xml:space="preserve">TRUCK WITH TRAILER </v>
      </c>
      <c r="O63" s="33" t="str">
        <f t="shared" si="3"/>
        <v>Electricity km/kWh</v>
      </c>
      <c r="P63" s="41">
        <f>+'BEV L2'!$B$71</f>
        <v>405300.5319148936</v>
      </c>
      <c r="Q63" s="41">
        <f t="shared" si="4"/>
        <v>123300.5319148936</v>
      </c>
      <c r="R63" s="41">
        <f>+'BEV L2'!$B$73</f>
        <v>147000</v>
      </c>
      <c r="S63" s="41">
        <f>+'BEV L2'!$B$72</f>
        <v>135000</v>
      </c>
      <c r="T63" s="37">
        <f>'[1]Test order'!M63</f>
        <v>58000</v>
      </c>
      <c r="U63" s="37">
        <f>+'BEV L2'!$B$4</f>
        <v>42803.260687250004</v>
      </c>
      <c r="V63" s="33">
        <v>0</v>
      </c>
      <c r="W63" s="34">
        <f t="shared" si="7"/>
        <v>0.18165714459858315</v>
      </c>
      <c r="X63" s="34" t="str">
        <f t="shared" si="5"/>
        <v/>
      </c>
      <c r="Y63" s="42"/>
      <c r="Z63" s="34"/>
    </row>
    <row r="64" spans="1:26" x14ac:dyDescent="0.3">
      <c r="A64" s="33" t="str">
        <f>+'[1]Test order'!A64</f>
        <v>2022 TRUCK WITH TRAILER - FULL</v>
      </c>
      <c r="B64" s="33" t="str">
        <f>+'[1]Test order'!B64</f>
        <v>LONG HAUL</v>
      </c>
      <c r="C64" s="33" t="str">
        <f>+'[1]Test order'!C64</f>
        <v>Electric 290 kW</v>
      </c>
      <c r="D64" s="33" t="str">
        <f>+'[1]Test order'!D64</f>
        <v>Electricity</v>
      </c>
      <c r="E64" s="34">
        <f>+'[1]Test order'!E64</f>
        <v>6.6682746431911992</v>
      </c>
      <c r="F64" s="34">
        <f>+'[1]Test order'!F64</f>
        <v>4.9936258792877197</v>
      </c>
      <c r="G64" s="38">
        <f>+'[1]Test order'!G64</f>
        <v>0.74886325871214388</v>
      </c>
      <c r="H64" s="39">
        <f>+'[1]Test order'!H64</f>
        <v>0.53986978530883789</v>
      </c>
      <c r="I64" s="33" t="str">
        <f>+'[1]Test order'!I64</f>
        <v>km/kWh</v>
      </c>
      <c r="J64" s="33" t="str">
        <f>+'[1]Test order'!J64</f>
        <v>Electricity 2022 TRUCK WITH TRAILER - FULL Electric 290 kW LONG HAUL 58000 kg 185.2 kWh /100km 75%</v>
      </c>
      <c r="K64" s="33">
        <f>+'[1]Test order'!K64</f>
        <v>0</v>
      </c>
      <c r="L64" s="33" t="str">
        <f t="shared" si="0"/>
        <v>2022</v>
      </c>
      <c r="M64" s="33" t="str">
        <f t="shared" si="1"/>
        <v>FULL</v>
      </c>
      <c r="N64" s="33" t="str">
        <f t="shared" si="2"/>
        <v xml:space="preserve">TRUCK WITH TRAILER </v>
      </c>
      <c r="O64" s="33" t="str">
        <f t="shared" si="3"/>
        <v>Electricity km/kWh</v>
      </c>
      <c r="P64" s="41">
        <f>+'BEV L2'!$B$71</f>
        <v>405300.5319148936</v>
      </c>
      <c r="Q64" s="41">
        <f t="shared" si="4"/>
        <v>123300.5319148936</v>
      </c>
      <c r="R64" s="41">
        <f>+'BEV L2'!$B$73</f>
        <v>147000</v>
      </c>
      <c r="S64" s="41">
        <f>+'BEV L2'!$B$72</f>
        <v>135000</v>
      </c>
      <c r="T64" s="37">
        <f>'[1]Test order'!M64</f>
        <v>58000</v>
      </c>
      <c r="U64" s="37">
        <f>+'BEV L2'!$B$4</f>
        <v>42803.260687250004</v>
      </c>
      <c r="V64" s="33">
        <v>0</v>
      </c>
      <c r="W64" s="34">
        <f t="shared" si="7"/>
        <v>0.15578894075183172</v>
      </c>
      <c r="X64" s="34" t="str">
        <f t="shared" si="5"/>
        <v/>
      </c>
      <c r="Y64" s="42"/>
      <c r="Z64" s="34"/>
    </row>
    <row r="65" spans="1:26" x14ac:dyDescent="0.3">
      <c r="A65" s="33" t="str">
        <f>+'[1]Test order'!A65</f>
        <v>2022 SEMI TRUCK - EMPTY</v>
      </c>
      <c r="B65" s="33" t="str">
        <f>+'[1]Test order'!B65</f>
        <v>URBAN DELIVERY</v>
      </c>
      <c r="C65" s="33" t="str">
        <f>+'[1]Test order'!C65</f>
        <v>Electric 290 kW</v>
      </c>
      <c r="D65" s="33" t="str">
        <f>+'[1]Test order'!D65</f>
        <v>Electricity</v>
      </c>
      <c r="E65" s="34">
        <f>+'[1]Test order'!E65</f>
        <v>2.9056210929753874</v>
      </c>
      <c r="F65" s="34">
        <f>+'[1]Test order'!F65</f>
        <v>1.4625987410545349</v>
      </c>
      <c r="G65" s="38">
        <f>+'[1]Test order'!G65</f>
        <v>0.50336870990870253</v>
      </c>
      <c r="H65" s="39">
        <f>+'[1]Test order'!H65</f>
        <v>1.2389777898788452</v>
      </c>
      <c r="I65" s="33" t="str">
        <f>+'[1]Test order'!I65</f>
        <v>km/kWh</v>
      </c>
      <c r="J65" s="33" t="str">
        <f>+'[1]Test order'!J65</f>
        <v>Electricity 2022 SEMI TRUCK - EMPTY Electric 290 kW URBAN DELIVERY 16000 kg 80.7 kWh /100km 50%</v>
      </c>
      <c r="K65" s="33">
        <f>+'[1]Test order'!K65</f>
        <v>0</v>
      </c>
      <c r="L65" s="33" t="str">
        <f t="shared" si="0"/>
        <v>2022</v>
      </c>
      <c r="M65" s="33" t="str">
        <f t="shared" si="1"/>
        <v>EMPTY</v>
      </c>
      <c r="N65" s="33" t="str">
        <f t="shared" si="2"/>
        <v xml:space="preserve">SEMI TRUCK </v>
      </c>
      <c r="O65" s="33" t="str">
        <f t="shared" si="3"/>
        <v>Electricity km/kWh</v>
      </c>
      <c r="P65" s="41">
        <f>+'BEV L3'!$B$71</f>
        <v>365406.91489361704</v>
      </c>
      <c r="Q65" s="41">
        <f t="shared" si="4"/>
        <v>95406.914893617039</v>
      </c>
      <c r="R65" s="41">
        <f>+'BEV L3'!$B$73</f>
        <v>120000</v>
      </c>
      <c r="S65" s="41">
        <f>+'BEV L3'!$B$72</f>
        <v>150000</v>
      </c>
      <c r="T65" s="37">
        <f>'[1]Test order'!M65</f>
        <v>16000</v>
      </c>
      <c r="U65" s="33">
        <v>0</v>
      </c>
      <c r="V65" s="33">
        <v>0</v>
      </c>
      <c r="W65" s="34" t="e">
        <f t="shared" si="7"/>
        <v>#N/A</v>
      </c>
      <c r="X65" s="34" t="str">
        <f t="shared" si="5"/>
        <v/>
      </c>
      <c r="Y65" s="42"/>
      <c r="Z65" s="34"/>
    </row>
    <row r="66" spans="1:26" x14ac:dyDescent="0.3">
      <c r="A66" s="33" t="str">
        <f>+'[1]Test order'!A66</f>
        <v>2022 SEMI TRUCK - EMPTY</v>
      </c>
      <c r="B66" s="33" t="str">
        <f>+'[1]Test order'!B66</f>
        <v>REGIONAL DELIVERY</v>
      </c>
      <c r="C66" s="33" t="str">
        <f>+'[1]Test order'!C66</f>
        <v>Electric 290 kW</v>
      </c>
      <c r="D66" s="33" t="str">
        <f>+'[1]Test order'!D66</f>
        <v>Electricity</v>
      </c>
      <c r="E66" s="34">
        <f>+'[1]Test order'!E66</f>
        <v>3.3435635188176409</v>
      </c>
      <c r="F66" s="34">
        <f>+'[1]Test order'!F66</f>
        <v>2.1726433038711548</v>
      </c>
      <c r="G66" s="38">
        <f>+'[1]Test order'!G66</f>
        <v>0.64979872272306949</v>
      </c>
      <c r="H66" s="39">
        <f>+'[1]Test order'!H66</f>
        <v>1.0766955614089966</v>
      </c>
      <c r="I66" s="33" t="str">
        <f>+'[1]Test order'!I66</f>
        <v>km/kWh</v>
      </c>
      <c r="J66" s="33" t="str">
        <f>+'[1]Test order'!J66</f>
        <v>Electricity 2022 SEMI TRUCK - EMPTY Electric 290 kW REGIONAL DELIVERY 16000 kg 92.9 kWh /100km 65%</v>
      </c>
      <c r="K66" s="33">
        <f>+'[1]Test order'!K66</f>
        <v>0</v>
      </c>
      <c r="L66" s="33" t="str">
        <f t="shared" ref="L66:L129" si="12">LEFT(A66,4)</f>
        <v>2022</v>
      </c>
      <c r="M66" s="33" t="str">
        <f t="shared" ref="M66:M129" si="13">RIGHT(A66,LEN(A66)-FIND("-",A66)-1)</f>
        <v>EMPTY</v>
      </c>
      <c r="N66" s="33" t="str">
        <f t="shared" ref="N66:N129" si="14">MID(LEFT(A66,FIND("-",A66)-1),6,20)</f>
        <v xml:space="preserve">SEMI TRUCK </v>
      </c>
      <c r="O66" s="33" t="str">
        <f t="shared" ref="O66:O129" si="15">_xlfn.TEXTJOIN(" ",FALSE,D66,I66)</f>
        <v>Electricity km/kWh</v>
      </c>
      <c r="P66" s="41">
        <f>+'BEV L3'!$B$71</f>
        <v>365406.91489361704</v>
      </c>
      <c r="Q66" s="41">
        <f t="shared" ref="Q66:Q129" si="16">+P66-R66-S66</f>
        <v>95406.914893617039</v>
      </c>
      <c r="R66" s="41">
        <f>+'BEV L3'!$B$73</f>
        <v>120000</v>
      </c>
      <c r="S66" s="41">
        <f>+'BEV L3'!$B$72</f>
        <v>150000</v>
      </c>
      <c r="T66" s="37">
        <f>'[1]Test order'!M66</f>
        <v>16000</v>
      </c>
      <c r="U66" s="33">
        <v>0</v>
      </c>
      <c r="V66" s="33">
        <v>0</v>
      </c>
      <c r="W66" s="34" t="e">
        <f t="shared" si="7"/>
        <v>#N/A</v>
      </c>
      <c r="X66" s="34" t="str">
        <f t="shared" ref="X66:X129" si="17">IF(V66&gt;0,E66/V66,"")</f>
        <v/>
      </c>
      <c r="Y66" s="42"/>
      <c r="Z66" s="34"/>
    </row>
    <row r="67" spans="1:26" x14ac:dyDescent="0.3">
      <c r="A67" s="33" t="str">
        <f>+'[1]Test order'!A67</f>
        <v>2022 SEMI TRUCK - EMPTY</v>
      </c>
      <c r="B67" s="33" t="str">
        <f>+'[1]Test order'!B67</f>
        <v>LONG HAUL</v>
      </c>
      <c r="C67" s="33" t="str">
        <f>+'[1]Test order'!C67</f>
        <v>Electric 290 kW</v>
      </c>
      <c r="D67" s="33" t="str">
        <f>+'[1]Test order'!D67</f>
        <v>Electricity</v>
      </c>
      <c r="E67" s="34">
        <f>+'[1]Test order'!E67</f>
        <v>3.5955710130598608</v>
      </c>
      <c r="F67" s="34">
        <f>+'[1]Test order'!F67</f>
        <v>2.6282345652580261</v>
      </c>
      <c r="G67" s="38">
        <f>+'[1]Test order'!G67</f>
        <v>0.73096444367577007</v>
      </c>
      <c r="H67" s="39">
        <f>+'[1]Test order'!H67</f>
        <v>1.0012317895889282</v>
      </c>
      <c r="I67" s="33" t="str">
        <f>+'[1]Test order'!I67</f>
        <v>km/kWh</v>
      </c>
      <c r="J67" s="33" t="str">
        <f>+'[1]Test order'!J67</f>
        <v>Electricity 2022 SEMI TRUCK - EMPTY Electric 290 kW LONG HAUL 16000 kg 99.9 kWh /100km 73%</v>
      </c>
      <c r="K67" s="33">
        <f>+'[1]Test order'!K67</f>
        <v>0</v>
      </c>
      <c r="L67" s="33" t="str">
        <f t="shared" si="12"/>
        <v>2022</v>
      </c>
      <c r="M67" s="33" t="str">
        <f t="shared" si="13"/>
        <v>EMPTY</v>
      </c>
      <c r="N67" s="33" t="str">
        <f t="shared" si="14"/>
        <v xml:space="preserve">SEMI TRUCK </v>
      </c>
      <c r="O67" s="33" t="str">
        <f t="shared" si="15"/>
        <v>Electricity km/kWh</v>
      </c>
      <c r="P67" s="41">
        <f>+'BEV L3'!$B$71</f>
        <v>365406.91489361704</v>
      </c>
      <c r="Q67" s="41">
        <f t="shared" si="16"/>
        <v>95406.914893617039</v>
      </c>
      <c r="R67" s="41">
        <f>+'BEV L3'!$B$73</f>
        <v>120000</v>
      </c>
      <c r="S67" s="41">
        <f>+'BEV L3'!$B$72</f>
        <v>150000</v>
      </c>
      <c r="T67" s="37">
        <f>'[1]Test order'!M67</f>
        <v>16000</v>
      </c>
      <c r="U67" s="33">
        <v>0</v>
      </c>
      <c r="V67" s="33">
        <v>0</v>
      </c>
      <c r="W67" s="34" t="e">
        <f t="shared" ref="W67:W130" si="18">IF(U67&gt;0,E67/U67*1000,NA())</f>
        <v>#N/A</v>
      </c>
      <c r="X67" s="34" t="str">
        <f t="shared" si="17"/>
        <v/>
      </c>
      <c r="Y67" s="42"/>
      <c r="Z67" s="34"/>
    </row>
    <row r="68" spans="1:26" x14ac:dyDescent="0.3">
      <c r="A68" s="33" t="str">
        <f>+'[1]Test order'!A68</f>
        <v>2022 SEMI TRUCK - TYPICAL</v>
      </c>
      <c r="B68" s="33" t="str">
        <f>+'[1]Test order'!B68</f>
        <v>URBAN DELIVERY</v>
      </c>
      <c r="C68" s="33" t="str">
        <f>+'[1]Test order'!C68</f>
        <v>Electric 290 kW</v>
      </c>
      <c r="D68" s="33" t="str">
        <f>+'[1]Test order'!D68</f>
        <v>Electricity</v>
      </c>
      <c r="E68" s="34">
        <f>+'[1]Test order'!E68</f>
        <v>6.3160147707669996</v>
      </c>
      <c r="F68" s="34">
        <f>+'[1]Test order'!F68</f>
        <v>2.4032187461853027</v>
      </c>
      <c r="G68" s="38">
        <f>+'[1]Test order'!G68</f>
        <v>0.38049606174265843</v>
      </c>
      <c r="H68" s="39">
        <f>+'[1]Test order'!H68</f>
        <v>0.56997966766357422</v>
      </c>
      <c r="I68" s="33" t="str">
        <f>+'[1]Test order'!I68</f>
        <v>km/kWh</v>
      </c>
      <c r="J68" s="33" t="str">
        <f>+'[1]Test order'!J68</f>
        <v>Electricity 2022 SEMI TRUCK - TYPICAL Electric 290 kW URBAN DELIVERY 36340 kg 175.4 kWh /100km 38%</v>
      </c>
      <c r="K68" s="33">
        <f>+'[1]Test order'!K68</f>
        <v>0</v>
      </c>
      <c r="L68" s="33" t="str">
        <f t="shared" si="12"/>
        <v>2022</v>
      </c>
      <c r="M68" s="33" t="str">
        <f t="shared" si="13"/>
        <v>TYPICAL</v>
      </c>
      <c r="N68" s="33" t="str">
        <f t="shared" si="14"/>
        <v xml:space="preserve">SEMI TRUCK </v>
      </c>
      <c r="O68" s="33" t="str">
        <f t="shared" si="15"/>
        <v>Electricity km/kWh</v>
      </c>
      <c r="P68" s="41">
        <f>+'BEV L3'!$B$71</f>
        <v>365406.91489361704</v>
      </c>
      <c r="Q68" s="41">
        <f t="shared" si="16"/>
        <v>95406.914893617039</v>
      </c>
      <c r="R68" s="41">
        <f>+'BEV L3'!$B$73</f>
        <v>120000</v>
      </c>
      <c r="S68" s="41">
        <f>+'BEV L3'!$B$72</f>
        <v>150000</v>
      </c>
      <c r="T68" s="37">
        <f>'[1]Test order'!M68</f>
        <v>36340</v>
      </c>
      <c r="U68" s="37">
        <f>+'BEV L3'!$B$7</f>
        <v>20339.999999999996</v>
      </c>
      <c r="V68" s="33">
        <v>0</v>
      </c>
      <c r="W68" s="34">
        <f t="shared" si="18"/>
        <v>0.31052186680270405</v>
      </c>
      <c r="X68" s="34" t="str">
        <f t="shared" si="17"/>
        <v/>
      </c>
      <c r="Y68" s="42"/>
      <c r="Z68" s="34"/>
    </row>
    <row r="69" spans="1:26" x14ac:dyDescent="0.3">
      <c r="A69" s="33" t="str">
        <f>+'[1]Test order'!A69</f>
        <v>2022 SEMI TRUCK - TYPICAL</v>
      </c>
      <c r="B69" s="33" t="str">
        <f>+'[1]Test order'!B69</f>
        <v>REGIONAL DELIVERY</v>
      </c>
      <c r="C69" s="33" t="str">
        <f>+'[1]Test order'!C69</f>
        <v>Electric 290 kW</v>
      </c>
      <c r="D69" s="33" t="str">
        <f>+'[1]Test order'!D69</f>
        <v>Electricity</v>
      </c>
      <c r="E69" s="34">
        <f>+'[1]Test order'!E69</f>
        <v>5.3698694891313847</v>
      </c>
      <c r="F69" s="34">
        <f>+'[1]Test order'!F69</f>
        <v>3.1590157747268677</v>
      </c>
      <c r="G69" s="38">
        <f>+'[1]Test order'!G69</f>
        <v>0.58828539150173298</v>
      </c>
      <c r="H69" s="39">
        <f>+'[1]Test order'!H69</f>
        <v>0.67040735483169556</v>
      </c>
      <c r="I69" s="33" t="str">
        <f>+'[1]Test order'!I69</f>
        <v>km/kWh</v>
      </c>
      <c r="J69" s="33" t="str">
        <f>+'[1]Test order'!J69</f>
        <v>Electricity 2022 SEMI TRUCK - TYPICAL Electric 290 kW REGIONAL DELIVERY 36340 kg 149.2 kWh /100km 59%</v>
      </c>
      <c r="K69" s="33">
        <f>+'[1]Test order'!K69</f>
        <v>0</v>
      </c>
      <c r="L69" s="33" t="str">
        <f t="shared" si="12"/>
        <v>2022</v>
      </c>
      <c r="M69" s="33" t="str">
        <f t="shared" si="13"/>
        <v>TYPICAL</v>
      </c>
      <c r="N69" s="33" t="str">
        <f t="shared" si="14"/>
        <v xml:space="preserve">SEMI TRUCK </v>
      </c>
      <c r="O69" s="33" t="str">
        <f t="shared" si="15"/>
        <v>Electricity km/kWh</v>
      </c>
      <c r="P69" s="41">
        <f>+'BEV L3'!$B$71</f>
        <v>365406.91489361704</v>
      </c>
      <c r="Q69" s="41">
        <f t="shared" si="16"/>
        <v>95406.914893617039</v>
      </c>
      <c r="R69" s="41">
        <f>+'BEV L3'!$B$73</f>
        <v>120000</v>
      </c>
      <c r="S69" s="41">
        <f>+'BEV L3'!$B$72</f>
        <v>150000</v>
      </c>
      <c r="T69" s="37">
        <f>'[1]Test order'!M69</f>
        <v>36340</v>
      </c>
      <c r="U69" s="37">
        <f>+'BEV L3'!$B$7</f>
        <v>20339.999999999996</v>
      </c>
      <c r="V69" s="33">
        <v>0</v>
      </c>
      <c r="W69" s="34">
        <f t="shared" si="18"/>
        <v>0.26400538294647913</v>
      </c>
      <c r="X69" s="34" t="str">
        <f t="shared" si="17"/>
        <v/>
      </c>
      <c r="Y69" s="42"/>
      <c r="Z69" s="34"/>
    </row>
    <row r="70" spans="1:26" x14ac:dyDescent="0.3">
      <c r="A70" s="33" t="str">
        <f>+'[1]Test order'!A70</f>
        <v>2022 SEMI TRUCK - TYPICAL</v>
      </c>
      <c r="B70" s="33" t="str">
        <f>+'[1]Test order'!B70</f>
        <v>LONG HAUL</v>
      </c>
      <c r="C70" s="33" t="str">
        <f>+'[1]Test order'!C70</f>
        <v>Electric 290 kW</v>
      </c>
      <c r="D70" s="33" t="str">
        <f>+'[1]Test order'!D70</f>
        <v>Electricity</v>
      </c>
      <c r="E70" s="34">
        <f>+'[1]Test order'!E70</f>
        <v>4.9054963947861276</v>
      </c>
      <c r="F70" s="34">
        <f>+'[1]Test order'!F70</f>
        <v>3.6258132457733154</v>
      </c>
      <c r="G70" s="38">
        <f>+'[1]Test order'!G70</f>
        <v>0.73913279186731429</v>
      </c>
      <c r="H70" s="39">
        <f>+'[1]Test order'!H70</f>
        <v>0.73387068510055542</v>
      </c>
      <c r="I70" s="33" t="str">
        <f>+'[1]Test order'!I70</f>
        <v>km/kWh</v>
      </c>
      <c r="J70" s="33" t="str">
        <f>+'[1]Test order'!J70</f>
        <v>Electricity 2022 SEMI TRUCK - TYPICAL Electric 290 kW LONG HAUL 36340 kg 136.3 kWh /100km 74%</v>
      </c>
      <c r="K70" s="33">
        <f>+'[1]Test order'!K70</f>
        <v>0</v>
      </c>
      <c r="L70" s="33" t="str">
        <f t="shared" si="12"/>
        <v>2022</v>
      </c>
      <c r="M70" s="33" t="str">
        <f t="shared" si="13"/>
        <v>TYPICAL</v>
      </c>
      <c r="N70" s="33" t="str">
        <f t="shared" si="14"/>
        <v xml:space="preserve">SEMI TRUCK </v>
      </c>
      <c r="O70" s="33" t="str">
        <f t="shared" si="15"/>
        <v>Electricity km/kWh</v>
      </c>
      <c r="P70" s="41">
        <f>+'BEV L3'!$B$71</f>
        <v>365406.91489361704</v>
      </c>
      <c r="Q70" s="41">
        <f t="shared" si="16"/>
        <v>95406.914893617039</v>
      </c>
      <c r="R70" s="41">
        <f>+'BEV L3'!$B$73</f>
        <v>120000</v>
      </c>
      <c r="S70" s="41">
        <f>+'BEV L3'!$B$72</f>
        <v>150000</v>
      </c>
      <c r="T70" s="37">
        <f>'[1]Test order'!M70</f>
        <v>36340</v>
      </c>
      <c r="U70" s="37">
        <f>+'BEV L3'!$B$7</f>
        <v>20339.999999999996</v>
      </c>
      <c r="V70" s="33">
        <v>0</v>
      </c>
      <c r="W70" s="34">
        <f t="shared" si="18"/>
        <v>0.24117484733461791</v>
      </c>
      <c r="X70" s="34" t="str">
        <f t="shared" si="17"/>
        <v/>
      </c>
      <c r="Y70" s="42"/>
      <c r="Z70" s="34"/>
    </row>
    <row r="71" spans="1:26" x14ac:dyDescent="0.3">
      <c r="A71" s="33" t="str">
        <f>+'[1]Test order'!A71</f>
        <v>2022 SEMI TRUCK - FULL</v>
      </c>
      <c r="B71" s="33" t="str">
        <f>+'[1]Test order'!B71</f>
        <v>URBAN DELIVERY</v>
      </c>
      <c r="C71" s="33" t="str">
        <f>+'[1]Test order'!C71</f>
        <v>Electric 290 kW</v>
      </c>
      <c r="D71" s="33" t="str">
        <f>+'[1]Test order'!D71</f>
        <v>Electricity</v>
      </c>
      <c r="E71" s="34">
        <f>+'[1]Test order'!E71</f>
        <v>8.8718685368330021</v>
      </c>
      <c r="F71" s="34">
        <f>+'[1]Test order'!F71</f>
        <v>3.1176701784133911</v>
      </c>
      <c r="G71" s="38">
        <f>+'[1]Test order'!G71</f>
        <v>0.3514107727667376</v>
      </c>
      <c r="H71" s="39">
        <f>+'[1]Test order'!H71</f>
        <v>0.4057769775390625</v>
      </c>
      <c r="I71" s="33" t="str">
        <f>+'[1]Test order'!I71</f>
        <v>km/kWh</v>
      </c>
      <c r="J71" s="33" t="str">
        <f>+'[1]Test order'!J71</f>
        <v>Electricity 2022 SEMI TRUCK - FULL Electric 290 kW URBAN DELIVERY 52000 kg 246.4 kWh /100km 35%</v>
      </c>
      <c r="K71" s="33">
        <f>+'[1]Test order'!K71</f>
        <v>0</v>
      </c>
      <c r="L71" s="33" t="str">
        <f t="shared" si="12"/>
        <v>2022</v>
      </c>
      <c r="M71" s="33" t="str">
        <f t="shared" si="13"/>
        <v>FULL</v>
      </c>
      <c r="N71" s="33" t="str">
        <f t="shared" si="14"/>
        <v xml:space="preserve">SEMI TRUCK </v>
      </c>
      <c r="O71" s="33" t="str">
        <f t="shared" si="15"/>
        <v>Electricity km/kWh</v>
      </c>
      <c r="P71" s="41">
        <f>+'BEV L3'!$B$71</f>
        <v>365406.91489361704</v>
      </c>
      <c r="Q71" s="41">
        <f t="shared" si="16"/>
        <v>95406.914893617039</v>
      </c>
      <c r="R71" s="41">
        <f>+'BEV L3'!$B$73</f>
        <v>120000</v>
      </c>
      <c r="S71" s="41">
        <f>+'BEV L3'!$B$72</f>
        <v>150000</v>
      </c>
      <c r="T71" s="37">
        <f>'[1]Test order'!M71</f>
        <v>52000</v>
      </c>
      <c r="U71" s="37">
        <f>+'BEV L3'!$B$4</f>
        <v>36000</v>
      </c>
      <c r="V71" s="33">
        <v>0</v>
      </c>
      <c r="W71" s="34">
        <f t="shared" si="18"/>
        <v>0.24644079268980562</v>
      </c>
      <c r="X71" s="34" t="str">
        <f t="shared" si="17"/>
        <v/>
      </c>
      <c r="Y71" s="42"/>
      <c r="Z71" s="34"/>
    </row>
    <row r="72" spans="1:26" x14ac:dyDescent="0.3">
      <c r="A72" s="33" t="str">
        <f>+'[1]Test order'!A72</f>
        <v>2022 SEMI TRUCK - FULL</v>
      </c>
      <c r="B72" s="33" t="str">
        <f>+'[1]Test order'!B72</f>
        <v>REGIONAL DELIVERY</v>
      </c>
      <c r="C72" s="33" t="str">
        <f>+'[1]Test order'!C72</f>
        <v>Electric 290 kW</v>
      </c>
      <c r="D72" s="33" t="str">
        <f>+'[1]Test order'!D72</f>
        <v>Electricity</v>
      </c>
      <c r="E72" s="34">
        <f>+'[1]Test order'!E72</f>
        <v>6.944514529411177</v>
      </c>
      <c r="F72" s="34">
        <f>+'[1]Test order'!F72</f>
        <v>3.9069341421127319</v>
      </c>
      <c r="G72" s="38">
        <f>+'[1]Test order'!G72</f>
        <v>0.56259283864497867</v>
      </c>
      <c r="H72" s="39">
        <f>+'[1]Test order'!H72</f>
        <v>0.51839476823806763</v>
      </c>
      <c r="I72" s="33" t="str">
        <f>+'[1]Test order'!I72</f>
        <v>km/kWh</v>
      </c>
      <c r="J72" s="33" t="str">
        <f>+'[1]Test order'!J72</f>
        <v>Electricity 2022 SEMI TRUCK - FULL Electric 290 kW REGIONAL DELIVERY 52000 kg 192.9 kWh /100km 56%</v>
      </c>
      <c r="K72" s="33">
        <f>+'[1]Test order'!K72</f>
        <v>0</v>
      </c>
      <c r="L72" s="33" t="str">
        <f t="shared" si="12"/>
        <v>2022</v>
      </c>
      <c r="M72" s="33" t="str">
        <f t="shared" si="13"/>
        <v>FULL</v>
      </c>
      <c r="N72" s="33" t="str">
        <f t="shared" si="14"/>
        <v xml:space="preserve">SEMI TRUCK </v>
      </c>
      <c r="O72" s="33" t="str">
        <f t="shared" si="15"/>
        <v>Electricity km/kWh</v>
      </c>
      <c r="P72" s="41">
        <f>+'BEV L3'!$B$71</f>
        <v>365406.91489361704</v>
      </c>
      <c r="Q72" s="41">
        <f t="shared" si="16"/>
        <v>95406.914893617039</v>
      </c>
      <c r="R72" s="41">
        <f>+'BEV L3'!$B$73</f>
        <v>120000</v>
      </c>
      <c r="S72" s="41">
        <f>+'BEV L3'!$B$72</f>
        <v>150000</v>
      </c>
      <c r="T72" s="37">
        <f>'[1]Test order'!M72</f>
        <v>52000</v>
      </c>
      <c r="U72" s="37">
        <f>+'BEV L3'!$B$4</f>
        <v>36000</v>
      </c>
      <c r="V72" s="33">
        <v>0</v>
      </c>
      <c r="W72" s="34">
        <f t="shared" si="18"/>
        <v>0.19290318137253268</v>
      </c>
      <c r="X72" s="34" t="str">
        <f t="shared" si="17"/>
        <v/>
      </c>
      <c r="Y72" s="42"/>
      <c r="Z72" s="34"/>
    </row>
    <row r="73" spans="1:26" x14ac:dyDescent="0.3">
      <c r="A73" s="33" t="str">
        <f>+'[1]Test order'!A73</f>
        <v>2022 SEMI TRUCK - FULL</v>
      </c>
      <c r="B73" s="33" t="str">
        <f>+'[1]Test order'!B73</f>
        <v>LONG HAUL</v>
      </c>
      <c r="C73" s="33" t="str">
        <f>+'[1]Test order'!C73</f>
        <v>Electric 290 kW</v>
      </c>
      <c r="D73" s="33" t="str">
        <f>+'[1]Test order'!D73</f>
        <v>Electricity</v>
      </c>
      <c r="E73" s="34">
        <f>+'[1]Test order'!E73</f>
        <v>5.9233459630359064</v>
      </c>
      <c r="F73" s="34">
        <f>+'[1]Test order'!F73</f>
        <v>4.3930422067642212</v>
      </c>
      <c r="G73" s="38">
        <f>+'[1]Test order'!G73</f>
        <v>0.74164876307725325</v>
      </c>
      <c r="H73" s="39">
        <f>+'[1]Test order'!H73</f>
        <v>0.6077646017074585</v>
      </c>
      <c r="I73" s="33" t="str">
        <f>+'[1]Test order'!I73</f>
        <v>km/kWh</v>
      </c>
      <c r="J73" s="33" t="str">
        <f>+'[1]Test order'!J73</f>
        <v>Electricity 2022 SEMI TRUCK - FULL Electric 290 kW LONG HAUL 52000 kg 164.5 kWh /100km 74%</v>
      </c>
      <c r="K73" s="33">
        <f>+'[1]Test order'!K73</f>
        <v>0</v>
      </c>
      <c r="L73" s="33" t="str">
        <f t="shared" si="12"/>
        <v>2022</v>
      </c>
      <c r="M73" s="33" t="str">
        <f t="shared" si="13"/>
        <v>FULL</v>
      </c>
      <c r="N73" s="33" t="str">
        <f t="shared" si="14"/>
        <v xml:space="preserve">SEMI TRUCK </v>
      </c>
      <c r="O73" s="33" t="str">
        <f t="shared" si="15"/>
        <v>Electricity km/kWh</v>
      </c>
      <c r="P73" s="41">
        <f>+'BEV L3'!$B$71</f>
        <v>365406.91489361704</v>
      </c>
      <c r="Q73" s="41">
        <f t="shared" si="16"/>
        <v>95406.914893617039</v>
      </c>
      <c r="R73" s="41">
        <f>+'BEV L3'!$B$73</f>
        <v>120000</v>
      </c>
      <c r="S73" s="41">
        <f>+'BEV L3'!$B$72</f>
        <v>150000</v>
      </c>
      <c r="T73" s="37">
        <f>'[1]Test order'!M73</f>
        <v>52000</v>
      </c>
      <c r="U73" s="37">
        <f>+'BEV L3'!$B$4</f>
        <v>36000</v>
      </c>
      <c r="V73" s="33">
        <v>0</v>
      </c>
      <c r="W73" s="34">
        <f t="shared" si="18"/>
        <v>0.1645373878621085</v>
      </c>
      <c r="X73" s="34" t="str">
        <f t="shared" si="17"/>
        <v/>
      </c>
      <c r="Y73" s="42"/>
      <c r="Z73" s="34"/>
    </row>
    <row r="74" spans="1:26" x14ac:dyDescent="0.3">
      <c r="A74" s="33" t="str">
        <f>+'[1]Test order'!A74</f>
        <v>2022 CITY BUS - EMPTY</v>
      </c>
      <c r="B74" s="33" t="str">
        <f>+'[1]Test order'!B74</f>
        <v>CITY ROUTE</v>
      </c>
      <c r="C74" s="33" t="str">
        <f>+'[1]Test order'!C74</f>
        <v>Electric 290 kW</v>
      </c>
      <c r="D74" s="33" t="str">
        <f>+'[1]Test order'!D74</f>
        <v>Electricity</v>
      </c>
      <c r="E74" s="34">
        <f>+'[1]Test order'!E74</f>
        <v>3.4921613155018991</v>
      </c>
      <c r="F74" s="34">
        <f>+'[1]Test order'!F74</f>
        <v>1.2054142355918884</v>
      </c>
      <c r="G74" s="38">
        <f>+'[1]Test order'!G74</f>
        <v>0.3451771343554455</v>
      </c>
      <c r="H74" s="39">
        <f>+'[1]Test order'!H74</f>
        <v>1.0308802127838135</v>
      </c>
      <c r="I74" s="33" t="str">
        <f>+'[1]Test order'!I74</f>
        <v>km/kWh</v>
      </c>
      <c r="J74" s="33" t="str">
        <f>+'[1]Test order'!J74</f>
        <v>Electricity 2022 CITY BUS - EMPTY Electric 290 kW CITY ROUTE 12550 kg 97.0 kWh /100km 35%</v>
      </c>
      <c r="K74" s="33">
        <f>+'[1]Test order'!K74</f>
        <v>0</v>
      </c>
      <c r="L74" s="33" t="str">
        <f t="shared" si="12"/>
        <v>2022</v>
      </c>
      <c r="M74" s="33" t="str">
        <f t="shared" si="13"/>
        <v>EMPTY</v>
      </c>
      <c r="N74" s="33" t="str">
        <f t="shared" si="14"/>
        <v xml:space="preserve">CITY BUS </v>
      </c>
      <c r="O74" s="33" t="str">
        <f t="shared" si="15"/>
        <v>Electricity km/kWh</v>
      </c>
      <c r="P74" s="41">
        <f>+'BEV B1'!$B$71</f>
        <v>460000</v>
      </c>
      <c r="Q74" s="41">
        <f t="shared" si="16"/>
        <v>270000</v>
      </c>
      <c r="R74" s="41">
        <f>+'BEV B1'!$B$73</f>
        <v>90000</v>
      </c>
      <c r="S74" s="41">
        <f>+'BEV B1'!$B$72</f>
        <v>100000</v>
      </c>
      <c r="T74" s="37">
        <f>'[1]Test order'!M74</f>
        <v>12550</v>
      </c>
      <c r="U74" s="33">
        <v>0</v>
      </c>
      <c r="V74" s="33">
        <v>0</v>
      </c>
      <c r="W74" s="34" t="e">
        <f t="shared" si="18"/>
        <v>#N/A</v>
      </c>
      <c r="X74" s="34" t="str">
        <f t="shared" si="17"/>
        <v/>
      </c>
      <c r="Y74" s="42"/>
      <c r="Z74" s="34"/>
    </row>
    <row r="75" spans="1:26" x14ac:dyDescent="0.3">
      <c r="A75" s="33" t="str">
        <f>+'[1]Test order'!A75</f>
        <v>2022 CITY BUS - EMPTY</v>
      </c>
      <c r="B75" s="33" t="str">
        <f>+'[1]Test order'!B75</f>
        <v>RURAL ROUTE</v>
      </c>
      <c r="C75" s="33" t="str">
        <f>+'[1]Test order'!C75</f>
        <v>Electric 290 kW</v>
      </c>
      <c r="D75" s="33" t="str">
        <f>+'[1]Test order'!D75</f>
        <v>Electricity</v>
      </c>
      <c r="E75" s="34">
        <f>+'[1]Test order'!E75</f>
        <v>3.1750432403852109</v>
      </c>
      <c r="F75" s="34">
        <f>+'[1]Test order'!F75</f>
        <v>2.1193692684173584</v>
      </c>
      <c r="G75" s="38">
        <f>+'[1]Test order'!G75</f>
        <v>0.66750878900163479</v>
      </c>
      <c r="H75" s="39">
        <f>+'[1]Test order'!H75</f>
        <v>1.1338428258895874</v>
      </c>
      <c r="I75" s="33" t="str">
        <f>+'[1]Test order'!I75</f>
        <v>km/kWh</v>
      </c>
      <c r="J75" s="33" t="str">
        <f>+'[1]Test order'!J75</f>
        <v>Electricity 2022 CITY BUS - EMPTY Electric 290 kW RURAL ROUTE 12550 kg 88.2 kWh /100km 67%</v>
      </c>
      <c r="K75" s="33">
        <f>+'[1]Test order'!K75</f>
        <v>0</v>
      </c>
      <c r="L75" s="33" t="str">
        <f t="shared" si="12"/>
        <v>2022</v>
      </c>
      <c r="M75" s="33" t="str">
        <f t="shared" si="13"/>
        <v>EMPTY</v>
      </c>
      <c r="N75" s="33" t="str">
        <f t="shared" si="14"/>
        <v xml:space="preserve">CITY BUS </v>
      </c>
      <c r="O75" s="33" t="str">
        <f t="shared" si="15"/>
        <v>Electricity km/kWh</v>
      </c>
      <c r="P75" s="41">
        <f>+'BEV B1'!$B$71</f>
        <v>460000</v>
      </c>
      <c r="Q75" s="41">
        <f t="shared" si="16"/>
        <v>270000</v>
      </c>
      <c r="R75" s="41">
        <f>+'BEV B1'!$B$73</f>
        <v>90000</v>
      </c>
      <c r="S75" s="41">
        <f>+'BEV B1'!$B$72</f>
        <v>100000</v>
      </c>
      <c r="T75" s="37">
        <f>'[1]Test order'!M75</f>
        <v>12550</v>
      </c>
      <c r="U75" s="33">
        <v>0</v>
      </c>
      <c r="V75" s="33">
        <v>0</v>
      </c>
      <c r="W75" s="34" t="e">
        <f t="shared" si="18"/>
        <v>#N/A</v>
      </c>
      <c r="X75" s="34" t="str">
        <f t="shared" si="17"/>
        <v/>
      </c>
      <c r="Y75" s="42"/>
      <c r="Z75" s="34"/>
    </row>
    <row r="76" spans="1:26" x14ac:dyDescent="0.3">
      <c r="A76" s="33" t="str">
        <f>+'[1]Test order'!A76</f>
        <v>2022 CITY BUS - EMPTY</v>
      </c>
      <c r="B76" s="33" t="str">
        <f>+'[1]Test order'!B76</f>
        <v>MOTORWAY</v>
      </c>
      <c r="C76" s="33" t="str">
        <f>+'[1]Test order'!C76</f>
        <v>Electric 290 kW</v>
      </c>
      <c r="D76" s="33" t="str">
        <f>+'[1]Test order'!D76</f>
        <v>Electricity</v>
      </c>
      <c r="E76" s="34">
        <f>+'[1]Test order'!E76</f>
        <v>3.5745483164319793</v>
      </c>
      <c r="F76" s="34">
        <f>+'[1]Test order'!F76</f>
        <v>2.6126183271408081</v>
      </c>
      <c r="G76" s="38">
        <f>+'[1]Test order'!G76</f>
        <v>0.73089467419722987</v>
      </c>
      <c r="H76" s="39">
        <f>+'[1]Test order'!H76</f>
        <v>1.0071202516555786</v>
      </c>
      <c r="I76" s="33" t="str">
        <f>+'[1]Test order'!I76</f>
        <v>km/kWh</v>
      </c>
      <c r="J76" s="33" t="str">
        <f>+'[1]Test order'!J76</f>
        <v>Electricity 2022 CITY BUS - EMPTY Electric 290 kW MOTORWAY 12550 kg 99.3 kWh /100km 73%</v>
      </c>
      <c r="K76" s="33">
        <f>+'[1]Test order'!K76</f>
        <v>0</v>
      </c>
      <c r="L76" s="33" t="str">
        <f t="shared" si="12"/>
        <v>2022</v>
      </c>
      <c r="M76" s="33" t="str">
        <f t="shared" si="13"/>
        <v>EMPTY</v>
      </c>
      <c r="N76" s="33" t="str">
        <f t="shared" si="14"/>
        <v xml:space="preserve">CITY BUS </v>
      </c>
      <c r="O76" s="33" t="str">
        <f t="shared" si="15"/>
        <v>Electricity km/kWh</v>
      </c>
      <c r="P76" s="41">
        <f>+'BEV B1'!$B$71</f>
        <v>460000</v>
      </c>
      <c r="Q76" s="41">
        <f t="shared" si="16"/>
        <v>270000</v>
      </c>
      <c r="R76" s="41">
        <f>+'BEV B1'!$B$73</f>
        <v>90000</v>
      </c>
      <c r="S76" s="41">
        <f>+'BEV B1'!$B$72</f>
        <v>100000</v>
      </c>
      <c r="T76" s="37">
        <f>'[1]Test order'!M76</f>
        <v>12550</v>
      </c>
      <c r="U76" s="33">
        <v>0</v>
      </c>
      <c r="V76" s="33">
        <v>0</v>
      </c>
      <c r="W76" s="34" t="e">
        <f t="shared" si="18"/>
        <v>#N/A</v>
      </c>
      <c r="X76" s="34" t="str">
        <f t="shared" si="17"/>
        <v/>
      </c>
      <c r="Y76" s="42"/>
      <c r="Z76" s="34"/>
    </row>
    <row r="77" spans="1:26" x14ac:dyDescent="0.3">
      <c r="A77" s="33" t="str">
        <f>+'[1]Test order'!A77</f>
        <v>2022 CITY BUS - TYPICAL</v>
      </c>
      <c r="B77" s="33" t="str">
        <f>+'[1]Test order'!B77</f>
        <v>CITY ROUTE</v>
      </c>
      <c r="C77" s="33" t="str">
        <f>+'[1]Test order'!C77</f>
        <v>Electric 290 kW</v>
      </c>
      <c r="D77" s="33" t="str">
        <f>+'[1]Test order'!D77</f>
        <v>Electricity</v>
      </c>
      <c r="E77" s="34">
        <f>+'[1]Test order'!E77</f>
        <v>3.6424586188673254</v>
      </c>
      <c r="F77" s="34">
        <f>+'[1]Test order'!F77</f>
        <v>1.2326709032058716</v>
      </c>
      <c r="G77" s="38">
        <f>+'[1]Test order'!G77</f>
        <v>0.33841727036261793</v>
      </c>
      <c r="H77" s="39">
        <f>+'[1]Test order'!H77</f>
        <v>0.98834341764450073</v>
      </c>
      <c r="I77" s="33" t="str">
        <f>+'[1]Test order'!I77</f>
        <v>km/kWh</v>
      </c>
      <c r="J77" s="33" t="str">
        <f>+'[1]Test order'!J77</f>
        <v>Electricity 2022 CITY BUS - TYPICAL Electric 290 kW CITY ROUTE 13124 kg 101.2 kWh /100km 34%</v>
      </c>
      <c r="K77" s="33">
        <f>+'[1]Test order'!K77</f>
        <v>0</v>
      </c>
      <c r="L77" s="33" t="str">
        <f t="shared" si="12"/>
        <v>2022</v>
      </c>
      <c r="M77" s="33" t="str">
        <f t="shared" si="13"/>
        <v>TYPICAL</v>
      </c>
      <c r="N77" s="33" t="str">
        <f t="shared" si="14"/>
        <v xml:space="preserve">CITY BUS </v>
      </c>
      <c r="O77" s="33" t="str">
        <f t="shared" si="15"/>
        <v>Electricity km/kWh</v>
      </c>
      <c r="P77" s="41">
        <f>+'BEV B1'!$B$71</f>
        <v>460000</v>
      </c>
      <c r="Q77" s="41">
        <f t="shared" si="16"/>
        <v>270000</v>
      </c>
      <c r="R77" s="41">
        <f>+'BEV B1'!$B$73</f>
        <v>90000</v>
      </c>
      <c r="S77" s="41">
        <f>+'BEV B1'!$B$72</f>
        <v>100000</v>
      </c>
      <c r="T77" s="37">
        <f>'[1]Test order'!M77</f>
        <v>13124</v>
      </c>
      <c r="U77" s="37">
        <f>+T77-T74</f>
        <v>574</v>
      </c>
      <c r="V77" s="37">
        <f>+'FCV B1'!$B$7</f>
        <v>8.1999999999999993</v>
      </c>
      <c r="W77" s="34">
        <f t="shared" si="18"/>
        <v>6.3457467227653757</v>
      </c>
      <c r="X77" s="34">
        <f t="shared" si="17"/>
        <v>0.44420227059357631</v>
      </c>
      <c r="Y77" s="42"/>
      <c r="Z77" s="34"/>
    </row>
    <row r="78" spans="1:26" x14ac:dyDescent="0.3">
      <c r="A78" s="33" t="str">
        <f>+'[1]Test order'!A78</f>
        <v>2022 CITY BUS - TYPICAL</v>
      </c>
      <c r="B78" s="33" t="str">
        <f>+'[1]Test order'!B78</f>
        <v>RURAL ROUTE</v>
      </c>
      <c r="C78" s="33" t="str">
        <f>+'[1]Test order'!C78</f>
        <v>Electric 290 kW</v>
      </c>
      <c r="D78" s="33" t="str">
        <f>+'[1]Test order'!D78</f>
        <v>Electricity</v>
      </c>
      <c r="E78" s="34">
        <f>+'[1]Test order'!E78</f>
        <v>3.2250804321410746</v>
      </c>
      <c r="F78" s="34">
        <f>+'[1]Test order'!F78</f>
        <v>2.1475023031234741</v>
      </c>
      <c r="G78" s="38">
        <f>+'[1]Test order'!G78</f>
        <v>0.66587557994570223</v>
      </c>
      <c r="H78" s="39">
        <f>+'[1]Test order'!H78</f>
        <v>1.1162512302398682</v>
      </c>
      <c r="I78" s="33" t="str">
        <f>+'[1]Test order'!I78</f>
        <v>km/kWh</v>
      </c>
      <c r="J78" s="33" t="str">
        <f>+'[1]Test order'!J78</f>
        <v>Electricity 2022 CITY BUS - TYPICAL Electric 290 kW RURAL ROUTE 13124 kg 89.6 kWh /100km 67%</v>
      </c>
      <c r="K78" s="33">
        <f>+'[1]Test order'!K78</f>
        <v>0</v>
      </c>
      <c r="L78" s="33" t="str">
        <f t="shared" si="12"/>
        <v>2022</v>
      </c>
      <c r="M78" s="33" t="str">
        <f t="shared" si="13"/>
        <v>TYPICAL</v>
      </c>
      <c r="N78" s="33" t="str">
        <f t="shared" si="14"/>
        <v xml:space="preserve">CITY BUS </v>
      </c>
      <c r="O78" s="33" t="str">
        <f t="shared" si="15"/>
        <v>Electricity km/kWh</v>
      </c>
      <c r="P78" s="41">
        <f>+'BEV B1'!$B$71</f>
        <v>460000</v>
      </c>
      <c r="Q78" s="41">
        <f t="shared" si="16"/>
        <v>270000</v>
      </c>
      <c r="R78" s="41">
        <f>+'BEV B1'!$B$73</f>
        <v>90000</v>
      </c>
      <c r="S78" s="41">
        <f>+'BEV B1'!$B$72</f>
        <v>100000</v>
      </c>
      <c r="T78" s="37">
        <f>'[1]Test order'!M78</f>
        <v>13124</v>
      </c>
      <c r="U78" s="37">
        <f t="shared" ref="U78:U79" si="19">+T78-T75</f>
        <v>574</v>
      </c>
      <c r="V78" s="37">
        <f>+'FCV B1'!$B$7</f>
        <v>8.1999999999999993</v>
      </c>
      <c r="W78" s="34">
        <f t="shared" si="18"/>
        <v>5.6186070246360185</v>
      </c>
      <c r="X78" s="34">
        <f t="shared" si="17"/>
        <v>0.39330249172452131</v>
      </c>
      <c r="Y78" s="42"/>
      <c r="Z78" s="34"/>
    </row>
    <row r="79" spans="1:26" x14ac:dyDescent="0.3">
      <c r="A79" s="33" t="str">
        <f>+'[1]Test order'!A79</f>
        <v>2022 CITY BUS - TYPICAL</v>
      </c>
      <c r="B79" s="33" t="str">
        <f>+'[1]Test order'!B79</f>
        <v>MOTORWAY</v>
      </c>
      <c r="C79" s="33" t="str">
        <f>+'[1]Test order'!C79</f>
        <v>Electric 290 kW</v>
      </c>
      <c r="D79" s="33" t="str">
        <f>+'[1]Test order'!D79</f>
        <v>Electricity</v>
      </c>
      <c r="E79" s="34">
        <f>+'[1]Test order'!E79</f>
        <v>3.6085744751364777</v>
      </c>
      <c r="F79" s="34">
        <f>+'[1]Test order'!F79</f>
        <v>2.6407755613327026</v>
      </c>
      <c r="G79" s="38">
        <f>+'[1]Test order'!G79</f>
        <v>0.73180575308282292</v>
      </c>
      <c r="H79" s="39">
        <f>+'[1]Test order'!H79</f>
        <v>0.99762386083602905</v>
      </c>
      <c r="I79" s="33" t="str">
        <f>+'[1]Test order'!I79</f>
        <v>km/kWh</v>
      </c>
      <c r="J79" s="33" t="str">
        <f>+'[1]Test order'!J79</f>
        <v>Electricity 2022 CITY BUS - TYPICAL Electric 290 kW MOTORWAY 13124 kg 100.2 kWh /100km 73%</v>
      </c>
      <c r="K79" s="33">
        <f>+'[1]Test order'!K79</f>
        <v>0</v>
      </c>
      <c r="L79" s="33" t="str">
        <f t="shared" si="12"/>
        <v>2022</v>
      </c>
      <c r="M79" s="33" t="str">
        <f t="shared" si="13"/>
        <v>TYPICAL</v>
      </c>
      <c r="N79" s="33" t="str">
        <f t="shared" si="14"/>
        <v xml:space="preserve">CITY BUS </v>
      </c>
      <c r="O79" s="33" t="str">
        <f t="shared" si="15"/>
        <v>Electricity km/kWh</v>
      </c>
      <c r="P79" s="41">
        <f>+'BEV B1'!$B$71</f>
        <v>460000</v>
      </c>
      <c r="Q79" s="41">
        <f t="shared" si="16"/>
        <v>270000</v>
      </c>
      <c r="R79" s="41">
        <f>+'BEV B1'!$B$73</f>
        <v>90000</v>
      </c>
      <c r="S79" s="41">
        <f>+'BEV B1'!$B$72</f>
        <v>100000</v>
      </c>
      <c r="T79" s="37">
        <f>'[1]Test order'!M79</f>
        <v>13124</v>
      </c>
      <c r="U79" s="37">
        <f t="shared" si="19"/>
        <v>574</v>
      </c>
      <c r="V79" s="37">
        <f>+'FCV B1'!$B$7</f>
        <v>8.1999999999999993</v>
      </c>
      <c r="W79" s="34">
        <f t="shared" si="18"/>
        <v>6.2867151134781842</v>
      </c>
      <c r="X79" s="34">
        <f t="shared" si="17"/>
        <v>0.44007005794347293</v>
      </c>
      <c r="Y79" s="42"/>
      <c r="Z79" s="34"/>
    </row>
    <row r="80" spans="1:26" x14ac:dyDescent="0.3">
      <c r="A80" s="33" t="str">
        <f>+'[1]Test order'!A80</f>
        <v>2022 CITY BUS - FULL</v>
      </c>
      <c r="B80" s="33" t="str">
        <f>+'[1]Test order'!B80</f>
        <v>CITY ROUTE</v>
      </c>
      <c r="C80" s="33" t="str">
        <f>+'[1]Test order'!C80</f>
        <v>Electric 290 kW</v>
      </c>
      <c r="D80" s="33" t="str">
        <f>+'[1]Test order'!D80</f>
        <v>Electricity</v>
      </c>
      <c r="E80" s="34">
        <f>+'[1]Test order'!E80</f>
        <v>4.9683873793799265</v>
      </c>
      <c r="F80" s="34">
        <f>+'[1]Test order'!F80</f>
        <v>1.4611959457397461</v>
      </c>
      <c r="G80" s="38">
        <f>+'[1]Test order'!G80</f>
        <v>0.29409863486170212</v>
      </c>
      <c r="H80" s="39">
        <f>+'[1]Test order'!H80</f>
        <v>0.72458118200302124</v>
      </c>
      <c r="I80" s="33" t="str">
        <f>+'[1]Test order'!I80</f>
        <v>km/kWh</v>
      </c>
      <c r="J80" s="33" t="str">
        <f>+'[1]Test order'!J80</f>
        <v>Electricity 2022 CITY BUS - FULL Electric 290 kW CITY ROUTE 18000 kg 138.0 kWh /100km 29%</v>
      </c>
      <c r="K80" s="33">
        <f>+'[1]Test order'!K80</f>
        <v>0</v>
      </c>
      <c r="L80" s="33" t="str">
        <f t="shared" si="12"/>
        <v>2022</v>
      </c>
      <c r="M80" s="33" t="str">
        <f t="shared" si="13"/>
        <v>FULL</v>
      </c>
      <c r="N80" s="33" t="str">
        <f t="shared" si="14"/>
        <v xml:space="preserve">CITY BUS </v>
      </c>
      <c r="O80" s="33" t="str">
        <f t="shared" si="15"/>
        <v>Electricity km/kWh</v>
      </c>
      <c r="P80" s="41">
        <f>+'BEV B1'!$B$71</f>
        <v>460000</v>
      </c>
      <c r="Q80" s="41">
        <f t="shared" si="16"/>
        <v>270000</v>
      </c>
      <c r="R80" s="41">
        <f>+'BEV B1'!$B$73</f>
        <v>90000</v>
      </c>
      <c r="S80" s="41">
        <f>+'BEV B1'!$B$72</f>
        <v>100000</v>
      </c>
      <c r="T80" s="37">
        <f>'[1]Test order'!M80</f>
        <v>18000</v>
      </c>
      <c r="U80" s="37">
        <f>+T80-T74</f>
        <v>5450</v>
      </c>
      <c r="V80" s="33">
        <f>+'FCV B1'!$B$4</f>
        <v>63</v>
      </c>
      <c r="W80" s="34">
        <f t="shared" si="18"/>
        <v>0.91163071181283051</v>
      </c>
      <c r="X80" s="34">
        <f t="shared" si="17"/>
        <v>7.8863291736189306E-2</v>
      </c>
      <c r="Y80" s="42"/>
      <c r="Z80" s="34"/>
    </row>
    <row r="81" spans="1:26" x14ac:dyDescent="0.3">
      <c r="A81" s="33" t="str">
        <f>+'[1]Test order'!A81</f>
        <v>2022 CITY BUS - FULL</v>
      </c>
      <c r="B81" s="33" t="str">
        <f>+'[1]Test order'!B81</f>
        <v>RURAL ROUTE</v>
      </c>
      <c r="C81" s="33" t="str">
        <f>+'[1]Test order'!C81</f>
        <v>Electric 290 kW</v>
      </c>
      <c r="D81" s="33" t="str">
        <f>+'[1]Test order'!D81</f>
        <v>Electricity</v>
      </c>
      <c r="E81" s="34">
        <f>+'[1]Test order'!E81</f>
        <v>3.6643303715573405</v>
      </c>
      <c r="F81" s="34">
        <f>+'[1]Test order'!F81</f>
        <v>2.3858749866485596</v>
      </c>
      <c r="G81" s="38">
        <f>+'[1]Test order'!G81</f>
        <v>0.65110804559758151</v>
      </c>
      <c r="H81" s="39">
        <f>+'[1]Test order'!H81</f>
        <v>0.982444167137146</v>
      </c>
      <c r="I81" s="33" t="str">
        <f>+'[1]Test order'!I81</f>
        <v>km/kWh</v>
      </c>
      <c r="J81" s="33" t="str">
        <f>+'[1]Test order'!J81</f>
        <v>Electricity 2022 CITY BUS - FULL Electric 290 kW RURAL ROUTE 18000 kg 101.8 kWh /100km 65%</v>
      </c>
      <c r="K81" s="33">
        <f>+'[1]Test order'!K81</f>
        <v>0</v>
      </c>
      <c r="L81" s="33" t="str">
        <f t="shared" si="12"/>
        <v>2022</v>
      </c>
      <c r="M81" s="33" t="str">
        <f t="shared" si="13"/>
        <v>FULL</v>
      </c>
      <c r="N81" s="33" t="str">
        <f t="shared" si="14"/>
        <v xml:space="preserve">CITY BUS </v>
      </c>
      <c r="O81" s="33" t="str">
        <f t="shared" si="15"/>
        <v>Electricity km/kWh</v>
      </c>
      <c r="P81" s="41">
        <f>+'BEV B1'!$B$71</f>
        <v>460000</v>
      </c>
      <c r="Q81" s="41">
        <f t="shared" si="16"/>
        <v>270000</v>
      </c>
      <c r="R81" s="41">
        <f>+'BEV B1'!$B$73</f>
        <v>90000</v>
      </c>
      <c r="S81" s="41">
        <f>+'BEV B1'!$B$72</f>
        <v>100000</v>
      </c>
      <c r="T81" s="37">
        <f>'[1]Test order'!M81</f>
        <v>18000</v>
      </c>
      <c r="U81" s="37">
        <f t="shared" ref="U81:U82" si="20">+T81-T75</f>
        <v>5450</v>
      </c>
      <c r="V81" s="33">
        <f>+'FCV B1'!$B$4</f>
        <v>63</v>
      </c>
      <c r="W81" s="34">
        <f t="shared" si="18"/>
        <v>0.6723541966160258</v>
      </c>
      <c r="X81" s="34">
        <f t="shared" si="17"/>
        <v>5.8163974151703816E-2</v>
      </c>
      <c r="Y81" s="42"/>
      <c r="Z81" s="34"/>
    </row>
    <row r="82" spans="1:26" x14ac:dyDescent="0.3">
      <c r="A82" s="33" t="str">
        <f>+'[1]Test order'!A82</f>
        <v>2022 CITY BUS - FULL</v>
      </c>
      <c r="B82" s="33" t="str">
        <f>+'[1]Test order'!B82</f>
        <v>MOTORWAY</v>
      </c>
      <c r="C82" s="33" t="str">
        <f>+'[1]Test order'!C82</f>
        <v>Electric 290 kW</v>
      </c>
      <c r="D82" s="33" t="str">
        <f>+'[1]Test order'!D82</f>
        <v>Electricity</v>
      </c>
      <c r="E82" s="34">
        <f>+'[1]Test order'!E82</f>
        <v>3.9032230392481573</v>
      </c>
      <c r="F82" s="34">
        <f>+'[1]Test order'!F82</f>
        <v>2.8799553513526917</v>
      </c>
      <c r="G82" s="38">
        <f>+'[1]Test order'!G82</f>
        <v>0.73784032385385578</v>
      </c>
      <c r="H82" s="39">
        <f>+'[1]Test order'!H82</f>
        <v>0.92231470346450806</v>
      </c>
      <c r="I82" s="33" t="str">
        <f>+'[1]Test order'!I82</f>
        <v>km/kWh</v>
      </c>
      <c r="J82" s="33" t="str">
        <f>+'[1]Test order'!J82</f>
        <v>Electricity 2022 CITY BUS - FULL Electric 290 kW MOTORWAY 18000 kg 108.4 kWh /100km 74%</v>
      </c>
      <c r="K82" s="33">
        <f>+'[1]Test order'!K82</f>
        <v>0</v>
      </c>
      <c r="L82" s="33" t="str">
        <f t="shared" si="12"/>
        <v>2022</v>
      </c>
      <c r="M82" s="33" t="str">
        <f t="shared" si="13"/>
        <v>FULL</v>
      </c>
      <c r="N82" s="33" t="str">
        <f t="shared" si="14"/>
        <v xml:space="preserve">CITY BUS </v>
      </c>
      <c r="O82" s="33" t="str">
        <f t="shared" si="15"/>
        <v>Electricity km/kWh</v>
      </c>
      <c r="P82" s="41">
        <f>+'BEV B1'!$B$71</f>
        <v>460000</v>
      </c>
      <c r="Q82" s="41">
        <f t="shared" si="16"/>
        <v>270000</v>
      </c>
      <c r="R82" s="41">
        <f>+'BEV B1'!$B$73</f>
        <v>90000</v>
      </c>
      <c r="S82" s="41">
        <f>+'BEV B1'!$B$72</f>
        <v>100000</v>
      </c>
      <c r="T82" s="37">
        <f>'[1]Test order'!M82</f>
        <v>18000</v>
      </c>
      <c r="U82" s="37">
        <f t="shared" si="20"/>
        <v>5450</v>
      </c>
      <c r="V82" s="33">
        <f>+'FCV B1'!$B$4</f>
        <v>63</v>
      </c>
      <c r="W82" s="34">
        <f t="shared" si="18"/>
        <v>0.71618771362351508</v>
      </c>
      <c r="X82" s="34">
        <f t="shared" si="17"/>
        <v>6.1955921257907255E-2</v>
      </c>
      <c r="Y82" s="42"/>
      <c r="Z82" s="34"/>
    </row>
    <row r="83" spans="1:26" x14ac:dyDescent="0.3">
      <c r="A83" s="33" t="str">
        <f>+'[1]Test order'!A83</f>
        <v>2022 TOURIST BUS - EMPTY</v>
      </c>
      <c r="B83" s="33" t="str">
        <f>+'[1]Test order'!B83</f>
        <v>CITY ROUTE</v>
      </c>
      <c r="C83" s="33" t="str">
        <f>+'[1]Test order'!C83</f>
        <v>Electric 290 kW</v>
      </c>
      <c r="D83" s="33" t="str">
        <f>+'[1]Test order'!D83</f>
        <v>Electricity</v>
      </c>
      <c r="E83" s="34">
        <f>+'[1]Test order'!E83</f>
        <v>3.6385272941155633</v>
      </c>
      <c r="F83" s="34">
        <f>+'[1]Test order'!F83</f>
        <v>1.1599404811859131</v>
      </c>
      <c r="G83" s="38">
        <f>+'[1]Test order'!G83</f>
        <v>0.31879394805195932</v>
      </c>
      <c r="H83" s="39">
        <f>+'[1]Test order'!H83</f>
        <v>0.98941129446029663</v>
      </c>
      <c r="I83" s="33" t="str">
        <f>+'[1]Test order'!I83</f>
        <v>km/kWh</v>
      </c>
      <c r="J83" s="33" t="str">
        <f>+'[1]Test order'!J83</f>
        <v>Electricity 2022 TOURIST BUS - EMPTY Electric 290 kW CITY ROUTE 13500 kg 101.1 kWh /100km 32%</v>
      </c>
      <c r="K83" s="33">
        <f>+'[1]Test order'!K83</f>
        <v>0</v>
      </c>
      <c r="L83" s="33" t="str">
        <f t="shared" si="12"/>
        <v>2022</v>
      </c>
      <c r="M83" s="33" t="str">
        <f t="shared" si="13"/>
        <v>EMPTY</v>
      </c>
      <c r="N83" s="33" t="str">
        <f t="shared" si="14"/>
        <v xml:space="preserve">TOURIST BUS </v>
      </c>
      <c r="O83" s="33" t="str">
        <f t="shared" si="15"/>
        <v>Electricity km/kWh</v>
      </c>
      <c r="P83" s="41">
        <f>+'BEV B2'!$B$71</f>
        <v>550500</v>
      </c>
      <c r="Q83" s="41">
        <f t="shared" si="16"/>
        <v>375500</v>
      </c>
      <c r="R83" s="41">
        <f>+'BEV B2'!$B$73</f>
        <v>75000</v>
      </c>
      <c r="S83" s="41">
        <f>+'BEV B2'!$B$72</f>
        <v>100000</v>
      </c>
      <c r="T83" s="37">
        <f>'[1]Test order'!M83</f>
        <v>13500</v>
      </c>
      <c r="U83" s="33">
        <v>0</v>
      </c>
      <c r="V83" s="33">
        <v>0</v>
      </c>
      <c r="W83" s="34" t="e">
        <f t="shared" si="18"/>
        <v>#N/A</v>
      </c>
      <c r="X83" s="34" t="str">
        <f t="shared" si="17"/>
        <v/>
      </c>
      <c r="Y83" s="42"/>
      <c r="Z83" s="34"/>
    </row>
    <row r="84" spans="1:26" x14ac:dyDescent="0.3">
      <c r="A84" s="33" t="str">
        <f>+'[1]Test order'!A84</f>
        <v>2022 TOURIST BUS - EMPTY</v>
      </c>
      <c r="B84" s="33" t="str">
        <f>+'[1]Test order'!B84</f>
        <v>RURAL ROUTE</v>
      </c>
      <c r="C84" s="33" t="str">
        <f>+'[1]Test order'!C84</f>
        <v>Electric 290 kW</v>
      </c>
      <c r="D84" s="33" t="str">
        <f>+'[1]Test order'!D84</f>
        <v>Electricity</v>
      </c>
      <c r="E84" s="34">
        <f>+'[1]Test order'!E84</f>
        <v>2.9813044038400882</v>
      </c>
      <c r="F84" s="34">
        <f>+'[1]Test order'!F84</f>
        <v>1.9345880746841431</v>
      </c>
      <c r="G84" s="38">
        <f>+'[1]Test order'!G84</f>
        <v>0.64890659007925677</v>
      </c>
      <c r="H84" s="39">
        <f>+'[1]Test order'!H84</f>
        <v>1.2075251340866089</v>
      </c>
      <c r="I84" s="33" t="str">
        <f>+'[1]Test order'!I84</f>
        <v>km/kWh</v>
      </c>
      <c r="J84" s="33" t="str">
        <f>+'[1]Test order'!J84</f>
        <v>Electricity 2022 TOURIST BUS - EMPTY Electric 290 kW RURAL ROUTE 13500 kg 82.8 kWh /100km 65%</v>
      </c>
      <c r="K84" s="33">
        <f>+'[1]Test order'!K84</f>
        <v>0</v>
      </c>
      <c r="L84" s="33" t="str">
        <f t="shared" si="12"/>
        <v>2022</v>
      </c>
      <c r="M84" s="33" t="str">
        <f t="shared" si="13"/>
        <v>EMPTY</v>
      </c>
      <c r="N84" s="33" t="str">
        <f t="shared" si="14"/>
        <v xml:space="preserve">TOURIST BUS </v>
      </c>
      <c r="O84" s="33" t="str">
        <f t="shared" si="15"/>
        <v>Electricity km/kWh</v>
      </c>
      <c r="P84" s="41">
        <f>+'BEV B2'!$B$71</f>
        <v>550500</v>
      </c>
      <c r="Q84" s="41">
        <f t="shared" si="16"/>
        <v>375500</v>
      </c>
      <c r="R84" s="41">
        <f>+'BEV B2'!$B$73</f>
        <v>75000</v>
      </c>
      <c r="S84" s="41">
        <f>+'BEV B2'!$B$72</f>
        <v>100000</v>
      </c>
      <c r="T84" s="37">
        <f>'[1]Test order'!M84</f>
        <v>13500</v>
      </c>
      <c r="U84" s="33">
        <v>0</v>
      </c>
      <c r="V84" s="33">
        <v>0</v>
      </c>
      <c r="W84" s="34" t="e">
        <f t="shared" si="18"/>
        <v>#N/A</v>
      </c>
      <c r="X84" s="34" t="str">
        <f t="shared" si="17"/>
        <v/>
      </c>
      <c r="Y84" s="42"/>
      <c r="Z84" s="34"/>
    </row>
    <row r="85" spans="1:26" x14ac:dyDescent="0.3">
      <c r="A85" s="33" t="str">
        <f>+'[1]Test order'!A85</f>
        <v>2022 TOURIST BUS - EMPTY</v>
      </c>
      <c r="B85" s="33" t="str">
        <f>+'[1]Test order'!B85</f>
        <v>MOTORWAY</v>
      </c>
      <c r="C85" s="33" t="str">
        <f>+'[1]Test order'!C85</f>
        <v>Electric 290 kW</v>
      </c>
      <c r="D85" s="33" t="str">
        <f>+'[1]Test order'!D85</f>
        <v>Electricity</v>
      </c>
      <c r="E85" s="34">
        <f>+'[1]Test order'!E85</f>
        <v>3.25859697380583</v>
      </c>
      <c r="F85" s="34">
        <f>+'[1]Test order'!F85</f>
        <v>2.351988673210144</v>
      </c>
      <c r="G85" s="38">
        <f>+'[1]Test order'!G85</f>
        <v>0.72177955485644907</v>
      </c>
      <c r="H85" s="39">
        <f>+'[1]Test order'!H85</f>
        <v>1.1047699451446533</v>
      </c>
      <c r="I85" s="33" t="str">
        <f>+'[1]Test order'!I85</f>
        <v>km/kWh</v>
      </c>
      <c r="J85" s="33" t="str">
        <f>+'[1]Test order'!J85</f>
        <v>Electricity 2022 TOURIST BUS - EMPTY Electric 290 kW MOTORWAY 13500 kg 90.5 kWh /100km 72%</v>
      </c>
      <c r="K85" s="33">
        <f>+'[1]Test order'!K85</f>
        <v>0</v>
      </c>
      <c r="L85" s="33" t="str">
        <f t="shared" si="12"/>
        <v>2022</v>
      </c>
      <c r="M85" s="33" t="str">
        <f t="shared" si="13"/>
        <v>EMPTY</v>
      </c>
      <c r="N85" s="33" t="str">
        <f t="shared" si="14"/>
        <v xml:space="preserve">TOURIST BUS </v>
      </c>
      <c r="O85" s="33" t="str">
        <f t="shared" si="15"/>
        <v>Electricity km/kWh</v>
      </c>
      <c r="P85" s="41">
        <f>+'BEV B2'!$B$71</f>
        <v>550500</v>
      </c>
      <c r="Q85" s="41">
        <f t="shared" si="16"/>
        <v>375500</v>
      </c>
      <c r="R85" s="41">
        <f>+'BEV B2'!$B$73</f>
        <v>75000</v>
      </c>
      <c r="S85" s="41">
        <f>+'BEV B2'!$B$72</f>
        <v>100000</v>
      </c>
      <c r="T85" s="37">
        <f>'[1]Test order'!M85</f>
        <v>13500</v>
      </c>
      <c r="U85" s="33">
        <v>0</v>
      </c>
      <c r="V85" s="33">
        <v>0</v>
      </c>
      <c r="W85" s="34" t="e">
        <f t="shared" si="18"/>
        <v>#N/A</v>
      </c>
      <c r="X85" s="34" t="str">
        <f t="shared" si="17"/>
        <v/>
      </c>
      <c r="Y85" s="42"/>
      <c r="Z85" s="34"/>
    </row>
    <row r="86" spans="1:26" x14ac:dyDescent="0.3">
      <c r="A86" s="33" t="str">
        <f>+'[1]Test order'!A86</f>
        <v>2022 TOURIST BUS - TYPICAL</v>
      </c>
      <c r="B86" s="33" t="str">
        <f>+'[1]Test order'!B86</f>
        <v>CITY ROUTE</v>
      </c>
      <c r="C86" s="33" t="str">
        <f>+'[1]Test order'!C86</f>
        <v>Electric 290 kW</v>
      </c>
      <c r="D86" s="33" t="str">
        <f>+'[1]Test order'!D86</f>
        <v>Electricity</v>
      </c>
      <c r="E86" s="34">
        <f>+'[1]Test order'!E86</f>
        <v>3.9612657612335327</v>
      </c>
      <c r="F86" s="34">
        <f>+'[1]Test order'!F86</f>
        <v>1.2173406183719635</v>
      </c>
      <c r="G86" s="38">
        <f>+'[1]Test order'!G86</f>
        <v>0.30731101919122067</v>
      </c>
      <c r="H86" s="39">
        <f>+'[1]Test order'!H86</f>
        <v>0.90880042314529419</v>
      </c>
      <c r="I86" s="33" t="str">
        <f>+'[1]Test order'!I86</f>
        <v>km/kWh</v>
      </c>
      <c r="J86" s="33" t="str">
        <f>+'[1]Test order'!J86</f>
        <v>Electricity 2022 TOURIST BUS - TYPICAL Electric 290 kW CITY ROUTE 14711 kg 110.0 kWh /100km 31%</v>
      </c>
      <c r="K86" s="33">
        <f>+'[1]Test order'!K86</f>
        <v>0</v>
      </c>
      <c r="L86" s="33" t="str">
        <f t="shared" si="12"/>
        <v>2022</v>
      </c>
      <c r="M86" s="33" t="str">
        <f t="shared" si="13"/>
        <v>TYPICAL</v>
      </c>
      <c r="N86" s="33" t="str">
        <f t="shared" si="14"/>
        <v xml:space="preserve">TOURIST BUS </v>
      </c>
      <c r="O86" s="33" t="str">
        <f t="shared" si="15"/>
        <v>Electricity km/kWh</v>
      </c>
      <c r="P86" s="41">
        <f>+'BEV B2'!$B$71</f>
        <v>550500</v>
      </c>
      <c r="Q86" s="41">
        <f t="shared" si="16"/>
        <v>375500</v>
      </c>
      <c r="R86" s="41">
        <f>+'BEV B2'!$B$73</f>
        <v>75000</v>
      </c>
      <c r="S86" s="41">
        <f>+'BEV B2'!$B$72</f>
        <v>100000</v>
      </c>
      <c r="T86" s="37">
        <f>'[1]Test order'!M86</f>
        <v>14711</v>
      </c>
      <c r="U86" s="37">
        <f>+T86-T83</f>
        <v>1211</v>
      </c>
      <c r="V86" s="37">
        <f>+'FCV B2'!$B$7</f>
        <v>17.3</v>
      </c>
      <c r="W86" s="34">
        <f t="shared" si="18"/>
        <v>3.2710699927609683</v>
      </c>
      <c r="X86" s="34">
        <f t="shared" si="17"/>
        <v>0.22897489949326777</v>
      </c>
      <c r="Y86" s="42"/>
      <c r="Z86" s="34"/>
    </row>
    <row r="87" spans="1:26" x14ac:dyDescent="0.3">
      <c r="A87" s="33" t="str">
        <f>+'[1]Test order'!A87</f>
        <v>2022 TOURIST BUS - TYPICAL</v>
      </c>
      <c r="B87" s="33" t="str">
        <f>+'[1]Test order'!B87</f>
        <v>RURAL ROUTE</v>
      </c>
      <c r="C87" s="33" t="str">
        <f>+'[1]Test order'!C87</f>
        <v>Electric 290 kW</v>
      </c>
      <c r="D87" s="33" t="str">
        <f>+'[1]Test order'!D87</f>
        <v>Electricity</v>
      </c>
      <c r="E87" s="34">
        <f>+'[1]Test order'!E87</f>
        <v>3.0890598407751142</v>
      </c>
      <c r="F87" s="34">
        <f>+'[1]Test order'!F87</f>
        <v>1.9939061403274536</v>
      </c>
      <c r="G87" s="38">
        <f>+'[1]Test order'!G87</f>
        <v>0.64547345894961294</v>
      </c>
      <c r="H87" s="39">
        <f>+'[1]Test order'!H87</f>
        <v>1.1654031276702881</v>
      </c>
      <c r="I87" s="33" t="str">
        <f>+'[1]Test order'!I87</f>
        <v>km/kWh</v>
      </c>
      <c r="J87" s="33" t="str">
        <f>+'[1]Test order'!J87</f>
        <v>Electricity 2022 TOURIST BUS - TYPICAL Electric 290 kW RURAL ROUTE 14711 kg 85.8 kWh /100km 65%</v>
      </c>
      <c r="K87" s="33">
        <f>+'[1]Test order'!K87</f>
        <v>0</v>
      </c>
      <c r="L87" s="33" t="str">
        <f t="shared" si="12"/>
        <v>2022</v>
      </c>
      <c r="M87" s="33" t="str">
        <f t="shared" si="13"/>
        <v>TYPICAL</v>
      </c>
      <c r="N87" s="33" t="str">
        <f t="shared" si="14"/>
        <v xml:space="preserve">TOURIST BUS </v>
      </c>
      <c r="O87" s="33" t="str">
        <f t="shared" si="15"/>
        <v>Electricity km/kWh</v>
      </c>
      <c r="P87" s="41">
        <f>+'BEV B2'!$B$71</f>
        <v>550500</v>
      </c>
      <c r="Q87" s="41">
        <f t="shared" si="16"/>
        <v>375500</v>
      </c>
      <c r="R87" s="41">
        <f>+'BEV B2'!$B$73</f>
        <v>75000</v>
      </c>
      <c r="S87" s="41">
        <f>+'BEV B2'!$B$72</f>
        <v>100000</v>
      </c>
      <c r="T87" s="37">
        <f>'[1]Test order'!M87</f>
        <v>14711</v>
      </c>
      <c r="U87" s="37">
        <f t="shared" ref="U87:U88" si="21">+T87-T84</f>
        <v>1211</v>
      </c>
      <c r="V87" s="37">
        <f>+'FCV B2'!$B$7</f>
        <v>17.3</v>
      </c>
      <c r="W87" s="34">
        <f t="shared" si="18"/>
        <v>2.5508338899877079</v>
      </c>
      <c r="X87" s="34">
        <f t="shared" si="17"/>
        <v>0.17855837229913954</v>
      </c>
      <c r="Y87" s="42"/>
      <c r="Z87" s="34"/>
    </row>
    <row r="88" spans="1:26" x14ac:dyDescent="0.3">
      <c r="A88" s="33" t="str">
        <f>+'[1]Test order'!A88</f>
        <v>2022 TOURIST BUS - TYPICAL</v>
      </c>
      <c r="B88" s="33" t="str">
        <f>+'[1]Test order'!B88</f>
        <v>MOTORWAY</v>
      </c>
      <c r="C88" s="33" t="str">
        <f>+'[1]Test order'!C88</f>
        <v>Electric 290 kW</v>
      </c>
      <c r="D88" s="33" t="str">
        <f>+'[1]Test order'!D88</f>
        <v>Electricity</v>
      </c>
      <c r="E88" s="34">
        <f>+'[1]Test order'!E88</f>
        <v>3.3314423786236032</v>
      </c>
      <c r="F88" s="34">
        <f>+'[1]Test order'!F88</f>
        <v>2.4113911986351013</v>
      </c>
      <c r="G88" s="38">
        <f>+'[1]Test order'!G88</f>
        <v>0.72382797736738158</v>
      </c>
      <c r="H88" s="39">
        <f>+'[1]Test order'!H88</f>
        <v>1.0806130170822144</v>
      </c>
      <c r="I88" s="33" t="str">
        <f>+'[1]Test order'!I88</f>
        <v>km/kWh</v>
      </c>
      <c r="J88" s="33" t="str">
        <f>+'[1]Test order'!J88</f>
        <v>Electricity 2022 TOURIST BUS - TYPICAL Electric 290 kW MOTORWAY 14711 kg 92.5 kWh /100km 72%</v>
      </c>
      <c r="K88" s="33">
        <f>+'[1]Test order'!K88</f>
        <v>0</v>
      </c>
      <c r="L88" s="33" t="str">
        <f t="shared" si="12"/>
        <v>2022</v>
      </c>
      <c r="M88" s="33" t="str">
        <f t="shared" si="13"/>
        <v>TYPICAL</v>
      </c>
      <c r="N88" s="33" t="str">
        <f t="shared" si="14"/>
        <v xml:space="preserve">TOURIST BUS </v>
      </c>
      <c r="O88" s="33" t="str">
        <f t="shared" si="15"/>
        <v>Electricity km/kWh</v>
      </c>
      <c r="P88" s="41">
        <f>+'BEV B2'!$B$71</f>
        <v>550500</v>
      </c>
      <c r="Q88" s="41">
        <f t="shared" si="16"/>
        <v>375500</v>
      </c>
      <c r="R88" s="41">
        <f>+'BEV B2'!$B$73</f>
        <v>75000</v>
      </c>
      <c r="S88" s="41">
        <f>+'BEV B2'!$B$72</f>
        <v>100000</v>
      </c>
      <c r="T88" s="37">
        <f>'[1]Test order'!M88</f>
        <v>14711</v>
      </c>
      <c r="U88" s="37">
        <f t="shared" si="21"/>
        <v>1211</v>
      </c>
      <c r="V88" s="37">
        <f>+'FCV B2'!$B$7</f>
        <v>17.3</v>
      </c>
      <c r="W88" s="34">
        <f t="shared" si="18"/>
        <v>2.7509846231408779</v>
      </c>
      <c r="X88" s="34">
        <f t="shared" si="17"/>
        <v>0.19256892361986144</v>
      </c>
      <c r="Y88" s="42"/>
      <c r="Z88" s="34"/>
    </row>
    <row r="89" spans="1:26" x14ac:dyDescent="0.3">
      <c r="A89" s="33" t="str">
        <f>+'[1]Test order'!A89</f>
        <v>2022 TOURIST BUS - FULL</v>
      </c>
      <c r="B89" s="33" t="str">
        <f>+'[1]Test order'!B89</f>
        <v>CITY ROUTE</v>
      </c>
      <c r="C89" s="33" t="str">
        <f>+'[1]Test order'!C89</f>
        <v>Electric 290 kW</v>
      </c>
      <c r="D89" s="33" t="str">
        <f>+'[1]Test order'!D89</f>
        <v>Electricity</v>
      </c>
      <c r="E89" s="34">
        <f>+'[1]Test order'!E89</f>
        <v>4.8710049848824424</v>
      </c>
      <c r="F89" s="34">
        <f>+'[1]Test order'!F89</f>
        <v>1.3721795082092285</v>
      </c>
      <c r="G89" s="38">
        <f>+'[1]Test order'!G89</f>
        <v>0.28170357297270243</v>
      </c>
      <c r="H89" s="39">
        <f>+'[1]Test order'!H89</f>
        <v>0.7390671968460083</v>
      </c>
      <c r="I89" s="33" t="str">
        <f>+'[1]Test order'!I89</f>
        <v>km/kWh</v>
      </c>
      <c r="J89" s="33" t="str">
        <f>+'[1]Test order'!J89</f>
        <v>Electricity 2022 TOURIST BUS - FULL Electric 290 kW CITY ROUTE 18000 kg 135.3 kWh /100km 28%</v>
      </c>
      <c r="K89" s="33">
        <f>+'[1]Test order'!K89</f>
        <v>0</v>
      </c>
      <c r="L89" s="33" t="str">
        <f t="shared" si="12"/>
        <v>2022</v>
      </c>
      <c r="M89" s="33" t="str">
        <f t="shared" si="13"/>
        <v>FULL</v>
      </c>
      <c r="N89" s="33" t="str">
        <f t="shared" si="14"/>
        <v xml:space="preserve">TOURIST BUS </v>
      </c>
      <c r="O89" s="33" t="str">
        <f t="shared" si="15"/>
        <v>Electricity km/kWh</v>
      </c>
      <c r="P89" s="41">
        <f>+'BEV B2'!$B$71</f>
        <v>550500</v>
      </c>
      <c r="Q89" s="41">
        <f t="shared" si="16"/>
        <v>375500</v>
      </c>
      <c r="R89" s="41">
        <f>+'BEV B2'!$B$73</f>
        <v>75000</v>
      </c>
      <c r="S89" s="41">
        <f>+'BEV B2'!$B$72</f>
        <v>100000</v>
      </c>
      <c r="T89" s="37">
        <f>'[1]Test order'!M89</f>
        <v>18000</v>
      </c>
      <c r="U89" s="37">
        <f>+T89-T83</f>
        <v>4500</v>
      </c>
      <c r="V89" s="33">
        <f>+'FCV B2'!$B$4</f>
        <v>55</v>
      </c>
      <c r="W89" s="34">
        <f t="shared" si="18"/>
        <v>1.0824455521960983</v>
      </c>
      <c r="X89" s="34">
        <f t="shared" si="17"/>
        <v>8.8563726997862594E-2</v>
      </c>
      <c r="Y89" s="42"/>
      <c r="Z89" s="34"/>
    </row>
    <row r="90" spans="1:26" x14ac:dyDescent="0.3">
      <c r="A90" s="33" t="str">
        <f>+'[1]Test order'!A90</f>
        <v>2022 TOURIST BUS - FULL</v>
      </c>
      <c r="B90" s="33" t="str">
        <f>+'[1]Test order'!B90</f>
        <v>RURAL ROUTE</v>
      </c>
      <c r="C90" s="33" t="str">
        <f>+'[1]Test order'!C90</f>
        <v>Electric 290 kW</v>
      </c>
      <c r="D90" s="33" t="str">
        <f>+'[1]Test order'!D90</f>
        <v>Electricity</v>
      </c>
      <c r="E90" s="34">
        <f>+'[1]Test order'!E90</f>
        <v>3.3901477659974306</v>
      </c>
      <c r="F90" s="34">
        <f>+'[1]Test order'!F90</f>
        <v>2.1547120809555054</v>
      </c>
      <c r="G90" s="38">
        <f>+'[1]Test order'!G90</f>
        <v>0.6355805792794279</v>
      </c>
      <c r="H90" s="39">
        <f>+'[1]Test order'!H90</f>
        <v>1.0619006156921387</v>
      </c>
      <c r="I90" s="33" t="str">
        <f>+'[1]Test order'!I90</f>
        <v>km/kWh</v>
      </c>
      <c r="J90" s="33" t="str">
        <f>+'[1]Test order'!J90</f>
        <v>Electricity 2022 TOURIST BUS - FULL Electric 290 kW RURAL ROUTE 18000 kg 94.2 kWh /100km 64%</v>
      </c>
      <c r="K90" s="33">
        <f>+'[1]Test order'!K90</f>
        <v>0</v>
      </c>
      <c r="L90" s="33" t="str">
        <f t="shared" si="12"/>
        <v>2022</v>
      </c>
      <c r="M90" s="33" t="str">
        <f t="shared" si="13"/>
        <v>FULL</v>
      </c>
      <c r="N90" s="33" t="str">
        <f t="shared" si="14"/>
        <v xml:space="preserve">TOURIST BUS </v>
      </c>
      <c r="O90" s="33" t="str">
        <f t="shared" si="15"/>
        <v>Electricity km/kWh</v>
      </c>
      <c r="P90" s="41">
        <f>+'BEV B2'!$B$71</f>
        <v>550500</v>
      </c>
      <c r="Q90" s="41">
        <f t="shared" si="16"/>
        <v>375500</v>
      </c>
      <c r="R90" s="41">
        <f>+'BEV B2'!$B$73</f>
        <v>75000</v>
      </c>
      <c r="S90" s="41">
        <f>+'BEV B2'!$B$72</f>
        <v>100000</v>
      </c>
      <c r="T90" s="37">
        <f>'[1]Test order'!M90</f>
        <v>18000</v>
      </c>
      <c r="U90" s="37">
        <f t="shared" ref="U90:U91" si="22">+T90-T84</f>
        <v>4500</v>
      </c>
      <c r="V90" s="33">
        <f>+'FCV B2'!$B$4</f>
        <v>55</v>
      </c>
      <c r="W90" s="34">
        <f t="shared" si="18"/>
        <v>0.7533661702216512</v>
      </c>
      <c r="X90" s="34">
        <f t="shared" si="17"/>
        <v>6.1639050290862377E-2</v>
      </c>
      <c r="Y90" s="42"/>
      <c r="Z90" s="34"/>
    </row>
    <row r="91" spans="1:26" x14ac:dyDescent="0.3">
      <c r="A91" s="33" t="str">
        <f>+'[1]Test order'!A91</f>
        <v>2022 TOURIST BUS - FULL</v>
      </c>
      <c r="B91" s="33" t="str">
        <f>+'[1]Test order'!B91</f>
        <v>MOTORWAY</v>
      </c>
      <c r="C91" s="33" t="str">
        <f>+'[1]Test order'!C91</f>
        <v>Electric 290 kW</v>
      </c>
      <c r="D91" s="33" t="str">
        <f>+'[1]Test order'!D91</f>
        <v>Electricity</v>
      </c>
      <c r="E91" s="34">
        <f>+'[1]Test order'!E91</f>
        <v>3.5347082872606137</v>
      </c>
      <c r="F91" s="34">
        <f>+'[1]Test order'!F91</f>
        <v>2.572721540927887</v>
      </c>
      <c r="G91" s="38">
        <f>+'[1]Test order'!G91</f>
        <v>0.72784550572396367</v>
      </c>
      <c r="H91" s="39">
        <f>+'[1]Test order'!H91</f>
        <v>1.0184715986251831</v>
      </c>
      <c r="I91" s="33" t="str">
        <f>+'[1]Test order'!I91</f>
        <v>km/kWh</v>
      </c>
      <c r="J91" s="33" t="str">
        <f>+'[1]Test order'!J91</f>
        <v>Electricity 2022 TOURIST BUS - FULL Electric 290 kW MOTORWAY 18000 kg 98.2 kWh /100km 73%</v>
      </c>
      <c r="K91" s="33">
        <f>+'[1]Test order'!K91</f>
        <v>0</v>
      </c>
      <c r="L91" s="33" t="str">
        <f t="shared" si="12"/>
        <v>2022</v>
      </c>
      <c r="M91" s="33" t="str">
        <f t="shared" si="13"/>
        <v>FULL</v>
      </c>
      <c r="N91" s="33" t="str">
        <f t="shared" si="14"/>
        <v xml:space="preserve">TOURIST BUS </v>
      </c>
      <c r="O91" s="33" t="str">
        <f t="shared" si="15"/>
        <v>Electricity km/kWh</v>
      </c>
      <c r="P91" s="41">
        <f>+'BEV B2'!$B$71</f>
        <v>550500</v>
      </c>
      <c r="Q91" s="41">
        <f t="shared" si="16"/>
        <v>375500</v>
      </c>
      <c r="R91" s="41">
        <f>+'BEV B2'!$B$73</f>
        <v>75000</v>
      </c>
      <c r="S91" s="41">
        <f>+'BEV B2'!$B$72</f>
        <v>100000</v>
      </c>
      <c r="T91" s="37">
        <f>'[1]Test order'!M91</f>
        <v>18000</v>
      </c>
      <c r="U91" s="37">
        <f t="shared" si="22"/>
        <v>4500</v>
      </c>
      <c r="V91" s="33">
        <f>+'FCV B2'!$B$4</f>
        <v>55</v>
      </c>
      <c r="W91" s="34">
        <f t="shared" si="18"/>
        <v>0.78549073050235863</v>
      </c>
      <c r="X91" s="34">
        <f t="shared" si="17"/>
        <v>6.4267423404738427E-2</v>
      </c>
      <c r="Y91" s="42"/>
      <c r="Z91" s="34"/>
    </row>
    <row r="92" spans="1:26" x14ac:dyDescent="0.3">
      <c r="A92" s="33" t="str">
        <f>+'[1]Test order'!A92</f>
        <v>2022 RIGID TRUCK - EMPTY</v>
      </c>
      <c r="B92" s="33" t="str">
        <f>+'[1]Test order'!B92</f>
        <v>URBAN DELIVERY</v>
      </c>
      <c r="C92" s="33" t="str">
        <f>+'[1]Test order'!C92</f>
        <v>Fuel Cell 290 kW</v>
      </c>
      <c r="D92" s="33" t="str">
        <f>+'[1]Test order'!D92</f>
        <v>Hydrogen</v>
      </c>
      <c r="E92" s="34">
        <f>+'[1]Test order'!E92</f>
        <v>4.0157504829055313</v>
      </c>
      <c r="F92" s="34">
        <f>+'[1]Test order'!F92</f>
        <v>1.1398893892765045</v>
      </c>
      <c r="G92" s="38">
        <f>+'[1]Test order'!G92</f>
        <v>0.28385463542340311</v>
      </c>
      <c r="H92" s="39">
        <f>+'[1]Test order'!H92</f>
        <v>29.583511352539063</v>
      </c>
      <c r="I92" s="33" t="str">
        <f>+'[1]Test order'!I92</f>
        <v>km/kg</v>
      </c>
      <c r="J92" s="33" t="str">
        <f>+'[1]Test order'!J92</f>
        <v>Hydrogen 2022 RIGID TRUCK - EMPTY Fuel Cell 290 kW URBAN DELIVERY 9827 kg 3.4 kg /100km 28%</v>
      </c>
      <c r="K92" s="33">
        <f>+'[1]Test order'!K92</f>
        <v>0</v>
      </c>
      <c r="L92" s="33" t="str">
        <f t="shared" si="12"/>
        <v>2022</v>
      </c>
      <c r="M92" s="33" t="str">
        <f t="shared" si="13"/>
        <v>EMPTY</v>
      </c>
      <c r="N92" s="33" t="str">
        <f t="shared" si="14"/>
        <v xml:space="preserve">RIGID TRUCK </v>
      </c>
      <c r="O92" s="33" t="str">
        <f t="shared" si="15"/>
        <v>Hydrogen km/kg</v>
      </c>
      <c r="P92" s="41">
        <f>+'FCV L1'!$B$71</f>
        <v>330000</v>
      </c>
      <c r="Q92" s="41">
        <f t="shared" si="16"/>
        <v>100150</v>
      </c>
      <c r="R92" s="41">
        <f>+'FCV L1'!$B$73</f>
        <v>105000</v>
      </c>
      <c r="S92" s="41">
        <f>+'FCV L1'!$B$72</f>
        <v>124850</v>
      </c>
      <c r="T92" s="37">
        <f>'[1]Test order'!M92</f>
        <v>9827</v>
      </c>
      <c r="U92" s="33">
        <v>0</v>
      </c>
      <c r="V92" s="33">
        <v>0</v>
      </c>
      <c r="W92" s="34" t="e">
        <f t="shared" si="18"/>
        <v>#N/A</v>
      </c>
      <c r="X92" s="34" t="str">
        <f t="shared" si="17"/>
        <v/>
      </c>
      <c r="Y92" s="42"/>
      <c r="Z92" s="34"/>
    </row>
    <row r="93" spans="1:26" x14ac:dyDescent="0.3">
      <c r="A93" s="33" t="str">
        <f>+'[1]Test order'!A93</f>
        <v>2022 RIGID TRUCK - EMPTY</v>
      </c>
      <c r="B93" s="33" t="str">
        <f>+'[1]Test order'!B93</f>
        <v>REGIONAL DELIVERY</v>
      </c>
      <c r="C93" s="33" t="str">
        <f>+'[1]Test order'!C93</f>
        <v>Fuel Cell 290 kW</v>
      </c>
      <c r="D93" s="33" t="str">
        <f>+'[1]Test order'!D93</f>
        <v>Hydrogen</v>
      </c>
      <c r="E93" s="34">
        <f>+'[1]Test order'!E93</f>
        <v>4.8982906152962338</v>
      </c>
      <c r="F93" s="34">
        <f>+'[1]Test order'!F93</f>
        <v>1.8238623142242432</v>
      </c>
      <c r="G93" s="38">
        <f>+'[1]Test order'!G93</f>
        <v>0.37234669346256039</v>
      </c>
      <c r="H93" s="39">
        <f>+'[1]Test order'!H93</f>
        <v>24.253358840942383</v>
      </c>
      <c r="I93" s="33" t="str">
        <f>+'[1]Test order'!I93</f>
        <v>km/kg</v>
      </c>
      <c r="J93" s="33" t="str">
        <f>+'[1]Test order'!J93</f>
        <v>Hydrogen 2022 RIGID TRUCK - EMPTY Fuel Cell 290 kW REGIONAL DELIVERY 9827 kg 4.1 kg /100km 37%</v>
      </c>
      <c r="K93" s="33">
        <f>+'[1]Test order'!K93</f>
        <v>0</v>
      </c>
      <c r="L93" s="33" t="str">
        <f t="shared" si="12"/>
        <v>2022</v>
      </c>
      <c r="M93" s="33" t="str">
        <f t="shared" si="13"/>
        <v>EMPTY</v>
      </c>
      <c r="N93" s="33" t="str">
        <f t="shared" si="14"/>
        <v xml:space="preserve">RIGID TRUCK </v>
      </c>
      <c r="O93" s="33" t="str">
        <f t="shared" si="15"/>
        <v>Hydrogen km/kg</v>
      </c>
      <c r="P93" s="41">
        <f>+'FCV L1'!$B$71</f>
        <v>330000</v>
      </c>
      <c r="Q93" s="41">
        <f t="shared" si="16"/>
        <v>100150</v>
      </c>
      <c r="R93" s="41">
        <f>+'FCV L1'!$B$73</f>
        <v>105000</v>
      </c>
      <c r="S93" s="41">
        <f>+'FCV L1'!$B$72</f>
        <v>124850</v>
      </c>
      <c r="T93" s="37">
        <f>'[1]Test order'!M93</f>
        <v>9827</v>
      </c>
      <c r="U93" s="33">
        <v>0</v>
      </c>
      <c r="V93" s="33">
        <v>0</v>
      </c>
      <c r="W93" s="34" t="e">
        <f t="shared" si="18"/>
        <v>#N/A</v>
      </c>
      <c r="X93" s="34" t="str">
        <f t="shared" si="17"/>
        <v/>
      </c>
      <c r="Y93" s="42"/>
      <c r="Z93" s="34"/>
    </row>
    <row r="94" spans="1:26" x14ac:dyDescent="0.3">
      <c r="A94" s="33" t="str">
        <f>+'[1]Test order'!A94</f>
        <v>2022 RIGID TRUCK - EMPTY</v>
      </c>
      <c r="B94" s="33" t="str">
        <f>+'[1]Test order'!B94</f>
        <v>LONG HAUL</v>
      </c>
      <c r="C94" s="33" t="str">
        <f>+'[1]Test order'!C94</f>
        <v>Fuel Cell 290 kW</v>
      </c>
      <c r="D94" s="33" t="str">
        <f>+'[1]Test order'!D94</f>
        <v>Hydrogen</v>
      </c>
      <c r="E94" s="34">
        <f>+'[1]Test order'!E94</f>
        <v>5.4963602926901585</v>
      </c>
      <c r="F94" s="34">
        <f>+'[1]Test order'!F94</f>
        <v>2.263980358839035</v>
      </c>
      <c r="G94" s="38">
        <f>+'[1]Test order'!G94</f>
        <v>0.41190537706379948</v>
      </c>
      <c r="H94" s="39">
        <f>+'[1]Test order'!H94</f>
        <v>21.614303588867188</v>
      </c>
      <c r="I94" s="33" t="str">
        <f>+'[1]Test order'!I94</f>
        <v>km/kg</v>
      </c>
      <c r="J94" s="33" t="str">
        <f>+'[1]Test order'!J94</f>
        <v>Hydrogen 2022 RIGID TRUCK - EMPTY Fuel Cell 290 kW LONG HAUL 9827 kg 4.6 kg /100km 41%</v>
      </c>
      <c r="K94" s="33">
        <f>+'[1]Test order'!K94</f>
        <v>0</v>
      </c>
      <c r="L94" s="33" t="str">
        <f t="shared" si="12"/>
        <v>2022</v>
      </c>
      <c r="M94" s="33" t="str">
        <f t="shared" si="13"/>
        <v>EMPTY</v>
      </c>
      <c r="N94" s="33" t="str">
        <f t="shared" si="14"/>
        <v xml:space="preserve">RIGID TRUCK </v>
      </c>
      <c r="O94" s="33" t="str">
        <f t="shared" si="15"/>
        <v>Hydrogen km/kg</v>
      </c>
      <c r="P94" s="41">
        <f>+'FCV L1'!$B$71</f>
        <v>330000</v>
      </c>
      <c r="Q94" s="41">
        <f t="shared" si="16"/>
        <v>100150</v>
      </c>
      <c r="R94" s="41">
        <f>+'FCV L1'!$B$73</f>
        <v>105000</v>
      </c>
      <c r="S94" s="41">
        <f>+'FCV L1'!$B$72</f>
        <v>124850</v>
      </c>
      <c r="T94" s="37">
        <f>'[1]Test order'!M94</f>
        <v>9827</v>
      </c>
      <c r="U94" s="33">
        <v>0</v>
      </c>
      <c r="V94" s="33">
        <v>0</v>
      </c>
      <c r="W94" s="34" t="e">
        <f t="shared" si="18"/>
        <v>#N/A</v>
      </c>
      <c r="X94" s="34" t="str">
        <f t="shared" si="17"/>
        <v/>
      </c>
      <c r="Y94" s="42"/>
      <c r="Z94" s="34"/>
    </row>
    <row r="95" spans="1:26" x14ac:dyDescent="0.3">
      <c r="A95" s="33" t="str">
        <f>+'[1]Test order'!A95</f>
        <v>2022 RIGID TRUCK - TYPICAL</v>
      </c>
      <c r="B95" s="33" t="str">
        <f>+'[1]Test order'!B95</f>
        <v>URBAN DELIVERY</v>
      </c>
      <c r="C95" s="33" t="str">
        <f>+'[1]Test order'!C95</f>
        <v>Fuel Cell 290 kW</v>
      </c>
      <c r="D95" s="33" t="str">
        <f>+'[1]Test order'!D95</f>
        <v>Hydrogen</v>
      </c>
      <c r="E95" s="34">
        <f>+'[1]Test order'!E95</f>
        <v>6.8481271098929906</v>
      </c>
      <c r="F95" s="34">
        <f>+'[1]Test order'!F95</f>
        <v>1.6339920163154602</v>
      </c>
      <c r="G95" s="38">
        <f>+'[1]Test order'!G95</f>
        <v>0.23860421836431028</v>
      </c>
      <c r="H95" s="39">
        <f>+'[1]Test order'!H95</f>
        <v>17.347808837890625</v>
      </c>
      <c r="I95" s="33" t="str">
        <f>+'[1]Test order'!I95</f>
        <v>km/kg</v>
      </c>
      <c r="J95" s="33" t="str">
        <f>+'[1]Test order'!J95</f>
        <v>Hydrogen 2022 RIGID TRUCK - TYPICAL Fuel Cell 290 kW URBAN DELIVERY 20094.745 kg 5.8 kg /100km 24%</v>
      </c>
      <c r="K95" s="33">
        <f>+'[1]Test order'!K95</f>
        <v>0</v>
      </c>
      <c r="L95" s="33" t="str">
        <f t="shared" si="12"/>
        <v>2022</v>
      </c>
      <c r="M95" s="33" t="str">
        <f t="shared" si="13"/>
        <v>TYPICAL</v>
      </c>
      <c r="N95" s="33" t="str">
        <f t="shared" si="14"/>
        <v xml:space="preserve">RIGID TRUCK </v>
      </c>
      <c r="O95" s="33" t="str">
        <f t="shared" si="15"/>
        <v>Hydrogen km/kg</v>
      </c>
      <c r="P95" s="41">
        <f>+'FCV L1'!$B$71</f>
        <v>330000</v>
      </c>
      <c r="Q95" s="41">
        <f t="shared" si="16"/>
        <v>100150</v>
      </c>
      <c r="R95" s="41">
        <f>+'FCV L1'!$B$73</f>
        <v>105000</v>
      </c>
      <c r="S95" s="41">
        <f>+'FCV L1'!$B$72</f>
        <v>124850</v>
      </c>
      <c r="T95" s="37">
        <f>'[1]Test order'!M95</f>
        <v>20094.744999999999</v>
      </c>
      <c r="U95" s="37">
        <f>+'FCV L1'!$B$7</f>
        <v>10267.744999999999</v>
      </c>
      <c r="V95" s="33">
        <v>0</v>
      </c>
      <c r="W95" s="34">
        <f t="shared" si="18"/>
        <v>0.66695531588415868</v>
      </c>
      <c r="X95" s="34" t="str">
        <f t="shared" si="17"/>
        <v/>
      </c>
      <c r="Y95" s="42"/>
      <c r="Z95" s="34"/>
    </row>
    <row r="96" spans="1:26" x14ac:dyDescent="0.3">
      <c r="A96" s="33" t="str">
        <f>+'[1]Test order'!A96</f>
        <v>2022 RIGID TRUCK - TYPICAL</v>
      </c>
      <c r="B96" s="33" t="str">
        <f>+'[1]Test order'!B96</f>
        <v>REGIONAL DELIVERY</v>
      </c>
      <c r="C96" s="33" t="str">
        <f>+'[1]Test order'!C96</f>
        <v>Fuel Cell 290 kW</v>
      </c>
      <c r="D96" s="33" t="str">
        <f>+'[1]Test order'!D96</f>
        <v>Hydrogen</v>
      </c>
      <c r="E96" s="34">
        <f>+'[1]Test order'!E96</f>
        <v>6.6515564869677988</v>
      </c>
      <c r="F96" s="34">
        <f>+'[1]Test order'!F96</f>
        <v>2.3262148499488831</v>
      </c>
      <c r="G96" s="38">
        <f>+'[1]Test order'!G96</f>
        <v>0.34972488837861759</v>
      </c>
      <c r="H96" s="39">
        <f>+'[1]Test order'!H96</f>
        <v>17.860481262207031</v>
      </c>
      <c r="I96" s="33" t="str">
        <f>+'[1]Test order'!I96</f>
        <v>km/kg</v>
      </c>
      <c r="J96" s="33" t="str">
        <f>+'[1]Test order'!J96</f>
        <v>Hydrogen 2022 RIGID TRUCK - TYPICAL Fuel Cell 290 kW REGIONAL DELIVERY 20094.745 kg 5.6 kg /100km 35%</v>
      </c>
      <c r="K96" s="33">
        <f>+'[1]Test order'!K96</f>
        <v>0</v>
      </c>
      <c r="L96" s="33" t="str">
        <f t="shared" si="12"/>
        <v>2022</v>
      </c>
      <c r="M96" s="33" t="str">
        <f t="shared" si="13"/>
        <v>TYPICAL</v>
      </c>
      <c r="N96" s="33" t="str">
        <f t="shared" si="14"/>
        <v xml:space="preserve">RIGID TRUCK </v>
      </c>
      <c r="O96" s="33" t="str">
        <f t="shared" si="15"/>
        <v>Hydrogen km/kg</v>
      </c>
      <c r="P96" s="41">
        <f>+'FCV L1'!$B$71</f>
        <v>330000</v>
      </c>
      <c r="Q96" s="41">
        <f t="shared" si="16"/>
        <v>100150</v>
      </c>
      <c r="R96" s="41">
        <f>+'FCV L1'!$B$73</f>
        <v>105000</v>
      </c>
      <c r="S96" s="41">
        <f>+'FCV L1'!$B$72</f>
        <v>124850</v>
      </c>
      <c r="T96" s="37">
        <f>'[1]Test order'!M96</f>
        <v>20094.744999999999</v>
      </c>
      <c r="U96" s="37">
        <f>+'FCV L1'!$B$7</f>
        <v>10267.744999999999</v>
      </c>
      <c r="V96" s="33">
        <v>0</v>
      </c>
      <c r="W96" s="34">
        <f t="shared" si="18"/>
        <v>0.64781083743001022</v>
      </c>
      <c r="X96" s="34" t="str">
        <f t="shared" si="17"/>
        <v/>
      </c>
      <c r="Y96" s="42"/>
      <c r="Z96" s="34"/>
    </row>
    <row r="97" spans="1:26" x14ac:dyDescent="0.3">
      <c r="A97" s="33" t="str">
        <f>+'[1]Test order'!A97</f>
        <v>2022 RIGID TRUCK - TYPICAL</v>
      </c>
      <c r="B97" s="33" t="str">
        <f>+'[1]Test order'!B97</f>
        <v>LONG HAUL</v>
      </c>
      <c r="C97" s="33" t="str">
        <f>+'[1]Test order'!C97</f>
        <v>Fuel Cell 290 kW</v>
      </c>
      <c r="D97" s="33" t="str">
        <f>+'[1]Test order'!D97</f>
        <v>Hydrogen</v>
      </c>
      <c r="E97" s="34">
        <f>+'[1]Test order'!E97</f>
        <v>6.6198528581823011</v>
      </c>
      <c r="F97" s="34">
        <f>+'[1]Test order'!F97</f>
        <v>2.7676565051078796</v>
      </c>
      <c r="G97" s="38">
        <f>+'[1]Test order'!G97</f>
        <v>0.41808429347292636</v>
      </c>
      <c r="H97" s="39">
        <f>+'[1]Test order'!H97</f>
        <v>17.946018218994141</v>
      </c>
      <c r="I97" s="33" t="str">
        <f>+'[1]Test order'!I97</f>
        <v>km/kg</v>
      </c>
      <c r="J97" s="33" t="str">
        <f>+'[1]Test order'!J97</f>
        <v>Hydrogen 2022 RIGID TRUCK - TYPICAL Fuel Cell 290 kW LONG HAUL 20094.745 kg 5.6 kg /100km 42%</v>
      </c>
      <c r="K97" s="33">
        <f>+'[1]Test order'!K97</f>
        <v>0</v>
      </c>
      <c r="L97" s="33" t="str">
        <f t="shared" si="12"/>
        <v>2022</v>
      </c>
      <c r="M97" s="33" t="str">
        <f t="shared" si="13"/>
        <v>TYPICAL</v>
      </c>
      <c r="N97" s="33" t="str">
        <f t="shared" si="14"/>
        <v xml:space="preserve">RIGID TRUCK </v>
      </c>
      <c r="O97" s="33" t="str">
        <f t="shared" si="15"/>
        <v>Hydrogen km/kg</v>
      </c>
      <c r="P97" s="41">
        <f>+'FCV L1'!$B$71</f>
        <v>330000</v>
      </c>
      <c r="Q97" s="41">
        <f t="shared" si="16"/>
        <v>100150</v>
      </c>
      <c r="R97" s="41">
        <f>+'FCV L1'!$B$73</f>
        <v>105000</v>
      </c>
      <c r="S97" s="41">
        <f>+'FCV L1'!$B$72</f>
        <v>124850</v>
      </c>
      <c r="T97" s="37">
        <f>'[1]Test order'!M97</f>
        <v>20094.744999999999</v>
      </c>
      <c r="U97" s="37">
        <f>+'FCV L1'!$B$7</f>
        <v>10267.744999999999</v>
      </c>
      <c r="V97" s="33">
        <v>0</v>
      </c>
      <c r="W97" s="34">
        <f t="shared" si="18"/>
        <v>0.64472314594707036</v>
      </c>
      <c r="X97" s="34" t="str">
        <f t="shared" si="17"/>
        <v/>
      </c>
      <c r="Y97" s="42"/>
      <c r="Z97" s="34"/>
    </row>
    <row r="98" spans="1:26" x14ac:dyDescent="0.3">
      <c r="A98" s="33" t="str">
        <f>+'[1]Test order'!A98</f>
        <v>2022 RIGID TRUCK - FULL</v>
      </c>
      <c r="B98" s="33" t="str">
        <f>+'[1]Test order'!B98</f>
        <v>URBAN DELIVERY</v>
      </c>
      <c r="C98" s="33" t="str">
        <f>+'[1]Test order'!C98</f>
        <v>Fuel Cell 290 kW</v>
      </c>
      <c r="D98" s="33" t="str">
        <f>+'[1]Test order'!D98</f>
        <v>Hydrogen</v>
      </c>
      <c r="E98" s="34">
        <f>+'[1]Test order'!E98</f>
        <v>9.2410449217728523</v>
      </c>
      <c r="F98" s="34">
        <f>+'[1]Test order'!F98</f>
        <v>1.9996832609176636</v>
      </c>
      <c r="G98" s="38">
        <f>+'[1]Test order'!G98</f>
        <v>0.21639146631634743</v>
      </c>
      <c r="H98" s="39">
        <f>+'[1]Test order'!H98</f>
        <v>12.85568904876709</v>
      </c>
      <c r="I98" s="33" t="str">
        <f>+'[1]Test order'!I98</f>
        <v>km/kg</v>
      </c>
      <c r="J98" s="33" t="str">
        <f>+'[1]Test order'!J98</f>
        <v>Hydrogen 2022 RIGID TRUCK - FULL Fuel Cell 290 kW URBAN DELIVERY 28000 kg 7.8 kg /100km 22%</v>
      </c>
      <c r="K98" s="33">
        <f>+'[1]Test order'!K98</f>
        <v>0</v>
      </c>
      <c r="L98" s="33" t="str">
        <f t="shared" si="12"/>
        <v>2022</v>
      </c>
      <c r="M98" s="33" t="str">
        <f t="shared" si="13"/>
        <v>FULL</v>
      </c>
      <c r="N98" s="33" t="str">
        <f t="shared" si="14"/>
        <v xml:space="preserve">RIGID TRUCK </v>
      </c>
      <c r="O98" s="33" t="str">
        <f t="shared" si="15"/>
        <v>Hydrogen km/kg</v>
      </c>
      <c r="P98" s="41">
        <f>+'FCV L1'!$B$71</f>
        <v>330000</v>
      </c>
      <c r="Q98" s="41">
        <f t="shared" si="16"/>
        <v>100150</v>
      </c>
      <c r="R98" s="41">
        <f>+'FCV L1'!$B$73</f>
        <v>105000</v>
      </c>
      <c r="S98" s="41">
        <f>+'FCV L1'!$B$72</f>
        <v>124850</v>
      </c>
      <c r="T98" s="37">
        <f>'[1]Test order'!M98</f>
        <v>28000</v>
      </c>
      <c r="U98" s="33">
        <f>+'FCV L1'!$B$4</f>
        <v>18173</v>
      </c>
      <c r="V98" s="33">
        <v>0</v>
      </c>
      <c r="W98" s="34">
        <f t="shared" si="18"/>
        <v>0.50850409518367101</v>
      </c>
      <c r="X98" s="34" t="str">
        <f t="shared" si="17"/>
        <v/>
      </c>
      <c r="Y98" s="42"/>
      <c r="Z98" s="34"/>
    </row>
    <row r="99" spans="1:26" x14ac:dyDescent="0.3">
      <c r="A99" s="33" t="str">
        <f>+'[1]Test order'!A99</f>
        <v>2022 RIGID TRUCK - FULL</v>
      </c>
      <c r="B99" s="33" t="str">
        <f>+'[1]Test order'!B99</f>
        <v>REGIONAL DELIVERY</v>
      </c>
      <c r="C99" s="33" t="str">
        <f>+'[1]Test order'!C99</f>
        <v>Fuel Cell 290 kW</v>
      </c>
      <c r="D99" s="33" t="str">
        <f>+'[1]Test order'!D99</f>
        <v>Hydrogen</v>
      </c>
      <c r="E99" s="34">
        <f>+'[1]Test order'!E99</f>
        <v>8.1232522554639868</v>
      </c>
      <c r="F99" s="34">
        <f>+'[1]Test order'!F99</f>
        <v>2.7101609706878662</v>
      </c>
      <c r="G99" s="38">
        <f>+'[1]Test order'!G99</f>
        <v>0.33363003947894343</v>
      </c>
      <c r="H99" s="39">
        <f>+'[1]Test order'!H99</f>
        <v>14.62468433380127</v>
      </c>
      <c r="I99" s="33" t="str">
        <f>+'[1]Test order'!I99</f>
        <v>km/kg</v>
      </c>
      <c r="J99" s="33" t="str">
        <f>+'[1]Test order'!J99</f>
        <v>Hydrogen 2022 RIGID TRUCK - FULL Fuel Cell 290 kW REGIONAL DELIVERY 28000 kg 6.8 kg /100km 33%</v>
      </c>
      <c r="K99" s="33">
        <f>+'[1]Test order'!K99</f>
        <v>0</v>
      </c>
      <c r="L99" s="33" t="str">
        <f t="shared" si="12"/>
        <v>2022</v>
      </c>
      <c r="M99" s="33" t="str">
        <f t="shared" si="13"/>
        <v>FULL</v>
      </c>
      <c r="N99" s="33" t="str">
        <f t="shared" si="14"/>
        <v xml:space="preserve">RIGID TRUCK </v>
      </c>
      <c r="O99" s="33" t="str">
        <f t="shared" si="15"/>
        <v>Hydrogen km/kg</v>
      </c>
      <c r="P99" s="41">
        <f>+'FCV L1'!$B$71</f>
        <v>330000</v>
      </c>
      <c r="Q99" s="41">
        <f t="shared" si="16"/>
        <v>100150</v>
      </c>
      <c r="R99" s="41">
        <f>+'FCV L1'!$B$73</f>
        <v>105000</v>
      </c>
      <c r="S99" s="41">
        <f>+'FCV L1'!$B$72</f>
        <v>124850</v>
      </c>
      <c r="T99" s="37">
        <f>'[1]Test order'!M99</f>
        <v>28000</v>
      </c>
      <c r="U99" s="33">
        <f>+'FCV L1'!$B$4</f>
        <v>18173</v>
      </c>
      <c r="V99" s="33">
        <v>0</v>
      </c>
      <c r="W99" s="34">
        <f t="shared" si="18"/>
        <v>0.44699566694898951</v>
      </c>
      <c r="X99" s="34" t="str">
        <f t="shared" si="17"/>
        <v/>
      </c>
      <c r="Y99" s="42"/>
      <c r="Z99" s="34"/>
    </row>
    <row r="100" spans="1:26" x14ac:dyDescent="0.3">
      <c r="A100" s="33" t="str">
        <f>+'[1]Test order'!A100</f>
        <v>2022 RIGID TRUCK - FULL</v>
      </c>
      <c r="B100" s="33" t="str">
        <f>+'[1]Test order'!B100</f>
        <v>LONG HAUL</v>
      </c>
      <c r="C100" s="33" t="str">
        <f>+'[1]Test order'!C100</f>
        <v>Fuel Cell 290 kW</v>
      </c>
      <c r="D100" s="33" t="str">
        <f>+'[1]Test order'!D100</f>
        <v>Hydrogen</v>
      </c>
      <c r="E100" s="34">
        <f>+'[1]Test order'!E100</f>
        <v>7.5652743524816239</v>
      </c>
      <c r="F100" s="34">
        <f>+'[1]Test order'!F100</f>
        <v>3.1553997993469238</v>
      </c>
      <c r="G100" s="38">
        <f>+'[1]Test order'!G100</f>
        <v>0.41708993650862952</v>
      </c>
      <c r="H100" s="39">
        <f>+'[1]Test order'!H100</f>
        <v>15.703330039978027</v>
      </c>
      <c r="I100" s="33" t="str">
        <f>+'[1]Test order'!I100</f>
        <v>km/kg</v>
      </c>
      <c r="J100" s="33" t="str">
        <f>+'[1]Test order'!J100</f>
        <v>Hydrogen 2022 RIGID TRUCK - FULL Fuel Cell 290 kW LONG HAUL 28000 kg 6.4 kg /100km 42%</v>
      </c>
      <c r="K100" s="33">
        <f>+'[1]Test order'!K100</f>
        <v>0</v>
      </c>
      <c r="L100" s="33" t="str">
        <f t="shared" si="12"/>
        <v>2022</v>
      </c>
      <c r="M100" s="33" t="str">
        <f t="shared" si="13"/>
        <v>FULL</v>
      </c>
      <c r="N100" s="33" t="str">
        <f t="shared" si="14"/>
        <v xml:space="preserve">RIGID TRUCK </v>
      </c>
      <c r="O100" s="33" t="str">
        <f t="shared" si="15"/>
        <v>Hydrogen km/kg</v>
      </c>
      <c r="P100" s="41">
        <f>+'FCV L1'!$B$71</f>
        <v>330000</v>
      </c>
      <c r="Q100" s="41">
        <f t="shared" si="16"/>
        <v>100150</v>
      </c>
      <c r="R100" s="41">
        <f>+'FCV L1'!$B$73</f>
        <v>105000</v>
      </c>
      <c r="S100" s="41">
        <f>+'FCV L1'!$B$72</f>
        <v>124850</v>
      </c>
      <c r="T100" s="37">
        <f>'[1]Test order'!M100</f>
        <v>28000</v>
      </c>
      <c r="U100" s="33">
        <f>+'FCV L1'!$B$4</f>
        <v>18173</v>
      </c>
      <c r="V100" s="33">
        <v>0</v>
      </c>
      <c r="W100" s="34">
        <f t="shared" si="18"/>
        <v>0.41629199100212538</v>
      </c>
      <c r="X100" s="34" t="str">
        <f t="shared" si="17"/>
        <v/>
      </c>
      <c r="Y100" s="42"/>
      <c r="Z100" s="34"/>
    </row>
    <row r="101" spans="1:26" x14ac:dyDescent="0.3">
      <c r="A101" s="33" t="str">
        <f>+'[1]Test order'!A101</f>
        <v>2022 TRUCK WITH TRAILER - EMPTY</v>
      </c>
      <c r="B101" s="33" t="str">
        <f>+'[1]Test order'!B101</f>
        <v>URBAN DELIVERY</v>
      </c>
      <c r="C101" s="33" t="str">
        <f>+'[1]Test order'!C101</f>
        <v>Fuel Cell 290 kW</v>
      </c>
      <c r="D101" s="33" t="str">
        <f>+'[1]Test order'!D101</f>
        <v>Hydrogen</v>
      </c>
      <c r="E101" s="34">
        <f>+'[1]Test order'!E101</f>
        <v>5.5134346331503528</v>
      </c>
      <c r="F101" s="34">
        <f>+'[1]Test order'!F101</f>
        <v>1.5092143416404724</v>
      </c>
      <c r="G101" s="38">
        <f>+'[1]Test order'!G101</f>
        <v>0.27373396839895314</v>
      </c>
      <c r="H101" s="39">
        <f>+'[1]Test order'!H101</f>
        <v>21.547367095947266</v>
      </c>
      <c r="I101" s="33" t="str">
        <f>+'[1]Test order'!I101</f>
        <v>km/kg</v>
      </c>
      <c r="J101" s="33" t="str">
        <f>+'[1]Test order'!J101</f>
        <v>Hydrogen 2022 TRUCK WITH TRAILER - EMPTY Fuel Cell 290 kW URBAN DELIVERY 14623.73931275 kg 4.6 kg /100km 27%</v>
      </c>
      <c r="K101" s="33">
        <f>+'[1]Test order'!K101</f>
        <v>0</v>
      </c>
      <c r="L101" s="33" t="str">
        <f t="shared" si="12"/>
        <v>2022</v>
      </c>
      <c r="M101" s="33" t="str">
        <f t="shared" si="13"/>
        <v>EMPTY</v>
      </c>
      <c r="N101" s="33" t="str">
        <f t="shared" si="14"/>
        <v xml:space="preserve">TRUCK WITH TRAILER </v>
      </c>
      <c r="O101" s="33" t="str">
        <f t="shared" si="15"/>
        <v>Hydrogen km/kg</v>
      </c>
      <c r="P101" s="41">
        <f>+'FCV L2'!$B$71</f>
        <v>354800.5319148936</v>
      </c>
      <c r="Q101" s="41">
        <f t="shared" si="16"/>
        <v>124950.5319148936</v>
      </c>
      <c r="R101" s="41">
        <f>+'FCV L2'!$B$73</f>
        <v>105000</v>
      </c>
      <c r="S101" s="41">
        <f>+'FCV L2'!$B$72</f>
        <v>124850</v>
      </c>
      <c r="T101" s="37">
        <f>'[1]Test order'!M101</f>
        <v>14623.73931275</v>
      </c>
      <c r="U101" s="33">
        <v>0</v>
      </c>
      <c r="V101" s="33">
        <v>0</v>
      </c>
      <c r="W101" s="34" t="e">
        <f t="shared" si="18"/>
        <v>#N/A</v>
      </c>
      <c r="X101" s="34" t="str">
        <f t="shared" si="17"/>
        <v/>
      </c>
      <c r="Y101" s="42"/>
      <c r="Z101" s="34"/>
    </row>
    <row r="102" spans="1:26" x14ac:dyDescent="0.3">
      <c r="A102" s="33" t="str">
        <f>+'[1]Test order'!A102</f>
        <v>2022 TRUCK WITH TRAILER - EMPTY</v>
      </c>
      <c r="B102" s="33" t="str">
        <f>+'[1]Test order'!B102</f>
        <v>REGIONAL DELIVERY</v>
      </c>
      <c r="C102" s="33" t="str">
        <f>+'[1]Test order'!C102</f>
        <v>Fuel Cell 290 kW</v>
      </c>
      <c r="D102" s="33" t="str">
        <f>+'[1]Test order'!D102</f>
        <v>Hydrogen</v>
      </c>
      <c r="E102" s="34">
        <f>+'[1]Test order'!E102</f>
        <v>6.2549617730331146</v>
      </c>
      <c r="F102" s="34">
        <f>+'[1]Test order'!F102</f>
        <v>2.3366232514381409</v>
      </c>
      <c r="G102" s="38">
        <f>+'[1]Test order'!G102</f>
        <v>0.37356315453628758</v>
      </c>
      <c r="H102" s="39">
        <f>+'[1]Test order'!H102</f>
        <v>18.992921829223633</v>
      </c>
      <c r="I102" s="33" t="str">
        <f>+'[1]Test order'!I102</f>
        <v>km/kg</v>
      </c>
      <c r="J102" s="33" t="str">
        <f>+'[1]Test order'!J102</f>
        <v>Hydrogen 2022 TRUCK WITH TRAILER - EMPTY Fuel Cell 290 kW REGIONAL DELIVERY 14623.73931275 kg 5.3 kg /100km 37%</v>
      </c>
      <c r="K102" s="33">
        <f>+'[1]Test order'!K102</f>
        <v>0</v>
      </c>
      <c r="L102" s="33" t="str">
        <f t="shared" si="12"/>
        <v>2022</v>
      </c>
      <c r="M102" s="33" t="str">
        <f t="shared" si="13"/>
        <v>EMPTY</v>
      </c>
      <c r="N102" s="33" t="str">
        <f t="shared" si="14"/>
        <v xml:space="preserve">TRUCK WITH TRAILER </v>
      </c>
      <c r="O102" s="33" t="str">
        <f t="shared" si="15"/>
        <v>Hydrogen km/kg</v>
      </c>
      <c r="P102" s="41">
        <f>+'FCV L2'!$B$71</f>
        <v>354800.5319148936</v>
      </c>
      <c r="Q102" s="41">
        <f t="shared" si="16"/>
        <v>124950.5319148936</v>
      </c>
      <c r="R102" s="41">
        <f>+'FCV L2'!$B$73</f>
        <v>105000</v>
      </c>
      <c r="S102" s="41">
        <f>+'FCV L2'!$B$72</f>
        <v>124850</v>
      </c>
      <c r="T102" s="37">
        <f>'[1]Test order'!M102</f>
        <v>14623.73931275</v>
      </c>
      <c r="U102" s="33">
        <v>0</v>
      </c>
      <c r="V102" s="33">
        <v>0</v>
      </c>
      <c r="W102" s="34" t="e">
        <f t="shared" si="18"/>
        <v>#N/A</v>
      </c>
      <c r="X102" s="34" t="str">
        <f t="shared" si="17"/>
        <v/>
      </c>
      <c r="Y102" s="42"/>
      <c r="Z102" s="34"/>
    </row>
    <row r="103" spans="1:26" x14ac:dyDescent="0.3">
      <c r="A103" s="33" t="str">
        <f>+'[1]Test order'!A103</f>
        <v>2022 TRUCK WITH TRAILER - EMPTY</v>
      </c>
      <c r="B103" s="33" t="str">
        <f>+'[1]Test order'!B103</f>
        <v>LONG HAUL</v>
      </c>
      <c r="C103" s="33" t="str">
        <f>+'[1]Test order'!C103</f>
        <v>Fuel Cell 290 kW</v>
      </c>
      <c r="D103" s="33" t="str">
        <f>+'[1]Test order'!D103</f>
        <v>Hydrogen</v>
      </c>
      <c r="E103" s="34">
        <f>+'[1]Test order'!E103</f>
        <v>6.7694797344090523</v>
      </c>
      <c r="F103" s="34">
        <f>+'[1]Test order'!F103</f>
        <v>2.8679699897766113</v>
      </c>
      <c r="G103" s="38">
        <f>+'[1]Test order'!G103</f>
        <v>0.42366180301845208</v>
      </c>
      <c r="H103" s="39">
        <f>+'[1]Test order'!H103</f>
        <v>17.549354553222656</v>
      </c>
      <c r="I103" s="33" t="str">
        <f>+'[1]Test order'!I103</f>
        <v>km/kg</v>
      </c>
      <c r="J103" s="33" t="str">
        <f>+'[1]Test order'!J103</f>
        <v>Hydrogen 2022 TRUCK WITH TRAILER - EMPTY Fuel Cell 290 kW LONG HAUL 14623.73931275 kg 5.7 kg /100km 42%</v>
      </c>
      <c r="K103" s="33">
        <f>+'[1]Test order'!K103</f>
        <v>0</v>
      </c>
      <c r="L103" s="33" t="str">
        <f t="shared" si="12"/>
        <v>2022</v>
      </c>
      <c r="M103" s="33" t="str">
        <f t="shared" si="13"/>
        <v>EMPTY</v>
      </c>
      <c r="N103" s="33" t="str">
        <f t="shared" si="14"/>
        <v xml:space="preserve">TRUCK WITH TRAILER </v>
      </c>
      <c r="O103" s="33" t="str">
        <f t="shared" si="15"/>
        <v>Hydrogen km/kg</v>
      </c>
      <c r="P103" s="41">
        <f>+'FCV L2'!$B$71</f>
        <v>354800.5319148936</v>
      </c>
      <c r="Q103" s="41">
        <f t="shared" si="16"/>
        <v>124950.5319148936</v>
      </c>
      <c r="R103" s="41">
        <f>+'FCV L2'!$B$73</f>
        <v>105000</v>
      </c>
      <c r="S103" s="41">
        <f>+'FCV L2'!$B$72</f>
        <v>124850</v>
      </c>
      <c r="T103" s="37">
        <f>'[1]Test order'!M103</f>
        <v>14623.73931275</v>
      </c>
      <c r="U103" s="33">
        <v>0</v>
      </c>
      <c r="V103" s="33">
        <v>0</v>
      </c>
      <c r="W103" s="34" t="e">
        <f t="shared" si="18"/>
        <v>#N/A</v>
      </c>
      <c r="X103" s="34" t="str">
        <f t="shared" si="17"/>
        <v/>
      </c>
      <c r="Y103" s="42"/>
      <c r="Z103" s="34"/>
    </row>
    <row r="104" spans="1:26" x14ac:dyDescent="0.3">
      <c r="A104" s="33" t="str">
        <f>+'[1]Test order'!A104</f>
        <v>2022 TRUCK WITH TRAILER - TYPICAL</v>
      </c>
      <c r="B104" s="33" t="str">
        <f>+'[1]Test order'!B104</f>
        <v>URBAN DELIVERY</v>
      </c>
      <c r="C104" s="33" t="str">
        <f>+'[1]Test order'!C104</f>
        <v>Fuel Cell 290 kW</v>
      </c>
      <c r="D104" s="33" t="str">
        <f>+'[1]Test order'!D104</f>
        <v>Hydrogen</v>
      </c>
      <c r="E104" s="34">
        <f>+'[1]Test order'!E104</f>
        <v>12.782996890418419</v>
      </c>
      <c r="F104" s="34">
        <f>+'[1]Test order'!F104</f>
        <v>2.6317611336708069</v>
      </c>
      <c r="G104" s="38">
        <f>+'[1]Test order'!G104</f>
        <v>0.20587982272321925</v>
      </c>
      <c r="H104" s="39">
        <f>+'[1]Test order'!H104</f>
        <v>9.2935953140258789</v>
      </c>
      <c r="I104" s="33" t="str">
        <f>+'[1]Test order'!I104</f>
        <v>km/kg</v>
      </c>
      <c r="J104" s="33" t="str">
        <f>+'[1]Test order'!J104</f>
        <v>Hydrogen 2022 TRUCK WITH TRAILER - TYPICAL Fuel Cell 290 kW URBAN DELIVERY 39131.3266010463 kg 10.8 kg /100km 21%</v>
      </c>
      <c r="K104" s="33">
        <f>+'[1]Test order'!K104</f>
        <v>0</v>
      </c>
      <c r="L104" s="33" t="str">
        <f t="shared" si="12"/>
        <v>2022</v>
      </c>
      <c r="M104" s="33" t="str">
        <f t="shared" si="13"/>
        <v>TYPICAL</v>
      </c>
      <c r="N104" s="33" t="str">
        <f t="shared" si="14"/>
        <v xml:space="preserve">TRUCK WITH TRAILER </v>
      </c>
      <c r="O104" s="33" t="str">
        <f t="shared" si="15"/>
        <v>Hydrogen km/kg</v>
      </c>
      <c r="P104" s="41">
        <f>+'FCV L2'!$B$71</f>
        <v>354800.5319148936</v>
      </c>
      <c r="Q104" s="41">
        <f t="shared" si="16"/>
        <v>124950.5319148936</v>
      </c>
      <c r="R104" s="41">
        <f>+'FCV L2'!$B$73</f>
        <v>105000</v>
      </c>
      <c r="S104" s="41">
        <f>+'FCV L2'!$B$72</f>
        <v>124850</v>
      </c>
      <c r="T104" s="37">
        <f>'[1]Test order'!M104</f>
        <v>39131.326601046254</v>
      </c>
      <c r="U104" s="37">
        <f>+'FCV L2'!$B$7</f>
        <v>24507.58728829625</v>
      </c>
      <c r="V104" s="33">
        <v>0</v>
      </c>
      <c r="W104" s="34">
        <f t="shared" si="18"/>
        <v>0.52159344532960283</v>
      </c>
      <c r="X104" s="34" t="str">
        <f t="shared" si="17"/>
        <v/>
      </c>
      <c r="Y104" s="42"/>
      <c r="Z104" s="34"/>
    </row>
    <row r="105" spans="1:26" x14ac:dyDescent="0.3">
      <c r="A105" s="33" t="str">
        <f>+'[1]Test order'!A105</f>
        <v>2022 TRUCK WITH TRAILER - TYPICAL</v>
      </c>
      <c r="B105" s="33" t="str">
        <f>+'[1]Test order'!B105</f>
        <v>REGIONAL DELIVERY</v>
      </c>
      <c r="C105" s="33" t="str">
        <f>+'[1]Test order'!C105</f>
        <v>Fuel Cell 290 kW</v>
      </c>
      <c r="D105" s="33" t="str">
        <f>+'[1]Test order'!D105</f>
        <v>Hydrogen</v>
      </c>
      <c r="E105" s="34">
        <f>+'[1]Test order'!E105</f>
        <v>10.752666897422639</v>
      </c>
      <c r="F105" s="34">
        <f>+'[1]Test order'!F105</f>
        <v>3.5209494829177856</v>
      </c>
      <c r="G105" s="38">
        <f>+'[1]Test order'!G105</f>
        <v>0.32744894978209915</v>
      </c>
      <c r="H105" s="39">
        <f>+'[1]Test order'!H105</f>
        <v>11.048421859741211</v>
      </c>
      <c r="I105" s="33" t="str">
        <f>+'[1]Test order'!I105</f>
        <v>km/kg</v>
      </c>
      <c r="J105" s="33" t="str">
        <f>+'[1]Test order'!J105</f>
        <v>Hydrogen 2022 TRUCK WITH TRAILER - TYPICAL Fuel Cell 290 kW REGIONAL DELIVERY 39131.3266010463 kg 9.1 kg /100km 33%</v>
      </c>
      <c r="K105" s="33">
        <f>+'[1]Test order'!K105</f>
        <v>0</v>
      </c>
      <c r="L105" s="33" t="str">
        <f t="shared" si="12"/>
        <v>2022</v>
      </c>
      <c r="M105" s="33" t="str">
        <f t="shared" si="13"/>
        <v>TYPICAL</v>
      </c>
      <c r="N105" s="33" t="str">
        <f t="shared" si="14"/>
        <v xml:space="preserve">TRUCK WITH TRAILER </v>
      </c>
      <c r="O105" s="33" t="str">
        <f t="shared" si="15"/>
        <v>Hydrogen km/kg</v>
      </c>
      <c r="P105" s="41">
        <f>+'FCV L2'!$B$71</f>
        <v>354800.5319148936</v>
      </c>
      <c r="Q105" s="41">
        <f t="shared" si="16"/>
        <v>124950.5319148936</v>
      </c>
      <c r="R105" s="41">
        <f>+'FCV L2'!$B$73</f>
        <v>105000</v>
      </c>
      <c r="S105" s="41">
        <f>+'FCV L2'!$B$72</f>
        <v>124850</v>
      </c>
      <c r="T105" s="37">
        <f>'[1]Test order'!M105</f>
        <v>39131.326601046254</v>
      </c>
      <c r="U105" s="37">
        <f>+'FCV L2'!$B$7</f>
        <v>24507.58728829625</v>
      </c>
      <c r="V105" s="33">
        <v>0</v>
      </c>
      <c r="W105" s="34">
        <f t="shared" si="18"/>
        <v>0.43874848923042054</v>
      </c>
      <c r="X105" s="34" t="str">
        <f t="shared" si="17"/>
        <v/>
      </c>
      <c r="Y105" s="42"/>
      <c r="Z105" s="34"/>
    </row>
    <row r="106" spans="1:26" x14ac:dyDescent="0.3">
      <c r="A106" s="33" t="str">
        <f>+'[1]Test order'!A106</f>
        <v>2022 TRUCK WITH TRAILER - TYPICAL</v>
      </c>
      <c r="B106" s="33" t="str">
        <f>+'[1]Test order'!B106</f>
        <v>LONG HAUL</v>
      </c>
      <c r="C106" s="33" t="str">
        <f>+'[1]Test order'!C106</f>
        <v>Fuel Cell 290 kW</v>
      </c>
      <c r="D106" s="33" t="str">
        <f>+'[1]Test order'!D106</f>
        <v>Hydrogen</v>
      </c>
      <c r="E106" s="34">
        <f>+'[1]Test order'!E106</f>
        <v>9.6497848430675166</v>
      </c>
      <c r="F106" s="34">
        <f>+'[1]Test order'!F106</f>
        <v>4.0697423219680786</v>
      </c>
      <c r="G106" s="38">
        <f>+'[1]Test order'!G106</f>
        <v>0.42174435887985778</v>
      </c>
      <c r="H106" s="39">
        <f>+'[1]Test order'!H106</f>
        <v>12.311155319213867</v>
      </c>
      <c r="I106" s="33" t="str">
        <f>+'[1]Test order'!I106</f>
        <v>km/kg</v>
      </c>
      <c r="J106" s="33" t="str">
        <f>+'[1]Test order'!J106</f>
        <v>Hydrogen 2022 TRUCK WITH TRAILER - TYPICAL Fuel Cell 290 kW LONG HAUL 39131.3266010463 kg 8.1 kg /100km 42%</v>
      </c>
      <c r="K106" s="33">
        <f>+'[1]Test order'!K106</f>
        <v>0</v>
      </c>
      <c r="L106" s="33" t="str">
        <f t="shared" si="12"/>
        <v>2022</v>
      </c>
      <c r="M106" s="33" t="str">
        <f t="shared" si="13"/>
        <v>TYPICAL</v>
      </c>
      <c r="N106" s="33" t="str">
        <f t="shared" si="14"/>
        <v xml:space="preserve">TRUCK WITH TRAILER </v>
      </c>
      <c r="O106" s="33" t="str">
        <f t="shared" si="15"/>
        <v>Hydrogen km/kg</v>
      </c>
      <c r="P106" s="41">
        <f>+'FCV L2'!$B$71</f>
        <v>354800.5319148936</v>
      </c>
      <c r="Q106" s="41">
        <f t="shared" si="16"/>
        <v>124950.5319148936</v>
      </c>
      <c r="R106" s="41">
        <f>+'FCV L2'!$B$73</f>
        <v>105000</v>
      </c>
      <c r="S106" s="41">
        <f>+'FCV L2'!$B$72</f>
        <v>124850</v>
      </c>
      <c r="T106" s="37">
        <f>'[1]Test order'!M106</f>
        <v>39131.326601046254</v>
      </c>
      <c r="U106" s="37">
        <f>+'FCV L2'!$B$7</f>
        <v>24507.58728829625</v>
      </c>
      <c r="V106" s="33">
        <v>0</v>
      </c>
      <c r="W106" s="34">
        <f t="shared" si="18"/>
        <v>0.39374683152412276</v>
      </c>
      <c r="X106" s="34" t="str">
        <f t="shared" si="17"/>
        <v/>
      </c>
      <c r="Y106" s="42"/>
      <c r="Z106" s="34"/>
    </row>
    <row r="107" spans="1:26" x14ac:dyDescent="0.3">
      <c r="A107" s="33" t="str">
        <f>+'[1]Test order'!A107</f>
        <v>2022 TRUCK WITH TRAILER - FULL</v>
      </c>
      <c r="B107" s="33" t="str">
        <f>+'[1]Test order'!B107</f>
        <v>URBAN DELIVERY</v>
      </c>
      <c r="C107" s="33" t="str">
        <f>+'[1]Test order'!C107</f>
        <v>Fuel Cell 290 kW</v>
      </c>
      <c r="D107" s="33" t="str">
        <f>+'[1]Test order'!D107</f>
        <v>Hydrogen</v>
      </c>
      <c r="E107" s="34">
        <f>+'[1]Test order'!E107</f>
        <v>17.774226843398505</v>
      </c>
      <c r="F107" s="34">
        <f>+'[1]Test order'!F107</f>
        <v>3.4799278974533081</v>
      </c>
      <c r="G107" s="38">
        <f>+'[1]Test order'!G107</f>
        <v>0.19578505034922417</v>
      </c>
      <c r="H107" s="39">
        <f>+'[1]Test order'!H107</f>
        <v>6.6838350296020508</v>
      </c>
      <c r="I107" s="33" t="str">
        <f>+'[1]Test order'!I107</f>
        <v>km/kg</v>
      </c>
      <c r="J107" s="33" t="str">
        <f>+'[1]Test order'!J107</f>
        <v>Hydrogen 2022 TRUCK WITH TRAILER - FULL Fuel Cell 290 kW URBAN DELIVERY 58000 kg 15.0 kg /100km 20%</v>
      </c>
      <c r="K107" s="33">
        <f>+'[1]Test order'!K107</f>
        <v>0</v>
      </c>
      <c r="L107" s="33" t="str">
        <f t="shared" si="12"/>
        <v>2022</v>
      </c>
      <c r="M107" s="33" t="str">
        <f t="shared" si="13"/>
        <v>FULL</v>
      </c>
      <c r="N107" s="33" t="str">
        <f t="shared" si="14"/>
        <v xml:space="preserve">TRUCK WITH TRAILER </v>
      </c>
      <c r="O107" s="33" t="str">
        <f t="shared" si="15"/>
        <v>Hydrogen km/kg</v>
      </c>
      <c r="P107" s="41">
        <f>+'FCV L2'!$B$71</f>
        <v>354800.5319148936</v>
      </c>
      <c r="Q107" s="41">
        <f t="shared" si="16"/>
        <v>124950.5319148936</v>
      </c>
      <c r="R107" s="41">
        <f>+'FCV L2'!$B$73</f>
        <v>105000</v>
      </c>
      <c r="S107" s="41">
        <f>+'FCV L2'!$B$72</f>
        <v>124850</v>
      </c>
      <c r="T107" s="37">
        <f>'[1]Test order'!M107</f>
        <v>58000</v>
      </c>
      <c r="U107" s="37">
        <f>+'FCV L2'!$B$4</f>
        <v>43376.260687250004</v>
      </c>
      <c r="V107" s="33">
        <v>0</v>
      </c>
      <c r="W107" s="34">
        <f t="shared" si="18"/>
        <v>0.40976853610212305</v>
      </c>
      <c r="X107" s="34" t="str">
        <f t="shared" si="17"/>
        <v/>
      </c>
      <c r="Y107" s="42"/>
      <c r="Z107" s="34"/>
    </row>
    <row r="108" spans="1:26" x14ac:dyDescent="0.3">
      <c r="A108" s="33" t="str">
        <f>+'[1]Test order'!A108</f>
        <v>2022 TRUCK WITH TRAILER - FULL</v>
      </c>
      <c r="B108" s="33" t="str">
        <f>+'[1]Test order'!B108</f>
        <v>REGIONAL DELIVERY</v>
      </c>
      <c r="C108" s="33" t="str">
        <f>+'[1]Test order'!C108</f>
        <v>Fuel Cell 290 kW</v>
      </c>
      <c r="D108" s="33" t="str">
        <f>+'[1]Test order'!D108</f>
        <v>Hydrogen</v>
      </c>
      <c r="E108" s="34">
        <f>+'[1]Test order'!E108</f>
        <v>14.05366177414764</v>
      </c>
      <c r="F108" s="34">
        <f>+'[1]Test order'!F108</f>
        <v>4.4148313999176025</v>
      </c>
      <c r="G108" s="38">
        <f>+'[1]Test order'!G108</f>
        <v>0.3141410025989731</v>
      </c>
      <c r="H108" s="39">
        <f>+'[1]Test order'!H108</f>
        <v>8.453312873840332</v>
      </c>
      <c r="I108" s="33" t="str">
        <f>+'[1]Test order'!I108</f>
        <v>km/kg</v>
      </c>
      <c r="J108" s="33" t="str">
        <f>+'[1]Test order'!J108</f>
        <v>Hydrogen 2022 TRUCK WITH TRAILER - FULL Fuel Cell 290 kW REGIONAL DELIVERY 58000 kg 11.8 kg /100km 31%</v>
      </c>
      <c r="K108" s="33">
        <f>+'[1]Test order'!K108</f>
        <v>0</v>
      </c>
      <c r="L108" s="33" t="str">
        <f t="shared" si="12"/>
        <v>2022</v>
      </c>
      <c r="M108" s="33" t="str">
        <f t="shared" si="13"/>
        <v>FULL</v>
      </c>
      <c r="N108" s="33" t="str">
        <f t="shared" si="14"/>
        <v xml:space="preserve">TRUCK WITH TRAILER </v>
      </c>
      <c r="O108" s="33" t="str">
        <f t="shared" si="15"/>
        <v>Hydrogen km/kg</v>
      </c>
      <c r="P108" s="41">
        <f>+'FCV L2'!$B$71</f>
        <v>354800.5319148936</v>
      </c>
      <c r="Q108" s="41">
        <f t="shared" si="16"/>
        <v>124950.5319148936</v>
      </c>
      <c r="R108" s="41">
        <f>+'FCV L2'!$B$73</f>
        <v>105000</v>
      </c>
      <c r="S108" s="41">
        <f>+'FCV L2'!$B$72</f>
        <v>124850</v>
      </c>
      <c r="T108" s="37">
        <f>'[1]Test order'!M108</f>
        <v>58000</v>
      </c>
      <c r="U108" s="37">
        <f>+'FCV L2'!$B$4</f>
        <v>43376.260687250004</v>
      </c>
      <c r="V108" s="33">
        <v>0</v>
      </c>
      <c r="W108" s="34">
        <f t="shared" si="18"/>
        <v>0.32399431282186497</v>
      </c>
      <c r="X108" s="34" t="str">
        <f t="shared" si="17"/>
        <v/>
      </c>
      <c r="Y108" s="42"/>
      <c r="Z108" s="34"/>
    </row>
    <row r="109" spans="1:26" x14ac:dyDescent="0.3">
      <c r="A109" s="33" t="str">
        <f>+'[1]Test order'!A109</f>
        <v>2022 TRUCK WITH TRAILER - FULL</v>
      </c>
      <c r="B109" s="33" t="str">
        <f>+'[1]Test order'!B109</f>
        <v>LONG HAUL</v>
      </c>
      <c r="C109" s="33" t="str">
        <f>+'[1]Test order'!C109</f>
        <v>Fuel Cell 290 kW</v>
      </c>
      <c r="D109" s="33" t="str">
        <f>+'[1]Test order'!D109</f>
        <v>Hydrogen</v>
      </c>
      <c r="E109" s="34">
        <f>+'[1]Test order'!E109</f>
        <v>11.89244277856098</v>
      </c>
      <c r="F109" s="34">
        <f>+'[1]Test order'!F109</f>
        <v>4.9936258792877197</v>
      </c>
      <c r="G109" s="38">
        <f>+'[1]Test order'!G109</f>
        <v>0.41989908820834898</v>
      </c>
      <c r="H109" s="39">
        <f>+'[1]Test order'!H109</f>
        <v>9.989537239074707</v>
      </c>
      <c r="I109" s="33" t="str">
        <f>+'[1]Test order'!I109</f>
        <v>km/kg</v>
      </c>
      <c r="J109" s="33" t="str">
        <f>+'[1]Test order'!J109</f>
        <v>Hydrogen 2022 TRUCK WITH TRAILER - FULL Fuel Cell 290 kW LONG HAUL 58000 kg 10.0 kg /100km 42%</v>
      </c>
      <c r="K109" s="33">
        <f>+'[1]Test order'!K109</f>
        <v>0</v>
      </c>
      <c r="L109" s="33" t="str">
        <f t="shared" si="12"/>
        <v>2022</v>
      </c>
      <c r="M109" s="33" t="str">
        <f t="shared" si="13"/>
        <v>FULL</v>
      </c>
      <c r="N109" s="33" t="str">
        <f t="shared" si="14"/>
        <v xml:space="preserve">TRUCK WITH TRAILER </v>
      </c>
      <c r="O109" s="33" t="str">
        <f t="shared" si="15"/>
        <v>Hydrogen km/kg</v>
      </c>
      <c r="P109" s="41">
        <f>+'FCV L2'!$B$71</f>
        <v>354800.5319148936</v>
      </c>
      <c r="Q109" s="41">
        <f t="shared" si="16"/>
        <v>124950.5319148936</v>
      </c>
      <c r="R109" s="41">
        <f>+'FCV L2'!$B$73</f>
        <v>105000</v>
      </c>
      <c r="S109" s="41">
        <f>+'FCV L2'!$B$72</f>
        <v>124850</v>
      </c>
      <c r="T109" s="37">
        <f>'[1]Test order'!M109</f>
        <v>58000</v>
      </c>
      <c r="U109" s="37">
        <f>+'FCV L2'!$B$4</f>
        <v>43376.260687250004</v>
      </c>
      <c r="V109" s="33">
        <v>0</v>
      </c>
      <c r="W109" s="34">
        <f t="shared" si="18"/>
        <v>0.27416938643714489</v>
      </c>
      <c r="X109" s="34" t="str">
        <f t="shared" si="17"/>
        <v/>
      </c>
      <c r="Y109" s="42"/>
      <c r="Z109" s="34"/>
    </row>
    <row r="110" spans="1:26" x14ac:dyDescent="0.3">
      <c r="A110" s="33" t="str">
        <f>+'[1]Test order'!A110</f>
        <v>2022 SEMI TRUCK - EMPTY</v>
      </c>
      <c r="B110" s="33" t="str">
        <f>+'[1]Test order'!B110</f>
        <v>URBAN DELIVERY</v>
      </c>
      <c r="C110" s="33" t="str">
        <f>+'[1]Test order'!C110</f>
        <v>Fuel Cell 290 kW</v>
      </c>
      <c r="D110" s="33" t="str">
        <f>+'[1]Test order'!D110</f>
        <v>Hydrogen</v>
      </c>
      <c r="E110" s="34">
        <f>+'[1]Test order'!E110</f>
        <v>5.1234303270344803</v>
      </c>
      <c r="F110" s="34">
        <f>+'[1]Test order'!F110</f>
        <v>1.365938663482666</v>
      </c>
      <c r="G110" s="38">
        <f>+'[1]Test order'!G110</f>
        <v>0.26660627280810356</v>
      </c>
      <c r="H110" s="39">
        <f>+'[1]Test order'!H110</f>
        <v>23.187589645385742</v>
      </c>
      <c r="I110" s="33" t="str">
        <f>+'[1]Test order'!I110</f>
        <v>km/kg</v>
      </c>
      <c r="J110" s="33" t="str">
        <f>+'[1]Test order'!J110</f>
        <v>Hydrogen 2022 SEMI TRUCK - EMPTY Fuel Cell 290 kW URBAN DELIVERY 14000 kg 4.3 kg /100km 27%</v>
      </c>
      <c r="K110" s="33">
        <f>+'[1]Test order'!K110</f>
        <v>0</v>
      </c>
      <c r="L110" s="33" t="str">
        <f t="shared" si="12"/>
        <v>2022</v>
      </c>
      <c r="M110" s="33" t="str">
        <f t="shared" si="13"/>
        <v>EMPTY</v>
      </c>
      <c r="N110" s="33" t="str">
        <f t="shared" si="14"/>
        <v xml:space="preserve">SEMI TRUCK </v>
      </c>
      <c r="O110" s="33" t="str">
        <f t="shared" si="15"/>
        <v>Hydrogen km/kg</v>
      </c>
      <c r="P110" s="41">
        <f>+'FCV L3'!$B$71</f>
        <v>391800</v>
      </c>
      <c r="Q110" s="41">
        <f t="shared" si="16"/>
        <v>124450</v>
      </c>
      <c r="R110" s="41">
        <f>+'FCV L3'!$B$73</f>
        <v>142500</v>
      </c>
      <c r="S110" s="41">
        <f>+'FCV L3'!$B$72</f>
        <v>124850</v>
      </c>
      <c r="T110" s="37">
        <f>'[1]Test order'!M110</f>
        <v>14000</v>
      </c>
      <c r="U110" s="33">
        <v>0</v>
      </c>
      <c r="V110" s="33">
        <v>0</v>
      </c>
      <c r="W110" s="34" t="e">
        <f t="shared" si="18"/>
        <v>#N/A</v>
      </c>
      <c r="X110" s="34" t="str">
        <f t="shared" si="17"/>
        <v/>
      </c>
      <c r="Y110" s="42"/>
      <c r="Z110" s="34"/>
    </row>
    <row r="111" spans="1:26" x14ac:dyDescent="0.3">
      <c r="A111" s="33" t="str">
        <f>+'[1]Test order'!A111</f>
        <v>2022 SEMI TRUCK - EMPTY</v>
      </c>
      <c r="B111" s="33" t="str">
        <f>+'[1]Test order'!B111</f>
        <v>REGIONAL DELIVERY</v>
      </c>
      <c r="C111" s="33" t="str">
        <f>+'[1]Test order'!C111</f>
        <v>Fuel Cell 290 kW</v>
      </c>
      <c r="D111" s="33" t="str">
        <f>+'[1]Test order'!D111</f>
        <v>Hydrogen</v>
      </c>
      <c r="E111" s="34">
        <f>+'[1]Test order'!E111</f>
        <v>5.6775184072609042</v>
      </c>
      <c r="F111" s="34">
        <f>+'[1]Test order'!F111</f>
        <v>2.0747497081756592</v>
      </c>
      <c r="G111" s="38">
        <f>+'[1]Test order'!G111</f>
        <v>0.36543249345035833</v>
      </c>
      <c r="H111" s="39">
        <f>+'[1]Test order'!H111</f>
        <v>20.92463493347168</v>
      </c>
      <c r="I111" s="33" t="str">
        <f>+'[1]Test order'!I111</f>
        <v>km/kg</v>
      </c>
      <c r="J111" s="33" t="str">
        <f>+'[1]Test order'!J111</f>
        <v>Hydrogen 2022 SEMI TRUCK - EMPTY Fuel Cell 290 kW REGIONAL DELIVERY 14000 kg 4.8 kg /100km 37%</v>
      </c>
      <c r="K111" s="33">
        <f>+'[1]Test order'!K111</f>
        <v>0</v>
      </c>
      <c r="L111" s="33" t="str">
        <f t="shared" si="12"/>
        <v>2022</v>
      </c>
      <c r="M111" s="33" t="str">
        <f t="shared" si="13"/>
        <v>EMPTY</v>
      </c>
      <c r="N111" s="33" t="str">
        <f t="shared" si="14"/>
        <v xml:space="preserve">SEMI TRUCK </v>
      </c>
      <c r="O111" s="33" t="str">
        <f t="shared" si="15"/>
        <v>Hydrogen km/kg</v>
      </c>
      <c r="P111" s="41">
        <f>+'FCV L3'!$B$71</f>
        <v>391800</v>
      </c>
      <c r="Q111" s="41">
        <f t="shared" si="16"/>
        <v>124450</v>
      </c>
      <c r="R111" s="41">
        <f>+'FCV L3'!$B$73</f>
        <v>142500</v>
      </c>
      <c r="S111" s="41">
        <f>+'FCV L3'!$B$72</f>
        <v>124850</v>
      </c>
      <c r="T111" s="37">
        <f>'[1]Test order'!M111</f>
        <v>14000</v>
      </c>
      <c r="U111" s="33">
        <v>0</v>
      </c>
      <c r="V111" s="33">
        <v>0</v>
      </c>
      <c r="W111" s="34" t="e">
        <f t="shared" si="18"/>
        <v>#N/A</v>
      </c>
      <c r="X111" s="34" t="str">
        <f t="shared" si="17"/>
        <v/>
      </c>
      <c r="Y111" s="42"/>
      <c r="Z111" s="34"/>
    </row>
    <row r="112" spans="1:26" x14ac:dyDescent="0.3">
      <c r="A112" s="33" t="str">
        <f>+'[1]Test order'!A112</f>
        <v>2022 SEMI TRUCK - EMPTY</v>
      </c>
      <c r="B112" s="33" t="str">
        <f>+'[1]Test order'!B112</f>
        <v>LONG HAUL</v>
      </c>
      <c r="C112" s="33" t="str">
        <f>+'[1]Test order'!C112</f>
        <v>Fuel Cell 290 kW</v>
      </c>
      <c r="D112" s="33" t="str">
        <f>+'[1]Test order'!D112</f>
        <v>Hydrogen</v>
      </c>
      <c r="E112" s="34">
        <f>+'[1]Test order'!E112</f>
        <v>6.0600366664561856</v>
      </c>
      <c r="F112" s="34">
        <f>+'[1]Test order'!F112</f>
        <v>2.5301297903060913</v>
      </c>
      <c r="G112" s="38">
        <f>+'[1]Test order'!G112</f>
        <v>0.41751064053968368</v>
      </c>
      <c r="H112" s="39">
        <f>+'[1]Test order'!H112</f>
        <v>19.603841781616211</v>
      </c>
      <c r="I112" s="33" t="str">
        <f>+'[1]Test order'!I112</f>
        <v>km/kg</v>
      </c>
      <c r="J112" s="33" t="str">
        <f>+'[1]Test order'!J112</f>
        <v>Hydrogen 2022 SEMI TRUCK - EMPTY Fuel Cell 290 kW LONG HAUL 14000 kg 5.1 kg /100km 42%</v>
      </c>
      <c r="K112" s="33">
        <f>+'[1]Test order'!K112</f>
        <v>0</v>
      </c>
      <c r="L112" s="33" t="str">
        <f t="shared" si="12"/>
        <v>2022</v>
      </c>
      <c r="M112" s="33" t="str">
        <f t="shared" si="13"/>
        <v>EMPTY</v>
      </c>
      <c r="N112" s="33" t="str">
        <f t="shared" si="14"/>
        <v xml:space="preserve">SEMI TRUCK </v>
      </c>
      <c r="O112" s="33" t="str">
        <f t="shared" si="15"/>
        <v>Hydrogen km/kg</v>
      </c>
      <c r="P112" s="41">
        <f>+'FCV L3'!$B$71</f>
        <v>391800</v>
      </c>
      <c r="Q112" s="41">
        <f t="shared" si="16"/>
        <v>124450</v>
      </c>
      <c r="R112" s="41">
        <f>+'FCV L3'!$B$73</f>
        <v>142500</v>
      </c>
      <c r="S112" s="41">
        <f>+'FCV L3'!$B$72</f>
        <v>124850</v>
      </c>
      <c r="T112" s="37">
        <f>'[1]Test order'!M112</f>
        <v>14000</v>
      </c>
      <c r="U112" s="33">
        <v>0</v>
      </c>
      <c r="V112" s="33">
        <v>0</v>
      </c>
      <c r="W112" s="34" t="e">
        <f t="shared" si="18"/>
        <v>#N/A</v>
      </c>
      <c r="X112" s="34" t="str">
        <f t="shared" si="17"/>
        <v/>
      </c>
      <c r="Y112" s="42"/>
      <c r="Z112" s="34"/>
    </row>
    <row r="113" spans="1:26" x14ac:dyDescent="0.3">
      <c r="A113" s="33" t="str">
        <f>+'[1]Test order'!A113</f>
        <v>2022 SEMI TRUCK - TYPICAL</v>
      </c>
      <c r="B113" s="33" t="str">
        <f>+'[1]Test order'!B113</f>
        <v>URBAN DELIVERY</v>
      </c>
      <c r="C113" s="33" t="str">
        <f>+'[1]Test order'!C113</f>
        <v>Fuel Cell 290 kW</v>
      </c>
      <c r="D113" s="33" t="str">
        <f>+'[1]Test order'!D113</f>
        <v>Hydrogen</v>
      </c>
      <c r="E113" s="34">
        <f>+'[1]Test order'!E113</f>
        <v>11.51426493040927</v>
      </c>
      <c r="F113" s="34">
        <f>+'[1]Test order'!F113</f>
        <v>2.3634082078933716</v>
      </c>
      <c r="G113" s="38">
        <f>+'[1]Test order'!G113</f>
        <v>0.20525914786375904</v>
      </c>
      <c r="H113" s="39">
        <f>+'[1]Test order'!H113</f>
        <v>10.317636489868164</v>
      </c>
      <c r="I113" s="33" t="str">
        <f>+'[1]Test order'!I113</f>
        <v>km/kg</v>
      </c>
      <c r="J113" s="33" t="str">
        <f>+'[1]Test order'!J113</f>
        <v>Hydrogen 2022 SEMI TRUCK - TYPICAL Fuel Cell 290 kW URBAN DELIVERY 35470 kg 9.7 kg /100km 21%</v>
      </c>
      <c r="K113" s="33">
        <f>+'[1]Test order'!K113</f>
        <v>0</v>
      </c>
      <c r="L113" s="33" t="str">
        <f t="shared" si="12"/>
        <v>2022</v>
      </c>
      <c r="M113" s="33" t="str">
        <f t="shared" si="13"/>
        <v>TYPICAL</v>
      </c>
      <c r="N113" s="33" t="str">
        <f t="shared" si="14"/>
        <v xml:space="preserve">SEMI TRUCK </v>
      </c>
      <c r="O113" s="33" t="str">
        <f t="shared" si="15"/>
        <v>Hydrogen km/kg</v>
      </c>
      <c r="P113" s="41">
        <f>+'FCV L3'!$B$71</f>
        <v>391800</v>
      </c>
      <c r="Q113" s="41">
        <f t="shared" si="16"/>
        <v>124450</v>
      </c>
      <c r="R113" s="41">
        <f>+'FCV L3'!$B$73</f>
        <v>142500</v>
      </c>
      <c r="S113" s="41">
        <f>+'FCV L3'!$B$72</f>
        <v>124850</v>
      </c>
      <c r="T113" s="37">
        <f>'[1]Test order'!M113</f>
        <v>35470</v>
      </c>
      <c r="U113" s="37">
        <f>+'FCV L3'!$B$7</f>
        <v>21469.999999999996</v>
      </c>
      <c r="V113" s="33">
        <v>0</v>
      </c>
      <c r="W113" s="34">
        <f t="shared" si="18"/>
        <v>0.5362955254033196</v>
      </c>
      <c r="X113" s="34" t="str">
        <f t="shared" si="17"/>
        <v/>
      </c>
      <c r="Y113" s="42"/>
      <c r="Z113" s="34"/>
    </row>
    <row r="114" spans="1:26" x14ac:dyDescent="0.3">
      <c r="A114" s="33" t="str">
        <f>+'[1]Test order'!A114</f>
        <v>2022 SEMI TRUCK - TYPICAL</v>
      </c>
      <c r="B114" s="33" t="str">
        <f>+'[1]Test order'!B114</f>
        <v>REGIONAL DELIVERY</v>
      </c>
      <c r="C114" s="33" t="str">
        <f>+'[1]Test order'!C114</f>
        <v>Fuel Cell 290 kW</v>
      </c>
      <c r="D114" s="33" t="str">
        <f>+'[1]Test order'!D114</f>
        <v>Hydrogen</v>
      </c>
      <c r="E114" s="34">
        <f>+'[1]Test order'!E114</f>
        <v>9.6260388607488423</v>
      </c>
      <c r="F114" s="34">
        <f>+'[1]Test order'!F114</f>
        <v>3.1172147989273071</v>
      </c>
      <c r="G114" s="38">
        <f>+'[1]Test order'!G114</f>
        <v>0.32383152031912826</v>
      </c>
      <c r="H114" s="39">
        <f>+'[1]Test order'!H114</f>
        <v>12.341525077819824</v>
      </c>
      <c r="I114" s="33" t="str">
        <f>+'[1]Test order'!I114</f>
        <v>km/kg</v>
      </c>
      <c r="J114" s="33" t="str">
        <f>+'[1]Test order'!J114</f>
        <v>Hydrogen 2022 SEMI TRUCK - TYPICAL Fuel Cell 290 kW REGIONAL DELIVERY 35470 kg 8.1 kg /100km 32%</v>
      </c>
      <c r="K114" s="33">
        <f>+'[1]Test order'!K114</f>
        <v>0</v>
      </c>
      <c r="L114" s="33" t="str">
        <f t="shared" si="12"/>
        <v>2022</v>
      </c>
      <c r="M114" s="33" t="str">
        <f t="shared" si="13"/>
        <v>TYPICAL</v>
      </c>
      <c r="N114" s="33" t="str">
        <f t="shared" si="14"/>
        <v xml:space="preserve">SEMI TRUCK </v>
      </c>
      <c r="O114" s="33" t="str">
        <f t="shared" si="15"/>
        <v>Hydrogen km/kg</v>
      </c>
      <c r="P114" s="41">
        <f>+'FCV L3'!$B$71</f>
        <v>391800</v>
      </c>
      <c r="Q114" s="41">
        <f t="shared" si="16"/>
        <v>124450</v>
      </c>
      <c r="R114" s="41">
        <f>+'FCV L3'!$B$73</f>
        <v>142500</v>
      </c>
      <c r="S114" s="41">
        <f>+'FCV L3'!$B$72</f>
        <v>124850</v>
      </c>
      <c r="T114" s="37">
        <f>'[1]Test order'!M114</f>
        <v>35470</v>
      </c>
      <c r="U114" s="37">
        <f>+'FCV L3'!$B$7</f>
        <v>21469.999999999996</v>
      </c>
      <c r="V114" s="33">
        <v>0</v>
      </c>
      <c r="W114" s="34">
        <f t="shared" si="18"/>
        <v>0.44834834004419394</v>
      </c>
      <c r="X114" s="34" t="str">
        <f t="shared" si="17"/>
        <v/>
      </c>
      <c r="Y114" s="42"/>
      <c r="Z114" s="34"/>
    </row>
    <row r="115" spans="1:26" x14ac:dyDescent="0.3">
      <c r="A115" s="33" t="str">
        <f>+'[1]Test order'!A115</f>
        <v>2022 SEMI TRUCK - TYPICAL</v>
      </c>
      <c r="B115" s="33" t="str">
        <f>+'[1]Test order'!B115</f>
        <v>LONG HAUL</v>
      </c>
      <c r="C115" s="33" t="str">
        <f>+'[1]Test order'!C115</f>
        <v>Fuel Cell 290 kW</v>
      </c>
      <c r="D115" s="33" t="str">
        <f>+'[1]Test order'!D115</f>
        <v>Hydrogen</v>
      </c>
      <c r="E115" s="34">
        <f>+'[1]Test order'!E115</f>
        <v>8.6001354251698618</v>
      </c>
      <c r="F115" s="34">
        <f>+'[1]Test order'!F115</f>
        <v>3.5831567049026489</v>
      </c>
      <c r="G115" s="38">
        <f>+'[1]Test order'!G115</f>
        <v>0.41663956760679471</v>
      </c>
      <c r="H115" s="39">
        <f>+'[1]Test order'!H115</f>
        <v>13.813735961914063</v>
      </c>
      <c r="I115" s="33" t="str">
        <f>+'[1]Test order'!I115</f>
        <v>km/kg</v>
      </c>
      <c r="J115" s="33" t="str">
        <f>+'[1]Test order'!J115</f>
        <v>Hydrogen 2022 SEMI TRUCK - TYPICAL Fuel Cell 290 kW LONG HAUL 35470 kg 7.2 kg /100km 42%</v>
      </c>
      <c r="K115" s="33">
        <f>+'[1]Test order'!K115</f>
        <v>0</v>
      </c>
      <c r="L115" s="33" t="str">
        <f t="shared" si="12"/>
        <v>2022</v>
      </c>
      <c r="M115" s="33" t="str">
        <f t="shared" si="13"/>
        <v>TYPICAL</v>
      </c>
      <c r="N115" s="33" t="str">
        <f t="shared" si="14"/>
        <v xml:space="preserve">SEMI TRUCK </v>
      </c>
      <c r="O115" s="33" t="str">
        <f t="shared" si="15"/>
        <v>Hydrogen km/kg</v>
      </c>
      <c r="P115" s="41">
        <f>+'FCV L3'!$B$71</f>
        <v>391800</v>
      </c>
      <c r="Q115" s="41">
        <f t="shared" si="16"/>
        <v>124450</v>
      </c>
      <c r="R115" s="41">
        <f>+'FCV L3'!$B$73</f>
        <v>142500</v>
      </c>
      <c r="S115" s="41">
        <f>+'FCV L3'!$B$72</f>
        <v>124850</v>
      </c>
      <c r="T115" s="37">
        <f>'[1]Test order'!M115</f>
        <v>35470</v>
      </c>
      <c r="U115" s="37">
        <f>+'FCV L3'!$B$7</f>
        <v>21469.999999999996</v>
      </c>
      <c r="V115" s="33">
        <v>0</v>
      </c>
      <c r="W115" s="34">
        <f t="shared" si="18"/>
        <v>0.40056522706892705</v>
      </c>
      <c r="X115" s="34" t="str">
        <f t="shared" si="17"/>
        <v/>
      </c>
      <c r="Y115" s="42"/>
      <c r="Z115" s="34"/>
    </row>
    <row r="116" spans="1:26" x14ac:dyDescent="0.3">
      <c r="A116" s="33" t="str">
        <f>+'[1]Test order'!A116</f>
        <v>2022 SEMI TRUCK - FULL</v>
      </c>
      <c r="B116" s="33" t="str">
        <f>+'[1]Test order'!B116</f>
        <v>URBAN DELIVERY</v>
      </c>
      <c r="C116" s="33" t="str">
        <f>+'[1]Test order'!C116</f>
        <v>Fuel Cell 290 kW</v>
      </c>
      <c r="D116" s="33" t="str">
        <f>+'[1]Test order'!D116</f>
        <v>Hydrogen</v>
      </c>
      <c r="E116" s="34">
        <f>+'[1]Test order'!E116</f>
        <v>16.190117634581974</v>
      </c>
      <c r="F116" s="34">
        <f>+'[1]Test order'!F116</f>
        <v>3.1176701784133911</v>
      </c>
      <c r="G116" s="38">
        <f>+'[1]Test order'!G116</f>
        <v>0.19256624619910545</v>
      </c>
      <c r="H116" s="39">
        <f>+'[1]Test order'!H116</f>
        <v>7.3378095626831055</v>
      </c>
      <c r="I116" s="33" t="str">
        <f>+'[1]Test order'!I116</f>
        <v>km/kg</v>
      </c>
      <c r="J116" s="33" t="str">
        <f>+'[1]Test order'!J116</f>
        <v>Hydrogen 2022 SEMI TRUCK - FULL Fuel Cell 290 kW URBAN DELIVERY 52000 kg 13.6 kg /100km 19%</v>
      </c>
      <c r="K116" s="33">
        <f>+'[1]Test order'!K116</f>
        <v>0</v>
      </c>
      <c r="L116" s="33" t="str">
        <f t="shared" si="12"/>
        <v>2022</v>
      </c>
      <c r="M116" s="33" t="str">
        <f t="shared" si="13"/>
        <v>FULL</v>
      </c>
      <c r="N116" s="33" t="str">
        <f t="shared" si="14"/>
        <v xml:space="preserve">SEMI TRUCK </v>
      </c>
      <c r="O116" s="33" t="str">
        <f t="shared" si="15"/>
        <v>Hydrogen km/kg</v>
      </c>
      <c r="P116" s="41">
        <f>+'FCV L3'!$B$71</f>
        <v>391800</v>
      </c>
      <c r="Q116" s="41">
        <f t="shared" si="16"/>
        <v>124450</v>
      </c>
      <c r="R116" s="41">
        <f>+'FCV L3'!$B$73</f>
        <v>142500</v>
      </c>
      <c r="S116" s="41">
        <f>+'FCV L3'!$B$72</f>
        <v>124850</v>
      </c>
      <c r="T116" s="37">
        <f>'[1]Test order'!M116</f>
        <v>52000</v>
      </c>
      <c r="U116" s="37">
        <f>+'FCV L3'!$B$4</f>
        <v>38000</v>
      </c>
      <c r="V116" s="33">
        <v>0</v>
      </c>
      <c r="W116" s="34">
        <f t="shared" si="18"/>
        <v>0.4260557272258414</v>
      </c>
      <c r="X116" s="34" t="str">
        <f t="shared" si="17"/>
        <v/>
      </c>
      <c r="Y116" s="42"/>
      <c r="Z116" s="34"/>
    </row>
    <row r="117" spans="1:26" x14ac:dyDescent="0.3">
      <c r="A117" s="33" t="str">
        <f>+'[1]Test order'!A117</f>
        <v>2022 SEMI TRUCK - FULL</v>
      </c>
      <c r="B117" s="33" t="str">
        <f>+'[1]Test order'!B117</f>
        <v>REGIONAL DELIVERY</v>
      </c>
      <c r="C117" s="33" t="str">
        <f>+'[1]Test order'!C117</f>
        <v>Fuel Cell 290 kW</v>
      </c>
      <c r="D117" s="33" t="str">
        <f>+'[1]Test order'!D117</f>
        <v>Hydrogen</v>
      </c>
      <c r="E117" s="34">
        <f>+'[1]Test order'!E117</f>
        <v>12.618508941182764</v>
      </c>
      <c r="F117" s="34">
        <f>+'[1]Test order'!F117</f>
        <v>3.9069341421127319</v>
      </c>
      <c r="G117" s="38">
        <f>+'[1]Test order'!G117</f>
        <v>0.3096193187581579</v>
      </c>
      <c r="H117" s="39">
        <f>+'[1]Test order'!H117</f>
        <v>9.4147415161132813</v>
      </c>
      <c r="I117" s="33" t="str">
        <f>+'[1]Test order'!I117</f>
        <v>km/kg</v>
      </c>
      <c r="J117" s="33" t="str">
        <f>+'[1]Test order'!J117</f>
        <v>Hydrogen 2022 SEMI TRUCK - FULL Fuel Cell 290 kW REGIONAL DELIVERY 52000 kg 10.6 kg /100km 31%</v>
      </c>
      <c r="K117" s="33">
        <f>+'[1]Test order'!K117</f>
        <v>0</v>
      </c>
      <c r="L117" s="33" t="str">
        <f t="shared" si="12"/>
        <v>2022</v>
      </c>
      <c r="M117" s="33" t="str">
        <f t="shared" si="13"/>
        <v>FULL</v>
      </c>
      <c r="N117" s="33" t="str">
        <f t="shared" si="14"/>
        <v xml:space="preserve">SEMI TRUCK </v>
      </c>
      <c r="O117" s="33" t="str">
        <f t="shared" si="15"/>
        <v>Hydrogen km/kg</v>
      </c>
      <c r="P117" s="41">
        <f>+'FCV L3'!$B$71</f>
        <v>391800</v>
      </c>
      <c r="Q117" s="41">
        <f t="shared" si="16"/>
        <v>124450</v>
      </c>
      <c r="R117" s="41">
        <f>+'FCV L3'!$B$73</f>
        <v>142500</v>
      </c>
      <c r="S117" s="41">
        <f>+'FCV L3'!$B$72</f>
        <v>124850</v>
      </c>
      <c r="T117" s="37">
        <f>'[1]Test order'!M117</f>
        <v>52000</v>
      </c>
      <c r="U117" s="37">
        <f>+'FCV L3'!$B$4</f>
        <v>38000</v>
      </c>
      <c r="V117" s="33">
        <v>0</v>
      </c>
      <c r="W117" s="34">
        <f t="shared" si="18"/>
        <v>0.33206602476796748</v>
      </c>
      <c r="X117" s="34" t="str">
        <f t="shared" si="17"/>
        <v/>
      </c>
      <c r="Y117" s="42"/>
      <c r="Z117" s="34"/>
    </row>
    <row r="118" spans="1:26" x14ac:dyDescent="0.3">
      <c r="A118" s="33" t="str">
        <f>+'[1]Test order'!A118</f>
        <v>2022 SEMI TRUCK - FULL</v>
      </c>
      <c r="B118" s="33" t="str">
        <f>+'[1]Test order'!B118</f>
        <v>LONG HAUL</v>
      </c>
      <c r="C118" s="33" t="str">
        <f>+'[1]Test order'!C118</f>
        <v>Fuel Cell 290 kW</v>
      </c>
      <c r="D118" s="33" t="str">
        <f>+'[1]Test order'!D118</f>
        <v>Hydrogen</v>
      </c>
      <c r="E118" s="34">
        <f>+'[1]Test order'!E118</f>
        <v>10.590345905923805</v>
      </c>
      <c r="F118" s="34">
        <f>+'[1]Test order'!F118</f>
        <v>4.3930422067642212</v>
      </c>
      <c r="G118" s="38">
        <f>+'[1]Test order'!G118</f>
        <v>0.41481574311061303</v>
      </c>
      <c r="H118" s="39">
        <f>+'[1]Test order'!H118</f>
        <v>11.217763900756836</v>
      </c>
      <c r="I118" s="33" t="str">
        <f>+'[1]Test order'!I118</f>
        <v>km/kg</v>
      </c>
      <c r="J118" s="33" t="str">
        <f>+'[1]Test order'!J118</f>
        <v>Hydrogen 2022 SEMI TRUCK - FULL Fuel Cell 290 kW LONG HAUL 52000 kg 8.9 kg /100km 41%</v>
      </c>
      <c r="K118" s="33">
        <f>+'[1]Test order'!K118</f>
        <v>0</v>
      </c>
      <c r="L118" s="33" t="str">
        <f t="shared" si="12"/>
        <v>2022</v>
      </c>
      <c r="M118" s="33" t="str">
        <f t="shared" si="13"/>
        <v>FULL</v>
      </c>
      <c r="N118" s="33" t="str">
        <f t="shared" si="14"/>
        <v xml:space="preserve">SEMI TRUCK </v>
      </c>
      <c r="O118" s="33" t="str">
        <f t="shared" si="15"/>
        <v>Hydrogen km/kg</v>
      </c>
      <c r="P118" s="41">
        <f>+'FCV L3'!$B$71</f>
        <v>391800</v>
      </c>
      <c r="Q118" s="41">
        <f t="shared" si="16"/>
        <v>124450</v>
      </c>
      <c r="R118" s="41">
        <f>+'FCV L3'!$B$73</f>
        <v>142500</v>
      </c>
      <c r="S118" s="41">
        <f>+'FCV L3'!$B$72</f>
        <v>124850</v>
      </c>
      <c r="T118" s="37">
        <f>'[1]Test order'!M118</f>
        <v>52000</v>
      </c>
      <c r="U118" s="37">
        <f>+'FCV L3'!$B$4</f>
        <v>38000</v>
      </c>
      <c r="V118" s="33">
        <v>0</v>
      </c>
      <c r="W118" s="34">
        <f t="shared" si="18"/>
        <v>0.27869331331378433</v>
      </c>
      <c r="X118" s="34" t="str">
        <f t="shared" si="17"/>
        <v/>
      </c>
      <c r="Y118" s="42"/>
      <c r="Z118" s="34"/>
    </row>
    <row r="119" spans="1:26" x14ac:dyDescent="0.3">
      <c r="A119" s="33" t="str">
        <f>+'[1]Test order'!A119</f>
        <v>2022 CITY BUS - EMPTY</v>
      </c>
      <c r="B119" s="33" t="str">
        <f>+'[1]Test order'!B119</f>
        <v>CITY ROUTE</v>
      </c>
      <c r="C119" s="33" t="str">
        <f>+'[1]Test order'!C119</f>
        <v>Fuel Cell 290 kW</v>
      </c>
      <c r="D119" s="33" t="str">
        <f>+'[1]Test order'!D119</f>
        <v>Hydrogen</v>
      </c>
      <c r="E119" s="34">
        <f>+'[1]Test order'!E119</f>
        <v>6.8931820536089781</v>
      </c>
      <c r="F119" s="34">
        <f>+'[1]Test order'!F119</f>
        <v>1.2054142355918884</v>
      </c>
      <c r="G119" s="38">
        <f>+'[1]Test order'!G119</f>
        <v>0.17487050627957587</v>
      </c>
      <c r="H119" s="39">
        <f>+'[1]Test order'!H119</f>
        <v>17.234420776367188</v>
      </c>
      <c r="I119" s="33" t="str">
        <f>+'[1]Test order'!I119</f>
        <v>km/kg</v>
      </c>
      <c r="J119" s="33" t="str">
        <f>+'[1]Test order'!J119</f>
        <v>Hydrogen 2022 CITY BUS - EMPTY Fuel Cell 290 kW CITY ROUTE 12550 kg 5.8 kg /100km 17%</v>
      </c>
      <c r="K119" s="33">
        <f>+'[1]Test order'!K119</f>
        <v>0</v>
      </c>
      <c r="L119" s="33" t="str">
        <f t="shared" si="12"/>
        <v>2022</v>
      </c>
      <c r="M119" s="33" t="str">
        <f t="shared" si="13"/>
        <v>EMPTY</v>
      </c>
      <c r="N119" s="33" t="str">
        <f t="shared" si="14"/>
        <v xml:space="preserve">CITY BUS </v>
      </c>
      <c r="O119" s="33" t="str">
        <f t="shared" si="15"/>
        <v>Hydrogen km/kg</v>
      </c>
      <c r="P119" s="41">
        <f>+'FCV B1'!$B$71</f>
        <v>430000</v>
      </c>
      <c r="Q119" s="41">
        <f t="shared" si="16"/>
        <v>195950</v>
      </c>
      <c r="R119" s="41">
        <f>+'FCV B1'!$B$73</f>
        <v>109200</v>
      </c>
      <c r="S119" s="41">
        <f>+'FCV B1'!$B$72</f>
        <v>124850</v>
      </c>
      <c r="T119" s="37">
        <f>'[1]Test order'!M119</f>
        <v>12550</v>
      </c>
      <c r="U119" s="33">
        <v>0</v>
      </c>
      <c r="V119" s="33">
        <v>0</v>
      </c>
      <c r="W119" s="34" t="e">
        <f t="shared" si="18"/>
        <v>#N/A</v>
      </c>
      <c r="X119" s="34" t="str">
        <f t="shared" si="17"/>
        <v/>
      </c>
      <c r="Y119" s="42"/>
      <c r="Z119" s="34"/>
    </row>
    <row r="120" spans="1:26" x14ac:dyDescent="0.3">
      <c r="A120" s="33" t="str">
        <f>+'[1]Test order'!A120</f>
        <v>2022 CITY BUS - EMPTY</v>
      </c>
      <c r="B120" s="33" t="str">
        <f>+'[1]Test order'!B120</f>
        <v>RURAL ROUTE</v>
      </c>
      <c r="C120" s="33" t="str">
        <f>+'[1]Test order'!C120</f>
        <v>Fuel Cell 290 kW</v>
      </c>
      <c r="D120" s="33" t="str">
        <f>+'[1]Test order'!D120</f>
        <v>Hydrogen</v>
      </c>
      <c r="E120" s="34">
        <f>+'[1]Test order'!E120</f>
        <v>5.6721159415221809</v>
      </c>
      <c r="F120" s="34">
        <f>+'[1]Test order'!F120</f>
        <v>2.1193692684173584</v>
      </c>
      <c r="G120" s="38">
        <f>+'[1]Test order'!G120</f>
        <v>0.37364702877505002</v>
      </c>
      <c r="H120" s="39">
        <f>+'[1]Test order'!H120</f>
        <v>20.944564819335938</v>
      </c>
      <c r="I120" s="33" t="str">
        <f>+'[1]Test order'!I120</f>
        <v>km/kg</v>
      </c>
      <c r="J120" s="33" t="str">
        <f>+'[1]Test order'!J120</f>
        <v>Hydrogen 2022 CITY BUS - EMPTY Fuel Cell 290 kW RURAL ROUTE 12550 kg 4.8 kg /100km 37%</v>
      </c>
      <c r="K120" s="33">
        <f>+'[1]Test order'!K120</f>
        <v>0</v>
      </c>
      <c r="L120" s="33" t="str">
        <f t="shared" si="12"/>
        <v>2022</v>
      </c>
      <c r="M120" s="33" t="str">
        <f t="shared" si="13"/>
        <v>EMPTY</v>
      </c>
      <c r="N120" s="33" t="str">
        <f t="shared" si="14"/>
        <v xml:space="preserve">CITY BUS </v>
      </c>
      <c r="O120" s="33" t="str">
        <f t="shared" si="15"/>
        <v>Hydrogen km/kg</v>
      </c>
      <c r="P120" s="41">
        <f>+'FCV B1'!$B$71</f>
        <v>430000</v>
      </c>
      <c r="Q120" s="41">
        <f t="shared" si="16"/>
        <v>195950</v>
      </c>
      <c r="R120" s="41">
        <f>+'FCV B1'!$B$73</f>
        <v>109200</v>
      </c>
      <c r="S120" s="41">
        <f>+'FCV B1'!$B$72</f>
        <v>124850</v>
      </c>
      <c r="T120" s="37">
        <f>'[1]Test order'!M120</f>
        <v>12550</v>
      </c>
      <c r="U120" s="33">
        <v>0</v>
      </c>
      <c r="V120" s="33">
        <v>0</v>
      </c>
      <c r="W120" s="34" t="e">
        <f t="shared" si="18"/>
        <v>#N/A</v>
      </c>
      <c r="X120" s="34" t="str">
        <f t="shared" si="17"/>
        <v/>
      </c>
      <c r="Y120" s="42"/>
      <c r="Z120" s="34"/>
    </row>
    <row r="121" spans="1:26" x14ac:dyDescent="0.3">
      <c r="A121" s="33" t="str">
        <f>+'[1]Test order'!A121</f>
        <v>2022 CITY BUS - EMPTY</v>
      </c>
      <c r="B121" s="33" t="str">
        <f>+'[1]Test order'!B121</f>
        <v>MOTORWAY</v>
      </c>
      <c r="C121" s="33" t="str">
        <f>+'[1]Test order'!C121</f>
        <v>Fuel Cell 290 kW</v>
      </c>
      <c r="D121" s="33" t="str">
        <f>+'[1]Test order'!D121</f>
        <v>Hydrogen</v>
      </c>
      <c r="E121" s="34">
        <f>+'[1]Test order'!E121</f>
        <v>6.2275275985069634</v>
      </c>
      <c r="F121" s="34">
        <f>+'[1]Test order'!F121</f>
        <v>2.6126183271408081</v>
      </c>
      <c r="G121" s="38">
        <f>+'[1]Test order'!G121</f>
        <v>0.41952737837198473</v>
      </c>
      <c r="H121" s="39">
        <f>+'[1]Test order'!H121</f>
        <v>19.076591491699219</v>
      </c>
      <c r="I121" s="33" t="str">
        <f>+'[1]Test order'!I121</f>
        <v>km/kg</v>
      </c>
      <c r="J121" s="33" t="str">
        <f>+'[1]Test order'!J121</f>
        <v>Hydrogen 2022 CITY BUS - EMPTY Fuel Cell 290 kW MOTORWAY 12550 kg 5.2 kg /100km 42%</v>
      </c>
      <c r="K121" s="33">
        <f>+'[1]Test order'!K121</f>
        <v>0</v>
      </c>
      <c r="L121" s="33" t="str">
        <f t="shared" si="12"/>
        <v>2022</v>
      </c>
      <c r="M121" s="33" t="str">
        <f t="shared" si="13"/>
        <v>EMPTY</v>
      </c>
      <c r="N121" s="33" t="str">
        <f t="shared" si="14"/>
        <v xml:space="preserve">CITY BUS </v>
      </c>
      <c r="O121" s="33" t="str">
        <f t="shared" si="15"/>
        <v>Hydrogen km/kg</v>
      </c>
      <c r="P121" s="41">
        <f>+'FCV B1'!$B$71</f>
        <v>430000</v>
      </c>
      <c r="Q121" s="41">
        <f t="shared" si="16"/>
        <v>195950</v>
      </c>
      <c r="R121" s="41">
        <f>+'FCV B1'!$B$73</f>
        <v>109200</v>
      </c>
      <c r="S121" s="41">
        <f>+'FCV B1'!$B$72</f>
        <v>124850</v>
      </c>
      <c r="T121" s="37">
        <f>'[1]Test order'!M121</f>
        <v>12550</v>
      </c>
      <c r="U121" s="33">
        <v>0</v>
      </c>
      <c r="V121" s="33">
        <v>0</v>
      </c>
      <c r="W121" s="34" t="e">
        <f t="shared" si="18"/>
        <v>#N/A</v>
      </c>
      <c r="X121" s="34" t="str">
        <f t="shared" si="17"/>
        <v/>
      </c>
      <c r="Y121" s="42"/>
      <c r="Z121" s="34"/>
    </row>
    <row r="122" spans="1:26" x14ac:dyDescent="0.3">
      <c r="A122" s="33" t="str">
        <f>+'[1]Test order'!A122</f>
        <v>2022 CITY BUS - TYPICAL</v>
      </c>
      <c r="B122" s="33" t="str">
        <f>+'[1]Test order'!B122</f>
        <v>CITY ROUTE</v>
      </c>
      <c r="C122" s="33" t="str">
        <f>+'[1]Test order'!C122</f>
        <v>Fuel Cell 290 kW</v>
      </c>
      <c r="D122" s="33" t="str">
        <f>+'[1]Test order'!D122</f>
        <v>Hydrogen</v>
      </c>
      <c r="E122" s="34">
        <f>+'[1]Test order'!E122</f>
        <v>7.1738769188135842</v>
      </c>
      <c r="F122" s="34">
        <f>+'[1]Test order'!F122</f>
        <v>1.2326709032058716</v>
      </c>
      <c r="G122" s="38">
        <f>+'[1]Test order'!G122</f>
        <v>0.17182771842282049</v>
      </c>
      <c r="H122" s="39">
        <f>+'[1]Test order'!H122</f>
        <v>16.560083389282227</v>
      </c>
      <c r="I122" s="33" t="str">
        <f>+'[1]Test order'!I122</f>
        <v>km/kg</v>
      </c>
      <c r="J122" s="33" t="str">
        <f>+'[1]Test order'!J122</f>
        <v>Hydrogen 2022 CITY BUS - TYPICAL Fuel Cell 290 kW CITY ROUTE 13124 kg 6.0 kg /100km 17%</v>
      </c>
      <c r="K122" s="33">
        <f>+'[1]Test order'!K122</f>
        <v>0</v>
      </c>
      <c r="L122" s="33" t="str">
        <f t="shared" si="12"/>
        <v>2022</v>
      </c>
      <c r="M122" s="33" t="str">
        <f t="shared" si="13"/>
        <v>TYPICAL</v>
      </c>
      <c r="N122" s="33" t="str">
        <f t="shared" si="14"/>
        <v xml:space="preserve">CITY BUS </v>
      </c>
      <c r="O122" s="33" t="str">
        <f t="shared" si="15"/>
        <v>Hydrogen km/kg</v>
      </c>
      <c r="P122" s="41">
        <f>+'FCV B1'!$B$71</f>
        <v>430000</v>
      </c>
      <c r="Q122" s="41">
        <f t="shared" si="16"/>
        <v>195950</v>
      </c>
      <c r="R122" s="41">
        <f>+'FCV B1'!$B$73</f>
        <v>109200</v>
      </c>
      <c r="S122" s="41">
        <f>+'FCV B1'!$B$72</f>
        <v>124850</v>
      </c>
      <c r="T122" s="37">
        <f>'[1]Test order'!M122</f>
        <v>13124</v>
      </c>
      <c r="U122" s="37">
        <f>+T122-T119</f>
        <v>574</v>
      </c>
      <c r="V122" s="37">
        <f>+'FCV B1'!$B$7</f>
        <v>8.1999999999999993</v>
      </c>
      <c r="W122" s="34">
        <f t="shared" si="18"/>
        <v>12.49804341256722</v>
      </c>
      <c r="X122" s="34">
        <f t="shared" si="17"/>
        <v>0.87486303887970551</v>
      </c>
      <c r="Y122" s="42"/>
      <c r="Z122" s="34"/>
    </row>
    <row r="123" spans="1:26" x14ac:dyDescent="0.3">
      <c r="A123" s="33" t="str">
        <f>+'[1]Test order'!A123</f>
        <v>2022 CITY BUS - TYPICAL</v>
      </c>
      <c r="B123" s="33" t="str">
        <f>+'[1]Test order'!B123</f>
        <v>RURAL ROUTE</v>
      </c>
      <c r="C123" s="33" t="str">
        <f>+'[1]Test order'!C123</f>
        <v>Fuel Cell 290 kW</v>
      </c>
      <c r="D123" s="33" t="str">
        <f>+'[1]Test order'!D123</f>
        <v>Hydrogen</v>
      </c>
      <c r="E123" s="34">
        <f>+'[1]Test order'!E123</f>
        <v>5.7672801415583086</v>
      </c>
      <c r="F123" s="34">
        <f>+'[1]Test order'!F123</f>
        <v>2.1475023031234741</v>
      </c>
      <c r="G123" s="38">
        <f>+'[1]Test order'!G123</f>
        <v>0.37235963060799454</v>
      </c>
      <c r="H123" s="39">
        <f>+'[1]Test order'!H123</f>
        <v>20.598964691162109</v>
      </c>
      <c r="I123" s="33" t="str">
        <f>+'[1]Test order'!I123</f>
        <v>km/kg</v>
      </c>
      <c r="J123" s="33" t="str">
        <f>+'[1]Test order'!J123</f>
        <v>Hydrogen 2022 CITY BUS - TYPICAL Fuel Cell 290 kW RURAL ROUTE 13124 kg 4.9 kg /100km 37%</v>
      </c>
      <c r="K123" s="33">
        <f>+'[1]Test order'!K123</f>
        <v>0</v>
      </c>
      <c r="L123" s="33" t="str">
        <f t="shared" si="12"/>
        <v>2022</v>
      </c>
      <c r="M123" s="33" t="str">
        <f t="shared" si="13"/>
        <v>TYPICAL</v>
      </c>
      <c r="N123" s="33" t="str">
        <f t="shared" si="14"/>
        <v xml:space="preserve">CITY BUS </v>
      </c>
      <c r="O123" s="33" t="str">
        <f t="shared" si="15"/>
        <v>Hydrogen km/kg</v>
      </c>
      <c r="P123" s="41">
        <f>+'FCV B1'!$B$71</f>
        <v>430000</v>
      </c>
      <c r="Q123" s="41">
        <f t="shared" si="16"/>
        <v>195950</v>
      </c>
      <c r="R123" s="41">
        <f>+'FCV B1'!$B$73</f>
        <v>109200</v>
      </c>
      <c r="S123" s="41">
        <f>+'FCV B1'!$B$72</f>
        <v>124850</v>
      </c>
      <c r="T123" s="37">
        <f>'[1]Test order'!M123</f>
        <v>13124</v>
      </c>
      <c r="U123" s="37">
        <f t="shared" ref="U123:U124" si="23">+T123-T120</f>
        <v>574</v>
      </c>
      <c r="V123" s="37">
        <f>+'FCV B1'!$B$7</f>
        <v>8.1999999999999993</v>
      </c>
      <c r="W123" s="34">
        <f t="shared" si="18"/>
        <v>10.047526379021443</v>
      </c>
      <c r="X123" s="34">
        <f t="shared" si="17"/>
        <v>0.70332684653150113</v>
      </c>
      <c r="Y123" s="42"/>
      <c r="Z123" s="34"/>
    </row>
    <row r="124" spans="1:26" x14ac:dyDescent="0.3">
      <c r="A124" s="33" t="str">
        <f>+'[1]Test order'!A124</f>
        <v>2022 CITY BUS - TYPICAL</v>
      </c>
      <c r="B124" s="33" t="str">
        <f>+'[1]Test order'!B124</f>
        <v>MOTORWAY</v>
      </c>
      <c r="C124" s="33" t="str">
        <f>+'[1]Test order'!C124</f>
        <v>Fuel Cell 290 kW</v>
      </c>
      <c r="D124" s="33" t="str">
        <f>+'[1]Test order'!D124</f>
        <v>Hydrogen</v>
      </c>
      <c r="E124" s="34">
        <f>+'[1]Test order'!E124</f>
        <v>6.2883346993219726</v>
      </c>
      <c r="F124" s="34">
        <f>+'[1]Test order'!F124</f>
        <v>2.6407755613327026</v>
      </c>
      <c r="G124" s="38">
        <f>+'[1]Test order'!G124</f>
        <v>0.41994831503123381</v>
      </c>
      <c r="H124" s="39">
        <f>+'[1]Test order'!H124</f>
        <v>18.892124176025391</v>
      </c>
      <c r="I124" s="33" t="str">
        <f>+'[1]Test order'!I124</f>
        <v>km/kg</v>
      </c>
      <c r="J124" s="33" t="str">
        <f>+'[1]Test order'!J124</f>
        <v>Hydrogen 2022 CITY BUS - TYPICAL Fuel Cell 290 kW MOTORWAY 13124 kg 5.3 kg /100km 42%</v>
      </c>
      <c r="K124" s="33">
        <f>+'[1]Test order'!K124</f>
        <v>0</v>
      </c>
      <c r="L124" s="33" t="str">
        <f t="shared" si="12"/>
        <v>2022</v>
      </c>
      <c r="M124" s="33" t="str">
        <f t="shared" si="13"/>
        <v>TYPICAL</v>
      </c>
      <c r="N124" s="33" t="str">
        <f t="shared" si="14"/>
        <v xml:space="preserve">CITY BUS </v>
      </c>
      <c r="O124" s="33" t="str">
        <f t="shared" si="15"/>
        <v>Hydrogen km/kg</v>
      </c>
      <c r="P124" s="41">
        <f>+'FCV B1'!$B$71</f>
        <v>430000</v>
      </c>
      <c r="Q124" s="41">
        <f t="shared" si="16"/>
        <v>195950</v>
      </c>
      <c r="R124" s="41">
        <f>+'FCV B1'!$B$73</f>
        <v>109200</v>
      </c>
      <c r="S124" s="41">
        <f>+'FCV B1'!$B$72</f>
        <v>124850</v>
      </c>
      <c r="T124" s="37">
        <f>'[1]Test order'!M124</f>
        <v>13124</v>
      </c>
      <c r="U124" s="37">
        <f t="shared" si="23"/>
        <v>574</v>
      </c>
      <c r="V124" s="37">
        <f>+'FCV B1'!$B$7</f>
        <v>8.1999999999999993</v>
      </c>
      <c r="W124" s="34">
        <f t="shared" si="18"/>
        <v>10.955286932616676</v>
      </c>
      <c r="X124" s="34">
        <f t="shared" si="17"/>
        <v>0.76687008528316747</v>
      </c>
      <c r="Y124" s="42"/>
      <c r="Z124" s="34"/>
    </row>
    <row r="125" spans="1:26" x14ac:dyDescent="0.3">
      <c r="A125" s="33" t="str">
        <f>+'[1]Test order'!A125</f>
        <v>2022 CITY BUS - FULL</v>
      </c>
      <c r="B125" s="33" t="str">
        <f>+'[1]Test order'!B125</f>
        <v>CITY ROUTE</v>
      </c>
      <c r="C125" s="33" t="str">
        <f>+'[1]Test order'!C125</f>
        <v>Fuel Cell 290 kW</v>
      </c>
      <c r="D125" s="33" t="str">
        <f>+'[1]Test order'!D125</f>
        <v>Hydrogen</v>
      </c>
      <c r="E125" s="34">
        <f>+'[1]Test order'!E125</f>
        <v>9.6066474442454552</v>
      </c>
      <c r="F125" s="34">
        <f>+'[1]Test order'!F125</f>
        <v>1.4611959457397461</v>
      </c>
      <c r="G125" s="38">
        <f>+'[1]Test order'!G125</f>
        <v>0.15210258877721461</v>
      </c>
      <c r="H125" s="39">
        <f>+'[1]Test order'!H125</f>
        <v>12.366436958312988</v>
      </c>
      <c r="I125" s="33" t="str">
        <f>+'[1]Test order'!I125</f>
        <v>km/kg</v>
      </c>
      <c r="J125" s="33" t="str">
        <f>+'[1]Test order'!J125</f>
        <v>Hydrogen 2022 CITY BUS - FULL Fuel Cell 290 kW CITY ROUTE 18000 kg 8.1 kg /100km 15%</v>
      </c>
      <c r="K125" s="33">
        <f>+'[1]Test order'!K125</f>
        <v>0</v>
      </c>
      <c r="L125" s="33" t="str">
        <f t="shared" si="12"/>
        <v>2022</v>
      </c>
      <c r="M125" s="33" t="str">
        <f t="shared" si="13"/>
        <v>FULL</v>
      </c>
      <c r="N125" s="33" t="str">
        <f t="shared" si="14"/>
        <v xml:space="preserve">CITY BUS </v>
      </c>
      <c r="O125" s="33" t="str">
        <f t="shared" si="15"/>
        <v>Hydrogen km/kg</v>
      </c>
      <c r="P125" s="41">
        <f>+'FCV B1'!$B$71</f>
        <v>430000</v>
      </c>
      <c r="Q125" s="41">
        <f t="shared" si="16"/>
        <v>195950</v>
      </c>
      <c r="R125" s="41">
        <f>+'FCV B1'!$B$73</f>
        <v>109200</v>
      </c>
      <c r="S125" s="41">
        <f>+'FCV B1'!$B$72</f>
        <v>124850</v>
      </c>
      <c r="T125" s="37">
        <f>'[1]Test order'!M125</f>
        <v>18000</v>
      </c>
      <c r="U125" s="37">
        <f>+T125-T119</f>
        <v>5450</v>
      </c>
      <c r="V125" s="33">
        <f>+'FCV B1'!$B$4</f>
        <v>63</v>
      </c>
      <c r="W125" s="34">
        <f t="shared" si="18"/>
        <v>1.7626876044487074</v>
      </c>
      <c r="X125" s="34">
        <f t="shared" si="17"/>
        <v>0.15248646736897548</v>
      </c>
      <c r="Y125" s="42"/>
      <c r="Z125" s="34"/>
    </row>
    <row r="126" spans="1:26" x14ac:dyDescent="0.3">
      <c r="A126" s="33" t="str">
        <f>+'[1]Test order'!A126</f>
        <v>2022 CITY BUS - FULL</v>
      </c>
      <c r="B126" s="33" t="str">
        <f>+'[1]Test order'!B126</f>
        <v>RURAL ROUTE</v>
      </c>
      <c r="C126" s="33" t="str">
        <f>+'[1]Test order'!C126</f>
        <v>Fuel Cell 290 kW</v>
      </c>
      <c r="D126" s="33" t="str">
        <f>+'[1]Test order'!D126</f>
        <v>Hydrogen</v>
      </c>
      <c r="E126" s="34">
        <f>+'[1]Test order'!E126</f>
        <v>6.6019510949032769</v>
      </c>
      <c r="F126" s="34">
        <f>+'[1]Test order'!F126</f>
        <v>2.3858749866485596</v>
      </c>
      <c r="G126" s="38">
        <f>+'[1]Test order'!G126</f>
        <v>0.3613893760119582</v>
      </c>
      <c r="H126" s="39">
        <f>+'[1]Test order'!H126</f>
        <v>17.994680404663086</v>
      </c>
      <c r="I126" s="33" t="str">
        <f>+'[1]Test order'!I126</f>
        <v>km/kg</v>
      </c>
      <c r="J126" s="33" t="str">
        <f>+'[1]Test order'!J126</f>
        <v>Hydrogen 2022 CITY BUS - FULL Fuel Cell 290 kW RURAL ROUTE 18000 kg 5.6 kg /100km 36%</v>
      </c>
      <c r="K126" s="33">
        <f>+'[1]Test order'!K126</f>
        <v>0</v>
      </c>
      <c r="L126" s="33" t="str">
        <f t="shared" si="12"/>
        <v>2022</v>
      </c>
      <c r="M126" s="33" t="str">
        <f t="shared" si="13"/>
        <v>FULL</v>
      </c>
      <c r="N126" s="33" t="str">
        <f t="shared" si="14"/>
        <v xml:space="preserve">CITY BUS </v>
      </c>
      <c r="O126" s="33" t="str">
        <f t="shared" si="15"/>
        <v>Hydrogen km/kg</v>
      </c>
      <c r="P126" s="41">
        <f>+'FCV B1'!$B$71</f>
        <v>430000</v>
      </c>
      <c r="Q126" s="41">
        <f t="shared" si="16"/>
        <v>195950</v>
      </c>
      <c r="R126" s="41">
        <f>+'FCV B1'!$B$73</f>
        <v>109200</v>
      </c>
      <c r="S126" s="41">
        <f>+'FCV B1'!$B$72</f>
        <v>124850</v>
      </c>
      <c r="T126" s="37">
        <f>'[1]Test order'!M126</f>
        <v>18000</v>
      </c>
      <c r="U126" s="37">
        <f t="shared" ref="U126:U127" si="24">+T126-T120</f>
        <v>5450</v>
      </c>
      <c r="V126" s="33">
        <f>+'FCV B1'!$B$4</f>
        <v>63</v>
      </c>
      <c r="W126" s="34">
        <f t="shared" si="18"/>
        <v>1.2113671733767482</v>
      </c>
      <c r="X126" s="34">
        <f t="shared" si="17"/>
        <v>0.10479287452227423</v>
      </c>
      <c r="Y126" s="42"/>
      <c r="Z126" s="34"/>
    </row>
    <row r="127" spans="1:26" x14ac:dyDescent="0.3">
      <c r="A127" s="33" t="str">
        <f>+'[1]Test order'!A127</f>
        <v>2022 CITY BUS - FULL</v>
      </c>
      <c r="B127" s="33" t="str">
        <f>+'[1]Test order'!B127</f>
        <v>MOTORWAY</v>
      </c>
      <c r="C127" s="33" t="str">
        <f>+'[1]Test order'!C127</f>
        <v>Fuel Cell 290 kW</v>
      </c>
      <c r="D127" s="33" t="str">
        <f>+'[1]Test order'!D127</f>
        <v>Hydrogen</v>
      </c>
      <c r="E127" s="34">
        <f>+'[1]Test order'!E127</f>
        <v>6.8206622256641358</v>
      </c>
      <c r="F127" s="34">
        <f>+'[1]Test order'!F127</f>
        <v>2.8799553513526917</v>
      </c>
      <c r="G127" s="38">
        <f>+'[1]Test order'!G127</f>
        <v>0.42223984359117961</v>
      </c>
      <c r="H127" s="39">
        <f>+'[1]Test order'!H127</f>
        <v>17.41766357421875</v>
      </c>
      <c r="I127" s="33" t="str">
        <f>+'[1]Test order'!I127</f>
        <v>km/kg</v>
      </c>
      <c r="J127" s="33" t="str">
        <f>+'[1]Test order'!J127</f>
        <v>Hydrogen 2022 CITY BUS - FULL Fuel Cell 290 kW MOTORWAY 18000 kg 5.7 kg /100km 42%</v>
      </c>
      <c r="K127" s="33">
        <f>+'[1]Test order'!K127</f>
        <v>0</v>
      </c>
      <c r="L127" s="33" t="str">
        <f t="shared" si="12"/>
        <v>2022</v>
      </c>
      <c r="M127" s="33" t="str">
        <f t="shared" si="13"/>
        <v>FULL</v>
      </c>
      <c r="N127" s="33" t="str">
        <f t="shared" si="14"/>
        <v xml:space="preserve">CITY BUS </v>
      </c>
      <c r="O127" s="33" t="str">
        <f t="shared" si="15"/>
        <v>Hydrogen km/kg</v>
      </c>
      <c r="P127" s="41">
        <f>+'FCV B1'!$B$71</f>
        <v>430000</v>
      </c>
      <c r="Q127" s="41">
        <f t="shared" si="16"/>
        <v>195950</v>
      </c>
      <c r="R127" s="41">
        <f>+'FCV B1'!$B$73</f>
        <v>109200</v>
      </c>
      <c r="S127" s="41">
        <f>+'FCV B1'!$B$72</f>
        <v>124850</v>
      </c>
      <c r="T127" s="37">
        <f>'[1]Test order'!M127</f>
        <v>18000</v>
      </c>
      <c r="U127" s="37">
        <f t="shared" si="24"/>
        <v>5450</v>
      </c>
      <c r="V127" s="33">
        <f>+'FCV B1'!$B$4</f>
        <v>63</v>
      </c>
      <c r="W127" s="34">
        <f t="shared" si="18"/>
        <v>1.2514976560851627</v>
      </c>
      <c r="X127" s="34">
        <f t="shared" si="17"/>
        <v>0.1082644797724466</v>
      </c>
      <c r="Y127" s="42"/>
      <c r="Z127" s="34"/>
    </row>
    <row r="128" spans="1:26" x14ac:dyDescent="0.3">
      <c r="A128" s="33" t="str">
        <f>+'[1]Test order'!A128</f>
        <v>2022 TOURIST BUS - EMPTY</v>
      </c>
      <c r="B128" s="33" t="str">
        <f>+'[1]Test order'!B128</f>
        <v>CITY ROUTE</v>
      </c>
      <c r="C128" s="33" t="str">
        <f>+'[1]Test order'!C128</f>
        <v>Fuel Cell 290 kW</v>
      </c>
      <c r="D128" s="33" t="str">
        <f>+'[1]Test order'!D128</f>
        <v>Hydrogen</v>
      </c>
      <c r="E128" s="34">
        <f>+'[1]Test order'!E128</f>
        <v>7.1875645171508555</v>
      </c>
      <c r="F128" s="34">
        <f>+'[1]Test order'!F128</f>
        <v>1.1599404811859131</v>
      </c>
      <c r="G128" s="38">
        <f>+'[1]Test order'!G128</f>
        <v>0.16138157486003513</v>
      </c>
      <c r="H128" s="39">
        <f>+'[1]Test order'!H128</f>
        <v>16.528547286987305</v>
      </c>
      <c r="I128" s="33" t="str">
        <f>+'[1]Test order'!I128</f>
        <v>km/kg</v>
      </c>
      <c r="J128" s="33" t="str">
        <f>+'[1]Test order'!J128</f>
        <v>Hydrogen 2022 TOURIST BUS - EMPTY Fuel Cell 290 kW CITY ROUTE 13500 kg 6.1 kg /100km 16%</v>
      </c>
      <c r="K128" s="33">
        <f>+'[1]Test order'!K128</f>
        <v>0</v>
      </c>
      <c r="L128" s="33" t="str">
        <f t="shared" si="12"/>
        <v>2022</v>
      </c>
      <c r="M128" s="33" t="str">
        <f t="shared" si="13"/>
        <v>EMPTY</v>
      </c>
      <c r="N128" s="33" t="str">
        <f t="shared" si="14"/>
        <v xml:space="preserve">TOURIST BUS </v>
      </c>
      <c r="O128" s="33" t="str">
        <f t="shared" si="15"/>
        <v>Hydrogen km/kg</v>
      </c>
      <c r="P128" s="41">
        <f>+'FCV B2'!$B$71</f>
        <v>1000000</v>
      </c>
      <c r="Q128" s="41">
        <f t="shared" si="16"/>
        <v>765950</v>
      </c>
      <c r="R128" s="41">
        <f>+'FCV B2'!$B$73</f>
        <v>109200</v>
      </c>
      <c r="S128" s="41">
        <f>+'FCV B2'!$B$72</f>
        <v>124850</v>
      </c>
      <c r="T128" s="37">
        <f>'[1]Test order'!M128</f>
        <v>13500</v>
      </c>
      <c r="U128" s="33">
        <v>0</v>
      </c>
      <c r="V128" s="33">
        <v>0</v>
      </c>
      <c r="W128" s="34" t="e">
        <f t="shared" si="18"/>
        <v>#N/A</v>
      </c>
      <c r="X128" s="34" t="str">
        <f t="shared" si="17"/>
        <v/>
      </c>
      <c r="Y128" s="42"/>
      <c r="Z128" s="34"/>
    </row>
    <row r="129" spans="1:26" x14ac:dyDescent="0.3">
      <c r="A129" s="33" t="str">
        <f>+'[1]Test order'!A129</f>
        <v>2022 TOURIST BUS - EMPTY</v>
      </c>
      <c r="B129" s="33" t="str">
        <f>+'[1]Test order'!B129</f>
        <v>RURAL ROUTE</v>
      </c>
      <c r="C129" s="33" t="str">
        <f>+'[1]Test order'!C129</f>
        <v>Fuel Cell 290 kW</v>
      </c>
      <c r="D129" s="33" t="str">
        <f>+'[1]Test order'!D129</f>
        <v>Hydrogen</v>
      </c>
      <c r="E129" s="34">
        <f>+'[1]Test order'!E129</f>
        <v>5.3581413786328191</v>
      </c>
      <c r="F129" s="34">
        <f>+'[1]Test order'!F129</f>
        <v>1.9345880746841431</v>
      </c>
      <c r="G129" s="38">
        <f>+'[1]Test order'!G129</f>
        <v>0.36105580983713642</v>
      </c>
      <c r="H129" s="39">
        <f>+'[1]Test order'!H129</f>
        <v>22.171867370605469</v>
      </c>
      <c r="I129" s="33" t="str">
        <f>+'[1]Test order'!I129</f>
        <v>km/kg</v>
      </c>
      <c r="J129" s="33" t="str">
        <f>+'[1]Test order'!J129</f>
        <v>Hydrogen 2022 TOURIST BUS - EMPTY Fuel Cell 290 kW RURAL ROUTE 13500 kg 4.5 kg /100km 36%</v>
      </c>
      <c r="K129" s="33">
        <f>+'[1]Test order'!K129</f>
        <v>0</v>
      </c>
      <c r="L129" s="33" t="str">
        <f t="shared" si="12"/>
        <v>2022</v>
      </c>
      <c r="M129" s="33" t="str">
        <f t="shared" si="13"/>
        <v>EMPTY</v>
      </c>
      <c r="N129" s="33" t="str">
        <f t="shared" si="14"/>
        <v xml:space="preserve">TOURIST BUS </v>
      </c>
      <c r="O129" s="33" t="str">
        <f t="shared" si="15"/>
        <v>Hydrogen km/kg</v>
      </c>
      <c r="P129" s="41">
        <f>+'FCV B2'!$B$71</f>
        <v>1000000</v>
      </c>
      <c r="Q129" s="41">
        <f t="shared" si="16"/>
        <v>765950</v>
      </c>
      <c r="R129" s="41">
        <f>+'FCV B2'!$B$73</f>
        <v>109200</v>
      </c>
      <c r="S129" s="41">
        <f>+'FCV B2'!$B$72</f>
        <v>124850</v>
      </c>
      <c r="T129" s="37">
        <f>'[1]Test order'!M129</f>
        <v>13500</v>
      </c>
      <c r="U129" s="33">
        <v>0</v>
      </c>
      <c r="V129" s="33">
        <v>0</v>
      </c>
      <c r="W129" s="34" t="e">
        <f t="shared" si="18"/>
        <v>#N/A</v>
      </c>
      <c r="X129" s="34" t="str">
        <f t="shared" si="17"/>
        <v/>
      </c>
      <c r="Y129" s="42"/>
      <c r="Z129" s="34"/>
    </row>
    <row r="130" spans="1:26" x14ac:dyDescent="0.3">
      <c r="A130" s="33" t="str">
        <f>+'[1]Test order'!A130</f>
        <v>2022 TOURIST BUS - EMPTY</v>
      </c>
      <c r="B130" s="33" t="str">
        <f>+'[1]Test order'!B130</f>
        <v>MOTORWAY</v>
      </c>
      <c r="C130" s="33" t="str">
        <f>+'[1]Test order'!C130</f>
        <v>Fuel Cell 290 kW</v>
      </c>
      <c r="D130" s="33" t="str">
        <f>+'[1]Test order'!D130</f>
        <v>Hydrogen</v>
      </c>
      <c r="E130" s="34">
        <f>+'[1]Test order'!E130</f>
        <v>5.6864161519620131</v>
      </c>
      <c r="F130" s="34">
        <f>+'[1]Test order'!F130</f>
        <v>2.351988673210144</v>
      </c>
      <c r="G130" s="38">
        <f>+'[1]Test order'!G130</f>
        <v>0.41361529131114072</v>
      </c>
      <c r="H130" s="39">
        <f>+'[1]Test order'!H130</f>
        <v>20.89189338684082</v>
      </c>
      <c r="I130" s="33" t="str">
        <f>+'[1]Test order'!I130</f>
        <v>km/kg</v>
      </c>
      <c r="J130" s="33" t="str">
        <f>+'[1]Test order'!J130</f>
        <v>Hydrogen 2022 TOURIST BUS - EMPTY Fuel Cell 290 kW MOTORWAY 13500 kg 4.8 kg /100km 41%</v>
      </c>
      <c r="K130" s="33">
        <f>+'[1]Test order'!K130</f>
        <v>0</v>
      </c>
      <c r="L130" s="33" t="str">
        <f t="shared" ref="L130:L193" si="25">LEFT(A130,4)</f>
        <v>2022</v>
      </c>
      <c r="M130" s="33" t="str">
        <f t="shared" ref="M130:M193" si="26">RIGHT(A130,LEN(A130)-FIND("-",A130)-1)</f>
        <v>EMPTY</v>
      </c>
      <c r="N130" s="33" t="str">
        <f t="shared" ref="N130:N193" si="27">MID(LEFT(A130,FIND("-",A130)-1),6,20)</f>
        <v xml:space="preserve">TOURIST BUS </v>
      </c>
      <c r="O130" s="33" t="str">
        <f t="shared" ref="O130:O193" si="28">_xlfn.TEXTJOIN(" ",FALSE,D130,I130)</f>
        <v>Hydrogen km/kg</v>
      </c>
      <c r="P130" s="41">
        <f>+'FCV B2'!$B$71</f>
        <v>1000000</v>
      </c>
      <c r="Q130" s="41">
        <f t="shared" ref="Q130:Q193" si="29">+P130-R130-S130</f>
        <v>765950</v>
      </c>
      <c r="R130" s="41">
        <f>+'FCV B2'!$B$73</f>
        <v>109200</v>
      </c>
      <c r="S130" s="41">
        <f>+'FCV B2'!$B$72</f>
        <v>124850</v>
      </c>
      <c r="T130" s="37">
        <f>'[1]Test order'!M130</f>
        <v>13500</v>
      </c>
      <c r="U130" s="33">
        <v>0</v>
      </c>
      <c r="V130" s="33">
        <v>0</v>
      </c>
      <c r="W130" s="34" t="e">
        <f t="shared" si="18"/>
        <v>#N/A</v>
      </c>
      <c r="X130" s="34" t="str">
        <f t="shared" ref="X130:X193" si="30">IF(V130&gt;0,E130/V130,"")</f>
        <v/>
      </c>
      <c r="Y130" s="42"/>
      <c r="Z130" s="34"/>
    </row>
    <row r="131" spans="1:26" x14ac:dyDescent="0.3">
      <c r="A131" s="33" t="str">
        <f>+'[1]Test order'!A131</f>
        <v>2022 TOURIST BUS - TYPICAL</v>
      </c>
      <c r="B131" s="33" t="str">
        <f>+'[1]Test order'!B131</f>
        <v>CITY ROUTE</v>
      </c>
      <c r="C131" s="33" t="str">
        <f>+'[1]Test order'!C131</f>
        <v>Fuel Cell 290 kW</v>
      </c>
      <c r="D131" s="33" t="str">
        <f>+'[1]Test order'!D131</f>
        <v>Hydrogen</v>
      </c>
      <c r="E131" s="34">
        <f>+'[1]Test order'!E131</f>
        <v>7.784646307445052</v>
      </c>
      <c r="F131" s="34">
        <f>+'[1]Test order'!F131</f>
        <v>1.2173406183719635</v>
      </c>
      <c r="G131" s="38">
        <f>+'[1]Test order'!G131</f>
        <v>0.15637712624242511</v>
      </c>
      <c r="H131" s="39">
        <f>+'[1]Test order'!H131</f>
        <v>15.260808944702148</v>
      </c>
      <c r="I131" s="33" t="str">
        <f>+'[1]Test order'!I131</f>
        <v>km/kg</v>
      </c>
      <c r="J131" s="33" t="str">
        <f>+'[1]Test order'!J131</f>
        <v>Hydrogen 2022 TOURIST BUS - TYPICAL Fuel Cell 290 kW CITY ROUTE 14711 kg 6.6 kg /100km 16%</v>
      </c>
      <c r="K131" s="33">
        <f>+'[1]Test order'!K131</f>
        <v>0</v>
      </c>
      <c r="L131" s="33" t="str">
        <f t="shared" si="25"/>
        <v>2022</v>
      </c>
      <c r="M131" s="33" t="str">
        <f t="shared" si="26"/>
        <v>TYPICAL</v>
      </c>
      <c r="N131" s="33" t="str">
        <f t="shared" si="27"/>
        <v xml:space="preserve">TOURIST BUS </v>
      </c>
      <c r="O131" s="33" t="str">
        <f t="shared" si="28"/>
        <v>Hydrogen km/kg</v>
      </c>
      <c r="P131" s="41">
        <f>+'FCV B2'!$B$71</f>
        <v>1000000</v>
      </c>
      <c r="Q131" s="41">
        <f t="shared" si="29"/>
        <v>765950</v>
      </c>
      <c r="R131" s="41">
        <f>+'FCV B2'!$B$73</f>
        <v>109200</v>
      </c>
      <c r="S131" s="41">
        <f>+'FCV B2'!$B$72</f>
        <v>124850</v>
      </c>
      <c r="T131" s="37">
        <f>'[1]Test order'!M131</f>
        <v>14711</v>
      </c>
      <c r="U131" s="37">
        <f>+T131-T128</f>
        <v>1211</v>
      </c>
      <c r="V131" s="37">
        <f>+'FCV B2'!$B$7</f>
        <v>17.3</v>
      </c>
      <c r="W131" s="34">
        <f t="shared" ref="W131:W194" si="31">IF(U131&gt;0,E131/U131*1000,NA())</f>
        <v>6.4282793620520655</v>
      </c>
      <c r="X131" s="34">
        <f t="shared" si="30"/>
        <v>0.44997955534364459</v>
      </c>
      <c r="Y131" s="42"/>
      <c r="Z131" s="34"/>
    </row>
    <row r="132" spans="1:26" x14ac:dyDescent="0.3">
      <c r="A132" s="33" t="str">
        <f>+'[1]Test order'!A132</f>
        <v>2022 TOURIST BUS - TYPICAL</v>
      </c>
      <c r="B132" s="33" t="str">
        <f>+'[1]Test order'!B132</f>
        <v>RURAL ROUTE</v>
      </c>
      <c r="C132" s="33" t="str">
        <f>+'[1]Test order'!C132</f>
        <v>Fuel Cell 290 kW</v>
      </c>
      <c r="D132" s="33" t="str">
        <f>+'[1]Test order'!D132</f>
        <v>Hydrogen</v>
      </c>
      <c r="E132" s="34">
        <f>+'[1]Test order'!E132</f>
        <v>5.5637938202236157</v>
      </c>
      <c r="F132" s="34">
        <f>+'[1]Test order'!F132</f>
        <v>1.9939061403274536</v>
      </c>
      <c r="G132" s="38">
        <f>+'[1]Test order'!G132</f>
        <v>0.35837168032357392</v>
      </c>
      <c r="H132" s="39">
        <f>+'[1]Test order'!H132</f>
        <v>21.352336883544922</v>
      </c>
      <c r="I132" s="33" t="str">
        <f>+'[1]Test order'!I132</f>
        <v>km/kg</v>
      </c>
      <c r="J132" s="33" t="str">
        <f>+'[1]Test order'!J132</f>
        <v>Hydrogen 2022 TOURIST BUS - TYPICAL Fuel Cell 290 kW RURAL ROUTE 14711 kg 4.7 kg /100km 36%</v>
      </c>
      <c r="K132" s="33">
        <f>+'[1]Test order'!K132</f>
        <v>0</v>
      </c>
      <c r="L132" s="33" t="str">
        <f t="shared" si="25"/>
        <v>2022</v>
      </c>
      <c r="M132" s="33" t="str">
        <f t="shared" si="26"/>
        <v>TYPICAL</v>
      </c>
      <c r="N132" s="33" t="str">
        <f t="shared" si="27"/>
        <v xml:space="preserve">TOURIST BUS </v>
      </c>
      <c r="O132" s="33" t="str">
        <f t="shared" si="28"/>
        <v>Hydrogen km/kg</v>
      </c>
      <c r="P132" s="41">
        <f>+'FCV B2'!$B$71</f>
        <v>1000000</v>
      </c>
      <c r="Q132" s="41">
        <f t="shared" si="29"/>
        <v>765950</v>
      </c>
      <c r="R132" s="41">
        <f>+'FCV B2'!$B$73</f>
        <v>109200</v>
      </c>
      <c r="S132" s="41">
        <f>+'FCV B2'!$B$72</f>
        <v>124850</v>
      </c>
      <c r="T132" s="37">
        <f>'[1]Test order'!M132</f>
        <v>14711</v>
      </c>
      <c r="U132" s="37">
        <f t="shared" ref="U132:U133" si="32">+T132-T129</f>
        <v>1211</v>
      </c>
      <c r="V132" s="37">
        <f>+'FCV B2'!$B$7</f>
        <v>17.3</v>
      </c>
      <c r="W132" s="34">
        <f t="shared" si="31"/>
        <v>4.5943797029096745</v>
      </c>
      <c r="X132" s="34">
        <f t="shared" si="30"/>
        <v>0.32160657920367719</v>
      </c>
      <c r="Y132" s="42"/>
      <c r="Z132" s="34"/>
    </row>
    <row r="133" spans="1:26" x14ac:dyDescent="0.3">
      <c r="A133" s="33" t="str">
        <f>+'[1]Test order'!A133</f>
        <v>2022 TOURIST BUS - TYPICAL</v>
      </c>
      <c r="B133" s="33" t="str">
        <f>+'[1]Test order'!B133</f>
        <v>MOTORWAY</v>
      </c>
      <c r="C133" s="33" t="str">
        <f>+'[1]Test order'!C133</f>
        <v>Fuel Cell 290 kW</v>
      </c>
      <c r="D133" s="33" t="str">
        <f>+'[1]Test order'!D133</f>
        <v>Hydrogen</v>
      </c>
      <c r="E133" s="34">
        <f>+'[1]Test order'!E133</f>
        <v>5.8184223749523936</v>
      </c>
      <c r="F133" s="34">
        <f>+'[1]Test order'!F133</f>
        <v>2.4113911986351013</v>
      </c>
      <c r="G133" s="38">
        <f>+'[1]Test order'!G133</f>
        <v>0.41444072692554079</v>
      </c>
      <c r="H133" s="39">
        <f>+'[1]Test order'!H133</f>
        <v>20.417905807495117</v>
      </c>
      <c r="I133" s="33" t="str">
        <f>+'[1]Test order'!I133</f>
        <v>km/kg</v>
      </c>
      <c r="J133" s="33" t="str">
        <f>+'[1]Test order'!J133</f>
        <v>Hydrogen 2022 TOURIST BUS - TYPICAL Fuel Cell 290 kW MOTORWAY 14711 kg 4.9 kg /100km 41%</v>
      </c>
      <c r="K133" s="33">
        <f>+'[1]Test order'!K133</f>
        <v>0</v>
      </c>
      <c r="L133" s="33" t="str">
        <f t="shared" si="25"/>
        <v>2022</v>
      </c>
      <c r="M133" s="33" t="str">
        <f t="shared" si="26"/>
        <v>TYPICAL</v>
      </c>
      <c r="N133" s="33" t="str">
        <f t="shared" si="27"/>
        <v xml:space="preserve">TOURIST BUS </v>
      </c>
      <c r="O133" s="33" t="str">
        <f t="shared" si="28"/>
        <v>Hydrogen km/kg</v>
      </c>
      <c r="P133" s="41">
        <f>+'FCV B2'!$B$71</f>
        <v>1000000</v>
      </c>
      <c r="Q133" s="41">
        <f t="shared" si="29"/>
        <v>765950</v>
      </c>
      <c r="R133" s="41">
        <f>+'FCV B2'!$B$73</f>
        <v>109200</v>
      </c>
      <c r="S133" s="41">
        <f>+'FCV B2'!$B$72</f>
        <v>124850</v>
      </c>
      <c r="T133" s="37">
        <f>'[1]Test order'!M133</f>
        <v>14711</v>
      </c>
      <c r="U133" s="37">
        <f t="shared" si="32"/>
        <v>1211</v>
      </c>
      <c r="V133" s="37">
        <f>+'FCV B2'!$B$7</f>
        <v>17.3</v>
      </c>
      <c r="W133" s="34">
        <f t="shared" si="31"/>
        <v>4.8046427538830665</v>
      </c>
      <c r="X133" s="34">
        <f t="shared" si="30"/>
        <v>0.33632499277181466</v>
      </c>
      <c r="Y133" s="42"/>
      <c r="Z133" s="34"/>
    </row>
    <row r="134" spans="1:26" x14ac:dyDescent="0.3">
      <c r="A134" s="33" t="str">
        <f>+'[1]Test order'!A134</f>
        <v>2022 TOURIST BUS - FULL</v>
      </c>
      <c r="B134" s="33" t="str">
        <f>+'[1]Test order'!B134</f>
        <v>CITY ROUTE</v>
      </c>
      <c r="C134" s="33" t="str">
        <f>+'[1]Test order'!C134</f>
        <v>Fuel Cell 290 kW</v>
      </c>
      <c r="D134" s="33" t="str">
        <f>+'[1]Test order'!D134</f>
        <v>Hydrogen</v>
      </c>
      <c r="E134" s="34">
        <f>+'[1]Test order'!E134</f>
        <v>10.208124783968934</v>
      </c>
      <c r="F134" s="34">
        <f>+'[1]Test order'!F134</f>
        <v>1.4423947036266327</v>
      </c>
      <c r="G134" s="38">
        <f>+'[1]Test order'!G134</f>
        <v>0.14129869433921902</v>
      </c>
      <c r="H134" s="39">
        <f>+'[1]Test order'!H134</f>
        <v>11.637788772583008</v>
      </c>
      <c r="I134" s="33" t="str">
        <f>+'[1]Test order'!I134</f>
        <v>km/kg</v>
      </c>
      <c r="J134" s="33" t="str">
        <f>+'[1]Test order'!J134</f>
        <v>Hydrogen 2022 TOURIST BUS - FULL Fuel Cell 290 kW CITY ROUTE 19500 kg 8.6 kg /100km 14%</v>
      </c>
      <c r="K134" s="33">
        <f>+'[1]Test order'!K134</f>
        <v>0</v>
      </c>
      <c r="L134" s="33" t="str">
        <f t="shared" si="25"/>
        <v>2022</v>
      </c>
      <c r="M134" s="33" t="str">
        <f t="shared" si="26"/>
        <v>FULL</v>
      </c>
      <c r="N134" s="33" t="str">
        <f t="shared" si="27"/>
        <v xml:space="preserve">TOURIST BUS </v>
      </c>
      <c r="O134" s="33" t="str">
        <f t="shared" si="28"/>
        <v>Hydrogen km/kg</v>
      </c>
      <c r="P134" s="41">
        <f>+'FCV B2'!$B$71</f>
        <v>1000000</v>
      </c>
      <c r="Q134" s="41">
        <f t="shared" si="29"/>
        <v>765950</v>
      </c>
      <c r="R134" s="41">
        <f>+'FCV B2'!$B$73</f>
        <v>109200</v>
      </c>
      <c r="S134" s="41">
        <f>+'FCV B2'!$B$72</f>
        <v>124850</v>
      </c>
      <c r="T134" s="37">
        <f>'[1]Test order'!M134</f>
        <v>19500</v>
      </c>
      <c r="U134" s="37">
        <f>+T134-T128</f>
        <v>6000</v>
      </c>
      <c r="V134" s="33">
        <f>+'FCV B2'!$B$4</f>
        <v>55</v>
      </c>
      <c r="W134" s="34">
        <f t="shared" si="31"/>
        <v>1.701354130661489</v>
      </c>
      <c r="X134" s="34">
        <f t="shared" si="30"/>
        <v>0.18560226879943517</v>
      </c>
      <c r="Y134" s="42"/>
      <c r="Z134" s="34"/>
    </row>
    <row r="135" spans="1:26" x14ac:dyDescent="0.3">
      <c r="A135" s="33" t="str">
        <f>+'[1]Test order'!A135</f>
        <v>2022 TOURIST BUS - FULL</v>
      </c>
      <c r="B135" s="33" t="str">
        <f>+'[1]Test order'!B135</f>
        <v>RURAL ROUTE</v>
      </c>
      <c r="C135" s="33" t="str">
        <f>+'[1]Test order'!C135</f>
        <v>Fuel Cell 290 kW</v>
      </c>
      <c r="D135" s="33" t="str">
        <f>+'[1]Test order'!D135</f>
        <v>Hydrogen</v>
      </c>
      <c r="E135" s="34">
        <f>+'[1]Test order'!E135</f>
        <v>6.4061915375271656</v>
      </c>
      <c r="F135" s="34">
        <f>+'[1]Test order'!F135</f>
        <v>2.2278929948806763</v>
      </c>
      <c r="G135" s="38">
        <f>+'[1]Test order'!G135</f>
        <v>0.34777183632893038</v>
      </c>
      <c r="H135" s="39">
        <f>+'[1]Test order'!H135</f>
        <v>18.544559478759766</v>
      </c>
      <c r="I135" s="33" t="str">
        <f>+'[1]Test order'!I135</f>
        <v>km/kg</v>
      </c>
      <c r="J135" s="33" t="str">
        <f>+'[1]Test order'!J135</f>
        <v>Hydrogen 2022 TOURIST BUS - FULL Fuel Cell 290 kW RURAL ROUTE 19500 kg 5.4 kg /100km 35%</v>
      </c>
      <c r="K135" s="33">
        <f>+'[1]Test order'!K135</f>
        <v>0</v>
      </c>
      <c r="L135" s="33" t="str">
        <f t="shared" si="25"/>
        <v>2022</v>
      </c>
      <c r="M135" s="33" t="str">
        <f t="shared" si="26"/>
        <v>FULL</v>
      </c>
      <c r="N135" s="33" t="str">
        <f t="shared" si="27"/>
        <v xml:space="preserve">TOURIST BUS </v>
      </c>
      <c r="O135" s="33" t="str">
        <f t="shared" si="28"/>
        <v>Hydrogen km/kg</v>
      </c>
      <c r="P135" s="41">
        <f>+'FCV B2'!$B$71</f>
        <v>1000000</v>
      </c>
      <c r="Q135" s="41">
        <f t="shared" si="29"/>
        <v>765950</v>
      </c>
      <c r="R135" s="41">
        <f>+'FCV B2'!$B$73</f>
        <v>109200</v>
      </c>
      <c r="S135" s="41">
        <f>+'FCV B2'!$B$72</f>
        <v>124850</v>
      </c>
      <c r="T135" s="37">
        <f>'[1]Test order'!M135</f>
        <v>19500</v>
      </c>
      <c r="U135" s="37">
        <f t="shared" ref="U135:U136" si="33">+T135-T129</f>
        <v>6000</v>
      </c>
      <c r="V135" s="33">
        <f>+'FCV B2'!$B$4</f>
        <v>55</v>
      </c>
      <c r="W135" s="34">
        <f t="shared" si="31"/>
        <v>1.067698589587861</v>
      </c>
      <c r="X135" s="34">
        <f t="shared" si="30"/>
        <v>0.11647620977322119</v>
      </c>
      <c r="Y135" s="42"/>
      <c r="Z135" s="34"/>
    </row>
    <row r="136" spans="1:26" x14ac:dyDescent="0.3">
      <c r="A136" s="33" t="str">
        <f>+'[1]Test order'!A136</f>
        <v>2022 TOURIST BUS - FULL</v>
      </c>
      <c r="B136" s="33" t="str">
        <f>+'[1]Test order'!B136</f>
        <v>MOTORWAY</v>
      </c>
      <c r="C136" s="33" t="str">
        <f>+'[1]Test order'!C136</f>
        <v>Fuel Cell 290 kW</v>
      </c>
      <c r="D136" s="33" t="str">
        <f>+'[1]Test order'!D136</f>
        <v>Hydrogen</v>
      </c>
      <c r="E136" s="34">
        <f>+'[1]Test order'!E136</f>
        <v>6.362424019924056</v>
      </c>
      <c r="F136" s="34">
        <f>+'[1]Test order'!F136</f>
        <v>2.646298348903656</v>
      </c>
      <c r="G136" s="38">
        <f>+'[1]Test order'!G136</f>
        <v>0.41592612196494932</v>
      </c>
      <c r="H136" s="39">
        <f>+'[1]Test order'!H136</f>
        <v>18.672128677368164</v>
      </c>
      <c r="I136" s="33" t="str">
        <f>+'[1]Test order'!I136</f>
        <v>km/kg</v>
      </c>
      <c r="J136" s="33" t="str">
        <f>+'[1]Test order'!J136</f>
        <v>Hydrogen 2022 TOURIST BUS - FULL Fuel Cell 290 kW MOTORWAY 19500 kg 5.4 kg /100km 42%</v>
      </c>
      <c r="K136" s="33">
        <f>+'[1]Test order'!K136</f>
        <v>0</v>
      </c>
      <c r="L136" s="33" t="str">
        <f t="shared" si="25"/>
        <v>2022</v>
      </c>
      <c r="M136" s="33" t="str">
        <f t="shared" si="26"/>
        <v>FULL</v>
      </c>
      <c r="N136" s="33" t="str">
        <f t="shared" si="27"/>
        <v xml:space="preserve">TOURIST BUS </v>
      </c>
      <c r="O136" s="33" t="str">
        <f t="shared" si="28"/>
        <v>Hydrogen km/kg</v>
      </c>
      <c r="P136" s="41">
        <f>+'FCV B2'!$B$71</f>
        <v>1000000</v>
      </c>
      <c r="Q136" s="41">
        <f t="shared" si="29"/>
        <v>765950</v>
      </c>
      <c r="R136" s="41">
        <f>+'FCV B2'!$B$73</f>
        <v>109200</v>
      </c>
      <c r="S136" s="41">
        <f>+'FCV B2'!$B$72</f>
        <v>124850</v>
      </c>
      <c r="T136" s="37">
        <f>'[1]Test order'!M136</f>
        <v>19500</v>
      </c>
      <c r="U136" s="37">
        <f t="shared" si="33"/>
        <v>6000</v>
      </c>
      <c r="V136" s="33">
        <f>+'FCV B2'!$F$4</f>
        <v>55</v>
      </c>
      <c r="W136" s="34">
        <f t="shared" si="31"/>
        <v>1.0604040033206761</v>
      </c>
      <c r="X136" s="34">
        <f t="shared" si="30"/>
        <v>0.11568043672589193</v>
      </c>
      <c r="Y136" s="42"/>
      <c r="Z136" s="34"/>
    </row>
    <row r="137" spans="1:26" x14ac:dyDescent="0.3">
      <c r="A137" s="33" t="str">
        <f>+'[1]Test order'!A137</f>
        <v>2050 RIGID TRUCK - EMPTY</v>
      </c>
      <c r="B137" s="33" t="str">
        <f>+'[1]Test order'!B137</f>
        <v>URBAN DELIVERY</v>
      </c>
      <c r="C137" s="33" t="str">
        <f>+'[1]Test order'!C137</f>
        <v>2050 Diesel 735 kW</v>
      </c>
      <c r="D137" s="33" t="str">
        <f>+'[1]Test order'!D137</f>
        <v>Diesel</v>
      </c>
      <c r="E137" s="34">
        <f>+'[1]Test order'!E137</f>
        <v>3.7970285019029033</v>
      </c>
      <c r="F137" s="34">
        <f>+'[1]Test order'!F137</f>
        <v>0.87303620576858521</v>
      </c>
      <c r="G137" s="38">
        <f>+'[1]Test order'!G137</f>
        <v>0.22992616603511348</v>
      </c>
      <c r="H137" s="39">
        <f>+'[1]Test order'!H137</f>
        <v>9.4810981750488281</v>
      </c>
      <c r="I137" s="33" t="str">
        <f>+'[1]Test order'!I137</f>
        <v>km/l</v>
      </c>
      <c r="J137" s="33" t="str">
        <f>+'[1]Test order'!J137</f>
        <v>Diesel 2050 RIGID TRUCK - EMPTY 2050 Diesel 735 kW URBAN DELIVERY 9240 kg 10.5 l /100km 23%</v>
      </c>
      <c r="K137" s="33">
        <f>+'[1]Test order'!K137</f>
        <v>0</v>
      </c>
      <c r="L137" s="33" t="str">
        <f t="shared" si="25"/>
        <v>2050</v>
      </c>
      <c r="M137" s="33" t="str">
        <f t="shared" si="26"/>
        <v>EMPTY</v>
      </c>
      <c r="N137" s="33" t="str">
        <f t="shared" si="27"/>
        <v xml:space="preserve">RIGID TRUCK </v>
      </c>
      <c r="O137" s="33" t="str">
        <f t="shared" si="28"/>
        <v>Diesel km/l</v>
      </c>
      <c r="P137" s="41">
        <f>+'Diesel L1'!$F$71</f>
        <v>174667.55319148937</v>
      </c>
      <c r="Q137" s="41">
        <f t="shared" si="29"/>
        <v>141367.55319148937</v>
      </c>
      <c r="R137" s="41">
        <f>+'Diesel L1'!$F$73</f>
        <v>33000</v>
      </c>
      <c r="S137" s="41">
        <f>+'Diesel L1'!$F$72</f>
        <v>300</v>
      </c>
      <c r="T137" s="37">
        <f>'[1]Test order'!M137</f>
        <v>9240</v>
      </c>
      <c r="U137" s="33">
        <v>0</v>
      </c>
      <c r="V137" s="33">
        <v>0</v>
      </c>
      <c r="W137" s="34" t="e">
        <f t="shared" si="31"/>
        <v>#N/A</v>
      </c>
      <c r="X137" s="34" t="str">
        <f t="shared" si="30"/>
        <v/>
      </c>
      <c r="Y137" s="42"/>
      <c r="Z137" s="34"/>
    </row>
    <row r="138" spans="1:26" x14ac:dyDescent="0.3">
      <c r="A138" s="33" t="str">
        <f>+'[1]Test order'!A138</f>
        <v>2050 RIGID TRUCK - EMPTY</v>
      </c>
      <c r="B138" s="33" t="str">
        <f>+'[1]Test order'!B138</f>
        <v>REGIONAL DELIVERY</v>
      </c>
      <c r="C138" s="33" t="str">
        <f>+'[1]Test order'!C138</f>
        <v>2050 Diesel 735 kW</v>
      </c>
      <c r="D138" s="33" t="str">
        <f>+'[1]Test order'!D138</f>
        <v>Diesel</v>
      </c>
      <c r="E138" s="34">
        <f>+'[1]Test order'!E138</f>
        <v>3.8969679438619615</v>
      </c>
      <c r="F138" s="34">
        <f>+'[1]Test order'!F138</f>
        <v>1.4036992788314819</v>
      </c>
      <c r="G138" s="38">
        <f>+'[1]Test order'!G138</f>
        <v>0.3602029318825733</v>
      </c>
      <c r="H138" s="39">
        <f>+'[1]Test order'!H138</f>
        <v>9.2379512786865234</v>
      </c>
      <c r="I138" s="33" t="str">
        <f>+'[1]Test order'!I138</f>
        <v>km/l</v>
      </c>
      <c r="J138" s="33" t="str">
        <f>+'[1]Test order'!J138</f>
        <v>Diesel 2050 RIGID TRUCK - EMPTY 2050 Diesel 735 kW REGIONAL DELIVERY 9240 kg 10.8 l /100km 36%</v>
      </c>
      <c r="K138" s="33">
        <f>+'[1]Test order'!K138</f>
        <v>0</v>
      </c>
      <c r="L138" s="33" t="str">
        <f t="shared" si="25"/>
        <v>2050</v>
      </c>
      <c r="M138" s="33" t="str">
        <f t="shared" si="26"/>
        <v>EMPTY</v>
      </c>
      <c r="N138" s="33" t="str">
        <f t="shared" si="27"/>
        <v xml:space="preserve">RIGID TRUCK </v>
      </c>
      <c r="O138" s="33" t="str">
        <f t="shared" si="28"/>
        <v>Diesel km/l</v>
      </c>
      <c r="P138" s="41">
        <f>+'Diesel L1'!$F$71</f>
        <v>174667.55319148937</v>
      </c>
      <c r="Q138" s="41">
        <f t="shared" si="29"/>
        <v>141367.55319148937</v>
      </c>
      <c r="R138" s="41">
        <f>+'Diesel L1'!$F$73</f>
        <v>33000</v>
      </c>
      <c r="S138" s="41">
        <f>+'Diesel L1'!$F$72</f>
        <v>300</v>
      </c>
      <c r="T138" s="37">
        <f>'[1]Test order'!M138</f>
        <v>9240</v>
      </c>
      <c r="U138" s="33">
        <v>0</v>
      </c>
      <c r="V138" s="33">
        <v>0</v>
      </c>
      <c r="W138" s="34" t="e">
        <f t="shared" si="31"/>
        <v>#N/A</v>
      </c>
      <c r="X138" s="34" t="str">
        <f t="shared" si="30"/>
        <v/>
      </c>
      <c r="Y138" s="42"/>
      <c r="Z138" s="34"/>
    </row>
    <row r="139" spans="1:26" x14ac:dyDescent="0.3">
      <c r="A139" s="33" t="str">
        <f>+'[1]Test order'!A139</f>
        <v>2050 RIGID TRUCK - EMPTY</v>
      </c>
      <c r="B139" s="33" t="str">
        <f>+'[1]Test order'!B139</f>
        <v>LONG HAUL</v>
      </c>
      <c r="C139" s="33" t="str">
        <f>+'[1]Test order'!C139</f>
        <v>2050 Diesel 735 kW</v>
      </c>
      <c r="D139" s="33" t="str">
        <f>+'[1]Test order'!D139</f>
        <v>Diesel</v>
      </c>
      <c r="E139" s="34">
        <f>+'[1]Test order'!E139</f>
        <v>4.0352518578547505</v>
      </c>
      <c r="F139" s="34">
        <f>+'[1]Test order'!F139</f>
        <v>1.745176762342453</v>
      </c>
      <c r="G139" s="38">
        <f>+'[1]Test order'!G139</f>
        <v>0.432482735605563</v>
      </c>
      <c r="H139" s="39">
        <f>+'[1]Test order'!H139</f>
        <v>8.9213762283325195</v>
      </c>
      <c r="I139" s="33" t="str">
        <f>+'[1]Test order'!I139</f>
        <v>km/l</v>
      </c>
      <c r="J139" s="33" t="str">
        <f>+'[1]Test order'!J139</f>
        <v>Diesel 2050 RIGID TRUCK - EMPTY 2050 Diesel 735 kW LONG HAUL 9240 kg 11.2 l /100km 43%</v>
      </c>
      <c r="K139" s="33">
        <f>+'[1]Test order'!K139</f>
        <v>0</v>
      </c>
      <c r="L139" s="33" t="str">
        <f t="shared" si="25"/>
        <v>2050</v>
      </c>
      <c r="M139" s="33" t="str">
        <f t="shared" si="26"/>
        <v>EMPTY</v>
      </c>
      <c r="N139" s="33" t="str">
        <f t="shared" si="27"/>
        <v xml:space="preserve">RIGID TRUCK </v>
      </c>
      <c r="O139" s="33" t="str">
        <f t="shared" si="28"/>
        <v>Diesel km/l</v>
      </c>
      <c r="P139" s="41">
        <f>+'Diesel L1'!$F$71</f>
        <v>174667.55319148937</v>
      </c>
      <c r="Q139" s="41">
        <f t="shared" si="29"/>
        <v>141367.55319148937</v>
      </c>
      <c r="R139" s="41">
        <f>+'Diesel L1'!$F$73</f>
        <v>33000</v>
      </c>
      <c r="S139" s="41">
        <f>+'Diesel L1'!$F$72</f>
        <v>300</v>
      </c>
      <c r="T139" s="37">
        <f>'[1]Test order'!M139</f>
        <v>9240</v>
      </c>
      <c r="U139" s="33">
        <v>0</v>
      </c>
      <c r="V139" s="33">
        <v>0</v>
      </c>
      <c r="W139" s="34" t="e">
        <f t="shared" si="31"/>
        <v>#N/A</v>
      </c>
      <c r="X139" s="34" t="str">
        <f t="shared" si="30"/>
        <v/>
      </c>
      <c r="Y139" s="42"/>
      <c r="Z139" s="34"/>
    </row>
    <row r="140" spans="1:26" x14ac:dyDescent="0.3">
      <c r="A140" s="33" t="str">
        <f>+'[1]Test order'!A140</f>
        <v>2050 RIGID TRUCK - TYPICAL</v>
      </c>
      <c r="B140" s="33" t="str">
        <f>+'[1]Test order'!B140</f>
        <v>URBAN DELIVERY</v>
      </c>
      <c r="C140" s="33" t="str">
        <f>+'[1]Test order'!C140</f>
        <v>2050 Diesel 735 kW</v>
      </c>
      <c r="D140" s="33" t="str">
        <f>+'[1]Test order'!D140</f>
        <v>Diesel</v>
      </c>
      <c r="E140" s="34">
        <f>+'[1]Test order'!E140</f>
        <v>6.0566337482279744</v>
      </c>
      <c r="F140" s="34">
        <f>+'[1]Test order'!F140</f>
        <v>1.1643644571304321</v>
      </c>
      <c r="G140" s="38">
        <f>+'[1]Test order'!G140</f>
        <v>0.1922461396103235</v>
      </c>
      <c r="H140" s="39">
        <f>+'[1]Test order'!H140</f>
        <v>5.9438958168029785</v>
      </c>
      <c r="I140" s="33" t="str">
        <f>+'[1]Test order'!I140</f>
        <v>km/l</v>
      </c>
      <c r="J140" s="33" t="str">
        <f>+'[1]Test order'!J140</f>
        <v>Diesel 2050 RIGID TRUCK - TYPICAL 2050 Diesel 735 kW URBAN DELIVERY 16664.68 kg 16.8 l /100km 19%</v>
      </c>
      <c r="K140" s="33">
        <f>+'[1]Test order'!K140</f>
        <v>0</v>
      </c>
      <c r="L140" s="33" t="str">
        <f t="shared" si="25"/>
        <v>2050</v>
      </c>
      <c r="M140" s="33" t="str">
        <f t="shared" si="26"/>
        <v>TYPICAL</v>
      </c>
      <c r="N140" s="33" t="str">
        <f t="shared" si="27"/>
        <v xml:space="preserve">RIGID TRUCK </v>
      </c>
      <c r="O140" s="33" t="str">
        <f t="shared" si="28"/>
        <v>Diesel km/l</v>
      </c>
      <c r="P140" s="41">
        <f>+'Diesel L1'!$F$71</f>
        <v>174667.55319148937</v>
      </c>
      <c r="Q140" s="41">
        <f t="shared" si="29"/>
        <v>141367.55319148937</v>
      </c>
      <c r="R140" s="41">
        <f>+'Diesel L1'!$F$73</f>
        <v>33000</v>
      </c>
      <c r="S140" s="41">
        <f>+'Diesel L1'!$F$72</f>
        <v>300</v>
      </c>
      <c r="T140" s="37">
        <f>'[1]Test order'!M140</f>
        <v>16664.68</v>
      </c>
      <c r="U140" s="37">
        <f>+'Diesel L1'!$F$7</f>
        <v>7424.68</v>
      </c>
      <c r="V140" s="33">
        <v>0</v>
      </c>
      <c r="W140" s="34">
        <f t="shared" si="31"/>
        <v>0.8157434055377436</v>
      </c>
      <c r="X140" s="34" t="str">
        <f t="shared" si="30"/>
        <v/>
      </c>
      <c r="Y140" s="42"/>
      <c r="Z140" s="34"/>
    </row>
    <row r="141" spans="1:26" x14ac:dyDescent="0.3">
      <c r="A141" s="33" t="str">
        <f>+'[1]Test order'!A141</f>
        <v>2050 RIGID TRUCK - TYPICAL</v>
      </c>
      <c r="B141" s="33" t="str">
        <f>+'[1]Test order'!B141</f>
        <v>REGIONAL DELIVERY</v>
      </c>
      <c r="C141" s="33" t="str">
        <f>+'[1]Test order'!C141</f>
        <v>2050 Diesel 735 kW</v>
      </c>
      <c r="D141" s="33" t="str">
        <f>+'[1]Test order'!D141</f>
        <v>Diesel</v>
      </c>
      <c r="E141" s="34">
        <f>+'[1]Test order'!E141</f>
        <v>5.2565773995669414</v>
      </c>
      <c r="F141" s="34">
        <f>+'[1]Test order'!F141</f>
        <v>1.6950621604919434</v>
      </c>
      <c r="G141" s="38">
        <f>+'[1]Test order'!G141</f>
        <v>0.32246498655790545</v>
      </c>
      <c r="H141" s="39">
        <f>+'[1]Test order'!H141</f>
        <v>6.8485627174377441</v>
      </c>
      <c r="I141" s="33" t="str">
        <f>+'[1]Test order'!I141</f>
        <v>km/l</v>
      </c>
      <c r="J141" s="33" t="str">
        <f>+'[1]Test order'!J141</f>
        <v>Diesel 2050 RIGID TRUCK - TYPICAL 2050 Diesel 735 kW REGIONAL DELIVERY 16664.68 kg 14.6 l /100km 32%</v>
      </c>
      <c r="K141" s="33">
        <f>+'[1]Test order'!K141</f>
        <v>0</v>
      </c>
      <c r="L141" s="33" t="str">
        <f t="shared" si="25"/>
        <v>2050</v>
      </c>
      <c r="M141" s="33" t="str">
        <f t="shared" si="26"/>
        <v>TYPICAL</v>
      </c>
      <c r="N141" s="33" t="str">
        <f t="shared" si="27"/>
        <v xml:space="preserve">RIGID TRUCK </v>
      </c>
      <c r="O141" s="33" t="str">
        <f t="shared" si="28"/>
        <v>Diesel km/l</v>
      </c>
      <c r="P141" s="41">
        <f>+'Diesel L1'!$F$71</f>
        <v>174667.55319148937</v>
      </c>
      <c r="Q141" s="41">
        <f t="shared" si="29"/>
        <v>141367.55319148937</v>
      </c>
      <c r="R141" s="41">
        <f>+'Diesel L1'!$F$73</f>
        <v>33000</v>
      </c>
      <c r="S141" s="41">
        <f>+'Diesel L1'!$F$72</f>
        <v>300</v>
      </c>
      <c r="T141" s="37">
        <f>'[1]Test order'!M141</f>
        <v>16664.68</v>
      </c>
      <c r="U141" s="37">
        <f>+'Diesel L1'!$F$7</f>
        <v>7424.68</v>
      </c>
      <c r="V141" s="33">
        <v>0</v>
      </c>
      <c r="W141" s="34">
        <f t="shared" si="31"/>
        <v>0.70798706470406014</v>
      </c>
      <c r="X141" s="34" t="str">
        <f t="shared" si="30"/>
        <v/>
      </c>
      <c r="Y141" s="42"/>
      <c r="Z141" s="34"/>
    </row>
    <row r="142" spans="1:26" x14ac:dyDescent="0.3">
      <c r="A142" s="33" t="str">
        <f>+'[1]Test order'!A142</f>
        <v>2050 RIGID TRUCK - TYPICAL</v>
      </c>
      <c r="B142" s="33" t="str">
        <f>+'[1]Test order'!B142</f>
        <v>LONG HAUL</v>
      </c>
      <c r="C142" s="33" t="str">
        <f>+'[1]Test order'!C142</f>
        <v>2050 Diesel 735 kW</v>
      </c>
      <c r="D142" s="33" t="str">
        <f>+'[1]Test order'!D142</f>
        <v>Diesel</v>
      </c>
      <c r="E142" s="34">
        <f>+'[1]Test order'!E142</f>
        <v>4.8776913159198445</v>
      </c>
      <c r="F142" s="34">
        <f>+'[1]Test order'!F142</f>
        <v>2.0365433692932129</v>
      </c>
      <c r="G142" s="38">
        <f>+'[1]Test order'!G142</f>
        <v>0.41752198681501795</v>
      </c>
      <c r="H142" s="39">
        <f>+'[1]Test order'!H142</f>
        <v>7.3805408477783203</v>
      </c>
      <c r="I142" s="33" t="str">
        <f>+'[1]Test order'!I142</f>
        <v>km/l</v>
      </c>
      <c r="J142" s="33" t="str">
        <f>+'[1]Test order'!J142</f>
        <v>Diesel 2050 RIGID TRUCK - TYPICAL 2050 Diesel 735 kW LONG HAUL 16664.68 kg 13.5 l /100km 42%</v>
      </c>
      <c r="K142" s="33">
        <f>+'[1]Test order'!K142</f>
        <v>0</v>
      </c>
      <c r="L142" s="33" t="str">
        <f t="shared" si="25"/>
        <v>2050</v>
      </c>
      <c r="M142" s="33" t="str">
        <f t="shared" si="26"/>
        <v>TYPICAL</v>
      </c>
      <c r="N142" s="33" t="str">
        <f t="shared" si="27"/>
        <v xml:space="preserve">RIGID TRUCK </v>
      </c>
      <c r="O142" s="33" t="str">
        <f t="shared" si="28"/>
        <v>Diesel km/l</v>
      </c>
      <c r="P142" s="41">
        <f>+'Diesel L1'!$F$71</f>
        <v>174667.55319148937</v>
      </c>
      <c r="Q142" s="41">
        <f t="shared" si="29"/>
        <v>141367.55319148937</v>
      </c>
      <c r="R142" s="41">
        <f>+'Diesel L1'!$F$73</f>
        <v>33000</v>
      </c>
      <c r="S142" s="41">
        <f>+'Diesel L1'!$F$72</f>
        <v>300</v>
      </c>
      <c r="T142" s="37">
        <f>'[1]Test order'!M142</f>
        <v>16664.68</v>
      </c>
      <c r="U142" s="37">
        <f>+'Diesel L1'!$F$7</f>
        <v>7424.68</v>
      </c>
      <c r="V142" s="33">
        <v>0</v>
      </c>
      <c r="W142" s="34">
        <f t="shared" si="31"/>
        <v>0.6569564366302445</v>
      </c>
      <c r="X142" s="34" t="str">
        <f t="shared" si="30"/>
        <v/>
      </c>
      <c r="Y142" s="42"/>
      <c r="Z142" s="34"/>
    </row>
    <row r="143" spans="1:26" x14ac:dyDescent="0.3">
      <c r="A143" s="33" t="str">
        <f>+'[1]Test order'!A143</f>
        <v>2050 RIGID TRUCK - FULL</v>
      </c>
      <c r="B143" s="33" t="str">
        <f>+'[1]Test order'!B143</f>
        <v>URBAN DELIVERY</v>
      </c>
      <c r="C143" s="33" t="str">
        <f>+'[1]Test order'!C143</f>
        <v>2050 Diesel 735 kW</v>
      </c>
      <c r="D143" s="33" t="str">
        <f>+'[1]Test order'!D143</f>
        <v>Diesel</v>
      </c>
      <c r="E143" s="34">
        <f>+'[1]Test order'!E143</f>
        <v>8.9409913890040595</v>
      </c>
      <c r="F143" s="34">
        <f>+'[1]Test order'!F143</f>
        <v>1.5306324362754822</v>
      </c>
      <c r="G143" s="38">
        <f>+'[1]Test order'!G143</f>
        <v>0.17119269773125012</v>
      </c>
      <c r="H143" s="39">
        <f>+'[1]Test order'!H143</f>
        <v>4.0263991355895996</v>
      </c>
      <c r="I143" s="33" t="str">
        <f>+'[1]Test order'!I143</f>
        <v>km/l</v>
      </c>
      <c r="J143" s="33" t="str">
        <f>+'[1]Test order'!J143</f>
        <v>Diesel 2050 RIGID TRUCK - FULL 2050 Diesel 735 kW URBAN DELIVERY 26000 kg 24.8 l /100km 17%</v>
      </c>
      <c r="K143" s="33">
        <f>+'[1]Test order'!K143</f>
        <v>0</v>
      </c>
      <c r="L143" s="33" t="str">
        <f t="shared" si="25"/>
        <v>2050</v>
      </c>
      <c r="M143" s="33" t="str">
        <f t="shared" si="26"/>
        <v>FULL</v>
      </c>
      <c r="N143" s="33" t="str">
        <f t="shared" si="27"/>
        <v xml:space="preserve">RIGID TRUCK </v>
      </c>
      <c r="O143" s="33" t="str">
        <f t="shared" si="28"/>
        <v>Diesel km/l</v>
      </c>
      <c r="P143" s="41">
        <f>+'Diesel L1'!$F$71</f>
        <v>174667.55319148937</v>
      </c>
      <c r="Q143" s="41">
        <f t="shared" si="29"/>
        <v>141367.55319148937</v>
      </c>
      <c r="R143" s="41">
        <f>+'Diesel L1'!$F$73</f>
        <v>33000</v>
      </c>
      <c r="S143" s="41">
        <f>+'Diesel L1'!$F$72</f>
        <v>300</v>
      </c>
      <c r="T143" s="37">
        <f>'[1]Test order'!M143</f>
        <v>26000</v>
      </c>
      <c r="U143" s="37">
        <f>+'Diesel L1'!$F$4</f>
        <v>16760</v>
      </c>
      <c r="V143" s="33">
        <v>0</v>
      </c>
      <c r="W143" s="34">
        <f t="shared" si="31"/>
        <v>0.53347203991670999</v>
      </c>
      <c r="X143" s="34" t="str">
        <f t="shared" si="30"/>
        <v/>
      </c>
      <c r="Y143" s="42"/>
      <c r="Z143" s="34"/>
    </row>
    <row r="144" spans="1:26" x14ac:dyDescent="0.3">
      <c r="A144" s="33" t="str">
        <f>+'[1]Test order'!A144</f>
        <v>2050 RIGID TRUCK - FULL</v>
      </c>
      <c r="B144" s="33" t="str">
        <f>+'[1]Test order'!B144</f>
        <v>REGIONAL DELIVERY</v>
      </c>
      <c r="C144" s="33" t="str">
        <f>+'[1]Test order'!C144</f>
        <v>2050 Diesel 735 kW</v>
      </c>
      <c r="D144" s="33" t="str">
        <f>+'[1]Test order'!D144</f>
        <v>Diesel</v>
      </c>
      <c r="E144" s="34">
        <f>+'[1]Test order'!E144</f>
        <v>7.1547255037924637</v>
      </c>
      <c r="F144" s="34">
        <f>+'[1]Test order'!F144</f>
        <v>2.0613679885864258</v>
      </c>
      <c r="G144" s="38">
        <f>+'[1]Test order'!G144</f>
        <v>0.28811279866624773</v>
      </c>
      <c r="H144" s="39">
        <f>+'[1]Test order'!H144</f>
        <v>5.031639575958252</v>
      </c>
      <c r="I144" s="33" t="str">
        <f>+'[1]Test order'!I144</f>
        <v>km/l</v>
      </c>
      <c r="J144" s="33" t="str">
        <f>+'[1]Test order'!J144</f>
        <v>Diesel 2050 RIGID TRUCK - FULL 2050 Diesel 735 kW REGIONAL DELIVERY 26000 kg 19.9 l /100km 29%</v>
      </c>
      <c r="K144" s="33">
        <f>+'[1]Test order'!K144</f>
        <v>0</v>
      </c>
      <c r="L144" s="33" t="str">
        <f t="shared" si="25"/>
        <v>2050</v>
      </c>
      <c r="M144" s="33" t="str">
        <f t="shared" si="26"/>
        <v>FULL</v>
      </c>
      <c r="N144" s="33" t="str">
        <f t="shared" si="27"/>
        <v xml:space="preserve">RIGID TRUCK </v>
      </c>
      <c r="O144" s="33" t="str">
        <f t="shared" si="28"/>
        <v>Diesel km/l</v>
      </c>
      <c r="P144" s="41">
        <f>+'Diesel L1'!$F$71</f>
        <v>174667.55319148937</v>
      </c>
      <c r="Q144" s="41">
        <f t="shared" si="29"/>
        <v>141367.55319148937</v>
      </c>
      <c r="R144" s="41">
        <f>+'Diesel L1'!$F$73</f>
        <v>33000</v>
      </c>
      <c r="S144" s="41">
        <f>+'Diesel L1'!$F$72</f>
        <v>300</v>
      </c>
      <c r="T144" s="37">
        <f>'[1]Test order'!M144</f>
        <v>26000</v>
      </c>
      <c r="U144" s="37">
        <f>+'Diesel L1'!$F$4</f>
        <v>16760</v>
      </c>
      <c r="V144" s="33">
        <v>0</v>
      </c>
      <c r="W144" s="34">
        <f t="shared" si="31"/>
        <v>0.42689292982055277</v>
      </c>
      <c r="X144" s="34" t="str">
        <f t="shared" si="30"/>
        <v/>
      </c>
      <c r="Y144" s="42"/>
      <c r="Z144" s="34"/>
    </row>
    <row r="145" spans="1:26" x14ac:dyDescent="0.3">
      <c r="A145" s="33" t="str">
        <f>+'[1]Test order'!A145</f>
        <v>2050 RIGID TRUCK - FULL</v>
      </c>
      <c r="B145" s="33" t="str">
        <f>+'[1]Test order'!B145</f>
        <v>LONG HAUL</v>
      </c>
      <c r="C145" s="33" t="str">
        <f>+'[1]Test order'!C145</f>
        <v>2050 Diesel 735 kW</v>
      </c>
      <c r="D145" s="33" t="str">
        <f>+'[1]Test order'!D145</f>
        <v>Diesel</v>
      </c>
      <c r="E145" s="34">
        <f>+'[1]Test order'!E145</f>
        <v>6.0490499028073419</v>
      </c>
      <c r="F145" s="34">
        <f>+'[1]Test order'!F145</f>
        <v>2.4028520584106445</v>
      </c>
      <c r="G145" s="38">
        <f>+'[1]Test order'!G145</f>
        <v>0.39722801051707141</v>
      </c>
      <c r="H145" s="39">
        <f>+'[1]Test order'!H145</f>
        <v>5.951347827911377</v>
      </c>
      <c r="I145" s="33" t="str">
        <f>+'[1]Test order'!I145</f>
        <v>km/l</v>
      </c>
      <c r="J145" s="33" t="str">
        <f>+'[1]Test order'!J145</f>
        <v>Diesel 2050 RIGID TRUCK - FULL 2050 Diesel 735 kW LONG HAUL 26000 kg 16.8 l /100km 40%</v>
      </c>
      <c r="K145" s="33">
        <f>+'[1]Test order'!K145</f>
        <v>0</v>
      </c>
      <c r="L145" s="33" t="str">
        <f t="shared" si="25"/>
        <v>2050</v>
      </c>
      <c r="M145" s="33" t="str">
        <f t="shared" si="26"/>
        <v>FULL</v>
      </c>
      <c r="N145" s="33" t="str">
        <f t="shared" si="27"/>
        <v xml:space="preserve">RIGID TRUCK </v>
      </c>
      <c r="O145" s="33" t="str">
        <f t="shared" si="28"/>
        <v>Diesel km/l</v>
      </c>
      <c r="P145" s="41">
        <f>+'Diesel L1'!$F$71</f>
        <v>174667.55319148937</v>
      </c>
      <c r="Q145" s="41">
        <f t="shared" si="29"/>
        <v>141367.55319148937</v>
      </c>
      <c r="R145" s="41">
        <f>+'Diesel L1'!$F$73</f>
        <v>33000</v>
      </c>
      <c r="S145" s="41">
        <f>+'Diesel L1'!$F$72</f>
        <v>300</v>
      </c>
      <c r="T145" s="37">
        <f>'[1]Test order'!M145</f>
        <v>26000</v>
      </c>
      <c r="U145" s="37">
        <f>+'Diesel L1'!$F$4</f>
        <v>16760</v>
      </c>
      <c r="V145" s="33">
        <v>0</v>
      </c>
      <c r="W145" s="34">
        <f t="shared" si="31"/>
        <v>0.36092183190974597</v>
      </c>
      <c r="X145" s="34" t="str">
        <f t="shared" si="30"/>
        <v/>
      </c>
      <c r="Y145" s="42"/>
      <c r="Z145" s="34"/>
    </row>
    <row r="146" spans="1:26" x14ac:dyDescent="0.3">
      <c r="A146" s="33" t="str">
        <f>+'[1]Test order'!A146</f>
        <v>2050 TRUCK WITH TRAILER - EMPTY</v>
      </c>
      <c r="B146" s="33" t="str">
        <f>+'[1]Test order'!B146</f>
        <v>URBAN DELIVERY</v>
      </c>
      <c r="C146" s="33" t="str">
        <f>+'[1]Test order'!C146</f>
        <v>2050 Diesel 735 kW</v>
      </c>
      <c r="D146" s="33" t="str">
        <f>+'[1]Test order'!D146</f>
        <v>Diesel</v>
      </c>
      <c r="E146" s="34">
        <f>+'[1]Test order'!E146</f>
        <v>5.2327992303160977</v>
      </c>
      <c r="F146" s="34">
        <f>+'[1]Test order'!F146</f>
        <v>1.1445613503456116</v>
      </c>
      <c r="G146" s="38">
        <f>+'[1]Test order'!G146</f>
        <v>0.21872831346454544</v>
      </c>
      <c r="H146" s="39">
        <f>+'[1]Test order'!H146</f>
        <v>6.8796830177307129</v>
      </c>
      <c r="I146" s="33" t="str">
        <f>+'[1]Test order'!I146</f>
        <v>km/l</v>
      </c>
      <c r="J146" s="33" t="str">
        <f>+'[1]Test order'!J146</f>
        <v>Diesel 2050 TRUCK WITH TRAILER - EMPTY 2050 Diesel 735 kW URBAN DELIVERY 13269.26102271 kg 14.5 l /100km 22%</v>
      </c>
      <c r="K146" s="33">
        <f>+'[1]Test order'!K146</f>
        <v>0</v>
      </c>
      <c r="L146" s="33" t="str">
        <f t="shared" si="25"/>
        <v>2050</v>
      </c>
      <c r="M146" s="33" t="str">
        <f t="shared" si="26"/>
        <v>EMPTY</v>
      </c>
      <c r="N146" s="33" t="str">
        <f t="shared" si="27"/>
        <v xml:space="preserve">TRUCK WITH TRAILER </v>
      </c>
      <c r="O146" s="33" t="str">
        <f t="shared" si="28"/>
        <v>Diesel km/l</v>
      </c>
      <c r="P146" s="41">
        <f>+'Diesel L2'!$F$71</f>
        <v>199468.08510638299</v>
      </c>
      <c r="Q146" s="41">
        <f t="shared" si="29"/>
        <v>166168.08510638299</v>
      </c>
      <c r="R146" s="41">
        <f>+'Diesel L2'!$F$73</f>
        <v>33000</v>
      </c>
      <c r="S146" s="41">
        <f>+'Diesel L2'!$F$72</f>
        <v>300</v>
      </c>
      <c r="T146" s="37">
        <f>'[1]Test order'!M146</f>
        <v>13269.261022709999</v>
      </c>
      <c r="U146" s="33">
        <v>0</v>
      </c>
      <c r="V146" s="33">
        <v>0</v>
      </c>
      <c r="W146" s="34" t="e">
        <f t="shared" si="31"/>
        <v>#N/A</v>
      </c>
      <c r="X146" s="34" t="str">
        <f t="shared" si="30"/>
        <v/>
      </c>
      <c r="Y146" s="42"/>
      <c r="Z146" s="34"/>
    </row>
    <row r="147" spans="1:26" x14ac:dyDescent="0.3">
      <c r="A147" s="33" t="str">
        <f>+'[1]Test order'!A147</f>
        <v>2050 TRUCK WITH TRAILER - EMPTY</v>
      </c>
      <c r="B147" s="33" t="str">
        <f>+'[1]Test order'!B147</f>
        <v>REGIONAL DELIVERY</v>
      </c>
      <c r="C147" s="33" t="str">
        <f>+'[1]Test order'!C147</f>
        <v>2050 Diesel 735 kW</v>
      </c>
      <c r="D147" s="33" t="str">
        <f>+'[1]Test order'!D147</f>
        <v>Diesel</v>
      </c>
      <c r="E147" s="34">
        <f>+'[1]Test order'!E147</f>
        <v>5.1062871727326762</v>
      </c>
      <c r="F147" s="34">
        <f>+'[1]Test order'!F147</f>
        <v>1.7931610941886902</v>
      </c>
      <c r="G147" s="38">
        <f>+'[1]Test order'!G147</f>
        <v>0.35116730288184395</v>
      </c>
      <c r="H147" s="39">
        <f>+'[1]Test order'!H147</f>
        <v>7.0501322746276855</v>
      </c>
      <c r="I147" s="33" t="str">
        <f>+'[1]Test order'!I147</f>
        <v>km/l</v>
      </c>
      <c r="J147" s="33" t="str">
        <f>+'[1]Test order'!J147</f>
        <v>Diesel 2050 TRUCK WITH TRAILER - EMPTY 2050 Diesel 735 kW REGIONAL DELIVERY 13269.26102271 kg 14.2 l /100km 35%</v>
      </c>
      <c r="K147" s="33">
        <f>+'[1]Test order'!K147</f>
        <v>0</v>
      </c>
      <c r="L147" s="33" t="str">
        <f t="shared" si="25"/>
        <v>2050</v>
      </c>
      <c r="M147" s="33" t="str">
        <f t="shared" si="26"/>
        <v>EMPTY</v>
      </c>
      <c r="N147" s="33" t="str">
        <f t="shared" si="27"/>
        <v xml:space="preserve">TRUCK WITH TRAILER </v>
      </c>
      <c r="O147" s="33" t="str">
        <f t="shared" si="28"/>
        <v>Diesel km/l</v>
      </c>
      <c r="P147" s="41">
        <f>+'Diesel L2'!$F$71</f>
        <v>199468.08510638299</v>
      </c>
      <c r="Q147" s="41">
        <f t="shared" si="29"/>
        <v>166168.08510638299</v>
      </c>
      <c r="R147" s="41">
        <f>+'Diesel L2'!$F$73</f>
        <v>33000</v>
      </c>
      <c r="S147" s="41">
        <f>+'Diesel L2'!$F$72</f>
        <v>300</v>
      </c>
      <c r="T147" s="37">
        <f>'[1]Test order'!M147</f>
        <v>13269.261022709999</v>
      </c>
      <c r="U147" s="33">
        <v>0</v>
      </c>
      <c r="V147" s="33">
        <v>0</v>
      </c>
      <c r="W147" s="34" t="e">
        <f t="shared" si="31"/>
        <v>#N/A</v>
      </c>
      <c r="X147" s="34" t="str">
        <f t="shared" si="30"/>
        <v/>
      </c>
      <c r="Y147" s="42"/>
      <c r="Z147" s="34"/>
    </row>
    <row r="148" spans="1:26" x14ac:dyDescent="0.3">
      <c r="A148" s="33" t="str">
        <f>+'[1]Test order'!A148</f>
        <v>2050 TRUCK WITH TRAILER - EMPTY</v>
      </c>
      <c r="B148" s="33" t="str">
        <f>+'[1]Test order'!B148</f>
        <v>LONG HAUL</v>
      </c>
      <c r="C148" s="33" t="str">
        <f>+'[1]Test order'!C148</f>
        <v>2050 Diesel 735 kW</v>
      </c>
      <c r="D148" s="33" t="str">
        <f>+'[1]Test order'!D148</f>
        <v>Diesel</v>
      </c>
      <c r="E148" s="34">
        <f>+'[1]Test order'!E148</f>
        <v>5.1144729867185221</v>
      </c>
      <c r="F148" s="34">
        <f>+'[1]Test order'!F148</f>
        <v>2.2105235457420349</v>
      </c>
      <c r="G148" s="38">
        <f>+'[1]Test order'!G148</f>
        <v>0.43220944787124993</v>
      </c>
      <c r="H148" s="39">
        <f>+'[1]Test order'!H148</f>
        <v>7.0388484001159668</v>
      </c>
      <c r="I148" s="33" t="str">
        <f>+'[1]Test order'!I148</f>
        <v>km/l</v>
      </c>
      <c r="J148" s="33" t="str">
        <f>+'[1]Test order'!J148</f>
        <v>Diesel 2050 TRUCK WITH TRAILER - EMPTY 2050 Diesel 735 kW LONG HAUL 13269.26102271 kg 14.2 l /100km 43%</v>
      </c>
      <c r="K148" s="33">
        <f>+'[1]Test order'!K148</f>
        <v>0</v>
      </c>
      <c r="L148" s="33" t="str">
        <f t="shared" si="25"/>
        <v>2050</v>
      </c>
      <c r="M148" s="33" t="str">
        <f t="shared" si="26"/>
        <v>EMPTY</v>
      </c>
      <c r="N148" s="33" t="str">
        <f t="shared" si="27"/>
        <v xml:space="preserve">TRUCK WITH TRAILER </v>
      </c>
      <c r="O148" s="33" t="str">
        <f t="shared" si="28"/>
        <v>Diesel km/l</v>
      </c>
      <c r="P148" s="41">
        <f>+'Diesel L2'!$F$71</f>
        <v>199468.08510638299</v>
      </c>
      <c r="Q148" s="41">
        <f t="shared" si="29"/>
        <v>166168.08510638299</v>
      </c>
      <c r="R148" s="41">
        <f>+'Diesel L2'!$F$73</f>
        <v>33000</v>
      </c>
      <c r="S148" s="41">
        <f>+'Diesel L2'!$F$72</f>
        <v>300</v>
      </c>
      <c r="T148" s="37">
        <f>'[1]Test order'!M148</f>
        <v>13269.261022709999</v>
      </c>
      <c r="U148" s="33">
        <v>0</v>
      </c>
      <c r="V148" s="33">
        <v>0</v>
      </c>
      <c r="W148" s="34" t="e">
        <f t="shared" si="31"/>
        <v>#N/A</v>
      </c>
      <c r="X148" s="34" t="str">
        <f t="shared" si="30"/>
        <v/>
      </c>
      <c r="Y148" s="42"/>
      <c r="Z148" s="34"/>
    </row>
    <row r="149" spans="1:26" x14ac:dyDescent="0.3">
      <c r="A149" s="33" t="str">
        <f>+'[1]Test order'!A149</f>
        <v>2050 TRUCK WITH TRAILER - TYPICAL</v>
      </c>
      <c r="B149" s="33" t="str">
        <f>+'[1]Test order'!B149</f>
        <v>URBAN DELIVERY</v>
      </c>
      <c r="C149" s="33" t="str">
        <f>+'[1]Test order'!C149</f>
        <v>2050 Diesel 735 kW</v>
      </c>
      <c r="D149" s="33" t="str">
        <f>+'[1]Test order'!D149</f>
        <v>Diesel</v>
      </c>
      <c r="E149" s="34">
        <f>+'[1]Test order'!E149</f>
        <v>11.374435995525102</v>
      </c>
      <c r="F149" s="34">
        <f>+'[1]Test order'!F149</f>
        <v>1.9274789094924927</v>
      </c>
      <c r="G149" s="38">
        <f>+'[1]Test order'!G149</f>
        <v>0.16945709749923388</v>
      </c>
      <c r="H149" s="39">
        <f>+'[1]Test order'!H149</f>
        <v>3.164992094039917</v>
      </c>
      <c r="I149" s="33" t="str">
        <f>+'[1]Test order'!I149</f>
        <v>km/l</v>
      </c>
      <c r="J149" s="33" t="str">
        <f>+'[1]Test order'!J149</f>
        <v>Diesel 2050 TRUCK WITH TRAILER - TYPICAL 2050 Diesel 735 kW URBAN DELIVERY 33223.2865660128 kg 31.6 l /100km 17%</v>
      </c>
      <c r="K149" s="33">
        <f>+'[1]Test order'!K149</f>
        <v>0</v>
      </c>
      <c r="L149" s="33" t="str">
        <f t="shared" si="25"/>
        <v>2050</v>
      </c>
      <c r="M149" s="33" t="str">
        <f t="shared" si="26"/>
        <v>TYPICAL</v>
      </c>
      <c r="N149" s="33" t="str">
        <f t="shared" si="27"/>
        <v xml:space="preserve">TRUCK WITH TRAILER </v>
      </c>
      <c r="O149" s="33" t="str">
        <f t="shared" si="28"/>
        <v>Diesel km/l</v>
      </c>
      <c r="P149" s="41">
        <f>+'Diesel L2'!$F$71</f>
        <v>199468.08510638299</v>
      </c>
      <c r="Q149" s="41">
        <f t="shared" si="29"/>
        <v>166168.08510638299</v>
      </c>
      <c r="R149" s="41">
        <f>+'Diesel L2'!$F$73</f>
        <v>33000</v>
      </c>
      <c r="S149" s="41">
        <f>+'Diesel L2'!$F$72</f>
        <v>300</v>
      </c>
      <c r="T149" s="37">
        <f>'[1]Test order'!M149</f>
        <v>33223.28656601283</v>
      </c>
      <c r="U149" s="37">
        <f>+'Diesel L2'!$F$7</f>
        <v>19954.025543302829</v>
      </c>
      <c r="V149" s="33">
        <v>0</v>
      </c>
      <c r="W149" s="34">
        <f t="shared" si="31"/>
        <v>0.57003214568614735</v>
      </c>
      <c r="X149" s="34" t="str">
        <f t="shared" si="30"/>
        <v/>
      </c>
      <c r="Y149" s="42"/>
      <c r="Z149" s="34"/>
    </row>
    <row r="150" spans="1:26" x14ac:dyDescent="0.3">
      <c r="A150" s="33" t="str">
        <f>+'[1]Test order'!A150</f>
        <v>2050 TRUCK WITH TRAILER - TYPICAL</v>
      </c>
      <c r="B150" s="33" t="str">
        <f>+'[1]Test order'!B150</f>
        <v>REGIONAL DELIVERY</v>
      </c>
      <c r="C150" s="33" t="str">
        <f>+'[1]Test order'!C150</f>
        <v>2050 Diesel 735 kW</v>
      </c>
      <c r="D150" s="33" t="str">
        <f>+'[1]Test order'!D150</f>
        <v>Diesel</v>
      </c>
      <c r="E150" s="34">
        <f>+'[1]Test order'!E150</f>
        <v>9.0190824490603383</v>
      </c>
      <c r="F150" s="34">
        <f>+'[1]Test order'!F150</f>
        <v>2.5761605501174927</v>
      </c>
      <c r="G150" s="38">
        <f>+'[1]Test order'!G150</f>
        <v>0.28563443838856273</v>
      </c>
      <c r="H150" s="39">
        <f>+'[1]Test order'!H150</f>
        <v>3.9915368556976318</v>
      </c>
      <c r="I150" s="33" t="str">
        <f>+'[1]Test order'!I150</f>
        <v>km/l</v>
      </c>
      <c r="J150" s="33" t="str">
        <f>+'[1]Test order'!J150</f>
        <v>Diesel 2050 TRUCK WITH TRAILER - TYPICAL 2050 Diesel 735 kW REGIONAL DELIVERY 33223.2865660128 kg 25.1 l /100km 29%</v>
      </c>
      <c r="K150" s="33">
        <f>+'[1]Test order'!K150</f>
        <v>0</v>
      </c>
      <c r="L150" s="33" t="str">
        <f t="shared" si="25"/>
        <v>2050</v>
      </c>
      <c r="M150" s="33" t="str">
        <f t="shared" si="26"/>
        <v>TYPICAL</v>
      </c>
      <c r="N150" s="33" t="str">
        <f t="shared" si="27"/>
        <v xml:space="preserve">TRUCK WITH TRAILER </v>
      </c>
      <c r="O150" s="33" t="str">
        <f t="shared" si="28"/>
        <v>Diesel km/l</v>
      </c>
      <c r="P150" s="41">
        <f>+'Diesel L2'!$F$71</f>
        <v>199468.08510638299</v>
      </c>
      <c r="Q150" s="41">
        <f t="shared" si="29"/>
        <v>166168.08510638299</v>
      </c>
      <c r="R150" s="41">
        <f>+'Diesel L2'!$F$73</f>
        <v>33000</v>
      </c>
      <c r="S150" s="41">
        <f>+'Diesel L2'!$F$72</f>
        <v>300</v>
      </c>
      <c r="T150" s="37">
        <f>'[1]Test order'!M150</f>
        <v>33223.28656601283</v>
      </c>
      <c r="U150" s="37">
        <f>+'Diesel L2'!$F$7</f>
        <v>19954.025543302829</v>
      </c>
      <c r="V150" s="33">
        <v>0</v>
      </c>
      <c r="W150" s="34">
        <f t="shared" si="31"/>
        <v>0.45199312938072356</v>
      </c>
      <c r="X150" s="34" t="str">
        <f t="shared" si="30"/>
        <v/>
      </c>
      <c r="Y150" s="42"/>
      <c r="Z150" s="34"/>
    </row>
    <row r="151" spans="1:26" x14ac:dyDescent="0.3">
      <c r="A151" s="33" t="str">
        <f>+'[1]Test order'!A151</f>
        <v>2050 TRUCK WITH TRAILER - TYPICAL</v>
      </c>
      <c r="B151" s="33" t="str">
        <f>+'[1]Test order'!B151</f>
        <v>LONG HAUL</v>
      </c>
      <c r="C151" s="33" t="str">
        <f>+'[1]Test order'!C151</f>
        <v>2050 Diesel 735 kW</v>
      </c>
      <c r="D151" s="33" t="str">
        <f>+'[1]Test order'!D151</f>
        <v>Diesel</v>
      </c>
      <c r="E151" s="34">
        <f>+'[1]Test order'!E151</f>
        <v>7.5526187056318816</v>
      </c>
      <c r="F151" s="34">
        <f>+'[1]Test order'!F151</f>
        <v>2.993531346321106</v>
      </c>
      <c r="G151" s="38">
        <f>+'[1]Test order'!G151</f>
        <v>0.39635674234274154</v>
      </c>
      <c r="H151" s="39">
        <f>+'[1]Test order'!H151</f>
        <v>4.7665586471557617</v>
      </c>
      <c r="I151" s="33" t="str">
        <f>+'[1]Test order'!I151</f>
        <v>km/l</v>
      </c>
      <c r="J151" s="33" t="str">
        <f>+'[1]Test order'!J151</f>
        <v>Diesel 2050 TRUCK WITH TRAILER - TYPICAL 2050 Diesel 735 kW LONG HAUL 33223.2865660128 kg 21.0 l /100km 40%</v>
      </c>
      <c r="K151" s="33">
        <f>+'[1]Test order'!K151</f>
        <v>0</v>
      </c>
      <c r="L151" s="33" t="str">
        <f t="shared" si="25"/>
        <v>2050</v>
      </c>
      <c r="M151" s="33" t="str">
        <f t="shared" si="26"/>
        <v>TYPICAL</v>
      </c>
      <c r="N151" s="33" t="str">
        <f t="shared" si="27"/>
        <v xml:space="preserve">TRUCK WITH TRAILER </v>
      </c>
      <c r="O151" s="33" t="str">
        <f t="shared" si="28"/>
        <v>Diesel km/l</v>
      </c>
      <c r="P151" s="41">
        <f>+'Diesel L2'!$F$71</f>
        <v>199468.08510638299</v>
      </c>
      <c r="Q151" s="41">
        <f t="shared" si="29"/>
        <v>166168.08510638299</v>
      </c>
      <c r="R151" s="41">
        <f>+'Diesel L2'!$F$73</f>
        <v>33000</v>
      </c>
      <c r="S151" s="41">
        <f>+'Diesel L2'!$F$72</f>
        <v>300</v>
      </c>
      <c r="T151" s="37">
        <f>'[1]Test order'!M151</f>
        <v>33223.28656601283</v>
      </c>
      <c r="U151" s="37">
        <f>+'Diesel L2'!$F$7</f>
        <v>19954.025543302829</v>
      </c>
      <c r="V151" s="33">
        <v>0</v>
      </c>
      <c r="W151" s="34">
        <f t="shared" si="31"/>
        <v>0.37850100418292626</v>
      </c>
      <c r="X151" s="34" t="str">
        <f t="shared" si="30"/>
        <v/>
      </c>
      <c r="Y151" s="42"/>
      <c r="Z151" s="34"/>
    </row>
    <row r="152" spans="1:26" x14ac:dyDescent="0.3">
      <c r="A152" s="33" t="str">
        <f>+'[1]Test order'!A152</f>
        <v>2050 TRUCK WITH TRAILER - FULL</v>
      </c>
      <c r="B152" s="33" t="str">
        <f>+'[1]Test order'!B152</f>
        <v>URBAN DELIVERY</v>
      </c>
      <c r="C152" s="33" t="str">
        <f>+'[1]Test order'!C152</f>
        <v>2050 Diesel 735 kW</v>
      </c>
      <c r="D152" s="33" t="str">
        <f>+'[1]Test order'!D152</f>
        <v>Diesel</v>
      </c>
      <c r="E152" s="34">
        <f>+'[1]Test order'!E152</f>
        <v>19.449474370015587</v>
      </c>
      <c r="F152" s="34">
        <f>+'[1]Test order'!F152</f>
        <v>2.9781034588813782</v>
      </c>
      <c r="G152" s="38">
        <f>+'[1]Test order'!G152</f>
        <v>0.15311999708704682</v>
      </c>
      <c r="H152" s="39">
        <f>+'[1]Test order'!H152</f>
        <v>1.850949764251709</v>
      </c>
      <c r="I152" s="33" t="str">
        <f>+'[1]Test order'!I152</f>
        <v>km/l</v>
      </c>
      <c r="J152" s="33" t="str">
        <f>+'[1]Test order'!J152</f>
        <v>Diesel 2050 TRUCK WITH TRAILER - FULL 2050 Diesel 735 kW URBAN DELIVERY 60000 kg 54.0 l /100km 15%</v>
      </c>
      <c r="K152" s="33">
        <f>+'[1]Test order'!K152</f>
        <v>0</v>
      </c>
      <c r="L152" s="33" t="str">
        <f t="shared" si="25"/>
        <v>2050</v>
      </c>
      <c r="M152" s="33" t="str">
        <f t="shared" si="26"/>
        <v>FULL</v>
      </c>
      <c r="N152" s="33" t="str">
        <f t="shared" si="27"/>
        <v xml:space="preserve">TRUCK WITH TRAILER </v>
      </c>
      <c r="O152" s="33" t="str">
        <f t="shared" si="28"/>
        <v>Diesel km/l</v>
      </c>
      <c r="P152" s="41">
        <f>+'Diesel L2'!$F$71</f>
        <v>199468.08510638299</v>
      </c>
      <c r="Q152" s="41">
        <f t="shared" si="29"/>
        <v>166168.08510638299</v>
      </c>
      <c r="R152" s="41">
        <f>+'Diesel L2'!$F$73</f>
        <v>33000</v>
      </c>
      <c r="S152" s="41">
        <f>+'Diesel L2'!$F$72</f>
        <v>300</v>
      </c>
      <c r="T152" s="37">
        <f>'[1]Test order'!M152</f>
        <v>60000</v>
      </c>
      <c r="U152" s="37">
        <f>+'Diesel L2'!$F$4</f>
        <v>46730.738977289999</v>
      </c>
      <c r="V152" s="33">
        <v>0</v>
      </c>
      <c r="W152" s="34">
        <f t="shared" si="31"/>
        <v>0.41620301317014391</v>
      </c>
      <c r="X152" s="34" t="str">
        <f t="shared" si="30"/>
        <v/>
      </c>
      <c r="Y152" s="42"/>
      <c r="Z152" s="34"/>
    </row>
    <row r="153" spans="1:26" x14ac:dyDescent="0.3">
      <c r="A153" s="33" t="str">
        <f>+'[1]Test order'!A153</f>
        <v>2050 TRUCK WITH TRAILER - FULL</v>
      </c>
      <c r="B153" s="33" t="str">
        <f>+'[1]Test order'!B153</f>
        <v>REGIONAL DELIVERY</v>
      </c>
      <c r="C153" s="33" t="str">
        <f>+'[1]Test order'!C153</f>
        <v>2050 Diesel 735 kW</v>
      </c>
      <c r="D153" s="33" t="str">
        <f>+'[1]Test order'!D153</f>
        <v>Diesel</v>
      </c>
      <c r="E153" s="34">
        <f>+'[1]Test order'!E153</f>
        <v>14.278036146389759</v>
      </c>
      <c r="F153" s="34">
        <f>+'[1]Test order'!F153</f>
        <v>3.6267185211181641</v>
      </c>
      <c r="G153" s="38">
        <f>+'[1]Test order'!G153</f>
        <v>0.25400681745963993</v>
      </c>
      <c r="H153" s="39">
        <f>+'[1]Test order'!H153</f>
        <v>2.521355152130127</v>
      </c>
      <c r="I153" s="33" t="str">
        <f>+'[1]Test order'!I153</f>
        <v>km/l</v>
      </c>
      <c r="J153" s="33" t="str">
        <f>+'[1]Test order'!J153</f>
        <v>Diesel 2050 TRUCK WITH TRAILER - FULL 2050 Diesel 735 kW REGIONAL DELIVERY 60000 kg 39.7 l /100km 25%</v>
      </c>
      <c r="K153" s="33">
        <f>+'[1]Test order'!K153</f>
        <v>0</v>
      </c>
      <c r="L153" s="33" t="str">
        <f t="shared" si="25"/>
        <v>2050</v>
      </c>
      <c r="M153" s="33" t="str">
        <f t="shared" si="26"/>
        <v>FULL</v>
      </c>
      <c r="N153" s="33" t="str">
        <f t="shared" si="27"/>
        <v xml:space="preserve">TRUCK WITH TRAILER </v>
      </c>
      <c r="O153" s="33" t="str">
        <f t="shared" si="28"/>
        <v>Diesel km/l</v>
      </c>
      <c r="P153" s="41">
        <f>+'Diesel L2'!$F$71</f>
        <v>199468.08510638299</v>
      </c>
      <c r="Q153" s="41">
        <f t="shared" si="29"/>
        <v>166168.08510638299</v>
      </c>
      <c r="R153" s="41">
        <f>+'Diesel L2'!$F$73</f>
        <v>33000</v>
      </c>
      <c r="S153" s="41">
        <f>+'Diesel L2'!$F$72</f>
        <v>300</v>
      </c>
      <c r="T153" s="37">
        <f>'[1]Test order'!M153</f>
        <v>60000</v>
      </c>
      <c r="U153" s="37">
        <f>+'Diesel L2'!$F$4</f>
        <v>46730.738977289999</v>
      </c>
      <c r="V153" s="33">
        <v>0</v>
      </c>
      <c r="W153" s="34">
        <f t="shared" si="31"/>
        <v>0.30553841986809871</v>
      </c>
      <c r="X153" s="34" t="str">
        <f t="shared" si="30"/>
        <v/>
      </c>
      <c r="Y153" s="42"/>
      <c r="Z153" s="34"/>
    </row>
    <row r="154" spans="1:26" x14ac:dyDescent="0.3">
      <c r="A154" s="33" t="str">
        <f>+'[1]Test order'!A154</f>
        <v>2050 TRUCK WITH TRAILER - FULL</v>
      </c>
      <c r="B154" s="33" t="str">
        <f>+'[1]Test order'!B154</f>
        <v>LONG HAUL</v>
      </c>
      <c r="C154" s="33" t="str">
        <f>+'[1]Test order'!C154</f>
        <v>2050 Diesel 735 kW</v>
      </c>
      <c r="D154" s="33" t="str">
        <f>+'[1]Test order'!D154</f>
        <v>Diesel</v>
      </c>
      <c r="E154" s="34">
        <f>+'[1]Test order'!E154</f>
        <v>11.076528168260884</v>
      </c>
      <c r="F154" s="34">
        <f>+'[1]Test order'!F154</f>
        <v>4.0442637205123901</v>
      </c>
      <c r="G154" s="38">
        <f>+'[1]Test order'!G154</f>
        <v>0.36512015850787805</v>
      </c>
      <c r="H154" s="39">
        <f>+'[1]Test order'!H154</f>
        <v>3.2501158714294434</v>
      </c>
      <c r="I154" s="33" t="str">
        <f>+'[1]Test order'!I154</f>
        <v>km/l</v>
      </c>
      <c r="J154" s="33" t="str">
        <f>+'[1]Test order'!J154</f>
        <v>Diesel 2050 TRUCK WITH TRAILER - FULL 2050 Diesel 735 kW LONG HAUL 60000 kg 30.8 l /100km 37%</v>
      </c>
      <c r="K154" s="33">
        <f>+'[1]Test order'!K154</f>
        <v>0</v>
      </c>
      <c r="L154" s="33" t="str">
        <f t="shared" si="25"/>
        <v>2050</v>
      </c>
      <c r="M154" s="33" t="str">
        <f t="shared" si="26"/>
        <v>FULL</v>
      </c>
      <c r="N154" s="33" t="str">
        <f t="shared" si="27"/>
        <v xml:space="preserve">TRUCK WITH TRAILER </v>
      </c>
      <c r="O154" s="33" t="str">
        <f t="shared" si="28"/>
        <v>Diesel km/l</v>
      </c>
      <c r="P154" s="41">
        <f>+'Diesel L2'!$F$71</f>
        <v>199468.08510638299</v>
      </c>
      <c r="Q154" s="41">
        <f t="shared" si="29"/>
        <v>166168.08510638299</v>
      </c>
      <c r="R154" s="41">
        <f>+'Diesel L2'!$F$73</f>
        <v>33000</v>
      </c>
      <c r="S154" s="41">
        <f>+'Diesel L2'!$F$72</f>
        <v>300</v>
      </c>
      <c r="T154" s="37">
        <f>'[1]Test order'!M154</f>
        <v>60000</v>
      </c>
      <c r="U154" s="37">
        <f>+'Diesel L2'!$F$4</f>
        <v>46730.738977289999</v>
      </c>
      <c r="V154" s="33">
        <v>0</v>
      </c>
      <c r="W154" s="34">
        <f t="shared" si="31"/>
        <v>0.23702873976899458</v>
      </c>
      <c r="X154" s="34" t="str">
        <f t="shared" si="30"/>
        <v/>
      </c>
      <c r="Y154" s="42"/>
      <c r="Z154" s="34"/>
    </row>
    <row r="155" spans="1:26" x14ac:dyDescent="0.3">
      <c r="A155" s="33" t="str">
        <f>+'[1]Test order'!A155</f>
        <v>2050 SEMI TRUCK - EMPTY</v>
      </c>
      <c r="B155" s="33" t="str">
        <f>+'[1]Test order'!B155</f>
        <v>URBAN DELIVERY</v>
      </c>
      <c r="C155" s="33" t="str">
        <f>+'[1]Test order'!C155</f>
        <v>2050 Diesel 735 kW</v>
      </c>
      <c r="D155" s="33" t="str">
        <f>+'[1]Test order'!D155</f>
        <v>Diesel</v>
      </c>
      <c r="E155" s="34">
        <f>+'[1]Test order'!E155</f>
        <v>4.3468239083550593</v>
      </c>
      <c r="F155" s="34">
        <f>+'[1]Test order'!F155</f>
        <v>0.85847184062004089</v>
      </c>
      <c r="G155" s="38">
        <f>+'[1]Test order'!G155</f>
        <v>0.197494045933162</v>
      </c>
      <c r="H155" s="39">
        <f>+'[1]Test order'!H155</f>
        <v>8.2819089889526367</v>
      </c>
      <c r="I155" s="33" t="str">
        <f>+'[1]Test order'!I155</f>
        <v>km/l</v>
      </c>
      <c r="J155" s="33" t="str">
        <f>+'[1]Test order'!J155</f>
        <v>Diesel 2050 SEMI TRUCK - EMPTY 2050 Diesel 735 kW URBAN DELIVERY 11760 kg 12.1 l /100km 20%</v>
      </c>
      <c r="K155" s="33">
        <f>+'[1]Test order'!K155</f>
        <v>0</v>
      </c>
      <c r="L155" s="33" t="str">
        <f t="shared" si="25"/>
        <v>2050</v>
      </c>
      <c r="M155" s="33" t="str">
        <f t="shared" si="26"/>
        <v>EMPTY</v>
      </c>
      <c r="N155" s="33" t="str">
        <f t="shared" si="27"/>
        <v xml:space="preserve">SEMI TRUCK </v>
      </c>
      <c r="O155" s="33" t="str">
        <f t="shared" si="28"/>
        <v>Diesel km/l</v>
      </c>
      <c r="P155" s="41">
        <f>+'Diesel L3'!$F$71</f>
        <v>159574.4680851064</v>
      </c>
      <c r="Q155" s="41">
        <f t="shared" si="29"/>
        <v>126274.4680851064</v>
      </c>
      <c r="R155" s="41">
        <f>+'Diesel L3'!$F$73</f>
        <v>33000</v>
      </c>
      <c r="S155" s="41">
        <f>+'Diesel L3'!$F$72</f>
        <v>300</v>
      </c>
      <c r="T155" s="37">
        <f>'[1]Test order'!M155</f>
        <v>11760</v>
      </c>
      <c r="U155" s="33">
        <v>0</v>
      </c>
      <c r="V155" s="33">
        <v>0</v>
      </c>
      <c r="W155" s="34" t="e">
        <f t="shared" si="31"/>
        <v>#N/A</v>
      </c>
      <c r="X155" s="34" t="str">
        <f t="shared" si="30"/>
        <v/>
      </c>
      <c r="Y155" s="42"/>
      <c r="Z155" s="34"/>
    </row>
    <row r="156" spans="1:26" x14ac:dyDescent="0.3">
      <c r="A156" s="33" t="str">
        <f>+'[1]Test order'!A156</f>
        <v>2050 SEMI TRUCK - EMPTY</v>
      </c>
      <c r="B156" s="33" t="str">
        <f>+'[1]Test order'!B156</f>
        <v>REGIONAL DELIVERY</v>
      </c>
      <c r="C156" s="33" t="str">
        <f>+'[1]Test order'!C156</f>
        <v>2050 Diesel 735 kW</v>
      </c>
      <c r="D156" s="33" t="str">
        <f>+'[1]Test order'!D156</f>
        <v>Diesel</v>
      </c>
      <c r="E156" s="34">
        <f>+'[1]Test order'!E156</f>
        <v>3.8768749554529585</v>
      </c>
      <c r="F156" s="34">
        <f>+'[1]Test order'!F156</f>
        <v>1.2712283134460449</v>
      </c>
      <c r="G156" s="38">
        <f>+'[1]Test order'!G156</f>
        <v>0.327900261951451</v>
      </c>
      <c r="H156" s="39">
        <f>+'[1]Test order'!H156</f>
        <v>9.2858295440673828</v>
      </c>
      <c r="I156" s="33" t="str">
        <f>+'[1]Test order'!I156</f>
        <v>km/l</v>
      </c>
      <c r="J156" s="33" t="str">
        <f>+'[1]Test order'!J156</f>
        <v>Diesel 2050 SEMI TRUCK - EMPTY 2050 Diesel 735 kW REGIONAL DELIVERY 11760 kg 10.8 l /100km 33%</v>
      </c>
      <c r="K156" s="33">
        <f>+'[1]Test order'!K156</f>
        <v>0</v>
      </c>
      <c r="L156" s="33" t="str">
        <f t="shared" si="25"/>
        <v>2050</v>
      </c>
      <c r="M156" s="33" t="str">
        <f t="shared" si="26"/>
        <v>EMPTY</v>
      </c>
      <c r="N156" s="33" t="str">
        <f t="shared" si="27"/>
        <v xml:space="preserve">SEMI TRUCK </v>
      </c>
      <c r="O156" s="33" t="str">
        <f t="shared" si="28"/>
        <v>Diesel km/l</v>
      </c>
      <c r="P156" s="41">
        <f>+'Diesel L3'!$F$71</f>
        <v>159574.4680851064</v>
      </c>
      <c r="Q156" s="41">
        <f t="shared" si="29"/>
        <v>126274.4680851064</v>
      </c>
      <c r="R156" s="41">
        <f>+'Diesel L3'!$F$73</f>
        <v>33000</v>
      </c>
      <c r="S156" s="41">
        <f>+'Diesel L3'!$F$72</f>
        <v>300</v>
      </c>
      <c r="T156" s="37">
        <f>'[1]Test order'!M156</f>
        <v>11760</v>
      </c>
      <c r="U156" s="33">
        <v>0</v>
      </c>
      <c r="V156" s="33">
        <v>0</v>
      </c>
      <c r="W156" s="34" t="e">
        <f t="shared" si="31"/>
        <v>#N/A</v>
      </c>
      <c r="X156" s="34" t="str">
        <f t="shared" si="30"/>
        <v/>
      </c>
      <c r="Y156" s="42"/>
      <c r="Z156" s="34"/>
    </row>
    <row r="157" spans="1:26" x14ac:dyDescent="0.3">
      <c r="A157" s="33" t="str">
        <f>+'[1]Test order'!A157</f>
        <v>2050 SEMI TRUCK - EMPTY</v>
      </c>
      <c r="B157" s="33" t="str">
        <f>+'[1]Test order'!B157</f>
        <v>LONG HAUL</v>
      </c>
      <c r="C157" s="33" t="str">
        <f>+'[1]Test order'!C157</f>
        <v>2050 Diesel 735 kW</v>
      </c>
      <c r="D157" s="33" t="str">
        <f>+'[1]Test order'!D157</f>
        <v>Diesel</v>
      </c>
      <c r="E157" s="34">
        <f>+'[1]Test order'!E157</f>
        <v>3.6732509096344179</v>
      </c>
      <c r="F157" s="34">
        <f>+'[1]Test order'!F157</f>
        <v>1.5368246734142303</v>
      </c>
      <c r="G157" s="38">
        <f>+'[1]Test order'!G157</f>
        <v>0.41838271090693979</v>
      </c>
      <c r="H157" s="39">
        <f>+'[1]Test order'!H157</f>
        <v>9.8005828857421875</v>
      </c>
      <c r="I157" s="33" t="str">
        <f>+'[1]Test order'!I157</f>
        <v>km/l</v>
      </c>
      <c r="J157" s="33" t="str">
        <f>+'[1]Test order'!J157</f>
        <v>Diesel 2050 SEMI TRUCK - EMPTY 2050 Diesel 735 kW LONG HAUL 11760 kg 10.2 l /100km 42%</v>
      </c>
      <c r="K157" s="33">
        <f>+'[1]Test order'!K157</f>
        <v>0</v>
      </c>
      <c r="L157" s="33" t="str">
        <f t="shared" si="25"/>
        <v>2050</v>
      </c>
      <c r="M157" s="33" t="str">
        <f t="shared" si="26"/>
        <v>EMPTY</v>
      </c>
      <c r="N157" s="33" t="str">
        <f t="shared" si="27"/>
        <v xml:space="preserve">SEMI TRUCK </v>
      </c>
      <c r="O157" s="33" t="str">
        <f t="shared" si="28"/>
        <v>Diesel km/l</v>
      </c>
      <c r="P157" s="41">
        <f>+'Diesel L3'!$F$71</f>
        <v>159574.4680851064</v>
      </c>
      <c r="Q157" s="41">
        <f t="shared" si="29"/>
        <v>126274.4680851064</v>
      </c>
      <c r="R157" s="41">
        <f>+'Diesel L3'!$F$73</f>
        <v>33000</v>
      </c>
      <c r="S157" s="41">
        <f>+'Diesel L3'!$F$72</f>
        <v>300</v>
      </c>
      <c r="T157" s="37">
        <f>'[1]Test order'!M157</f>
        <v>11760</v>
      </c>
      <c r="U157" s="33">
        <v>0</v>
      </c>
      <c r="V157" s="33">
        <v>0</v>
      </c>
      <c r="W157" s="34" t="e">
        <f t="shared" si="31"/>
        <v>#N/A</v>
      </c>
      <c r="X157" s="34" t="str">
        <f t="shared" si="30"/>
        <v/>
      </c>
      <c r="Y157" s="42"/>
      <c r="Z157" s="34"/>
    </row>
    <row r="158" spans="1:26" x14ac:dyDescent="0.3">
      <c r="A158" s="33" t="str">
        <f>+'[1]Test order'!A158</f>
        <v>2050 SEMI TRUCK - TYPICAL</v>
      </c>
      <c r="B158" s="33" t="str">
        <f>+'[1]Test order'!B158</f>
        <v>URBAN DELIVERY</v>
      </c>
      <c r="C158" s="33" t="str">
        <f>+'[1]Test order'!C158</f>
        <v>2050 Diesel 735 kW</v>
      </c>
      <c r="D158" s="33" t="str">
        <f>+'[1]Test order'!D158</f>
        <v>Diesel</v>
      </c>
      <c r="E158" s="34">
        <f>+'[1]Test order'!E158</f>
        <v>12.789475890903642</v>
      </c>
      <c r="F158" s="34">
        <f>+'[1]Test order'!F158</f>
        <v>1.9278903603553772</v>
      </c>
      <c r="G158" s="38">
        <f>+'[1]Test order'!G158</f>
        <v>0.15074037253759284</v>
      </c>
      <c r="H158" s="39">
        <f>+'[1]Test order'!H158</f>
        <v>2.8148143291473389</v>
      </c>
      <c r="I158" s="33" t="str">
        <f>+'[1]Test order'!I158</f>
        <v>km/l</v>
      </c>
      <c r="J158" s="33" t="str">
        <f>+'[1]Test order'!J158</f>
        <v>Diesel 2050 SEMI TRUCK - TYPICAL 2050 Diesel 735 kW URBAN DELIVERY 39015.6 kg 35.5 l /100km 15%</v>
      </c>
      <c r="K158" s="33">
        <f>+'[1]Test order'!K158</f>
        <v>0</v>
      </c>
      <c r="L158" s="33" t="str">
        <f t="shared" si="25"/>
        <v>2050</v>
      </c>
      <c r="M158" s="33" t="str">
        <f t="shared" si="26"/>
        <v>TYPICAL</v>
      </c>
      <c r="N158" s="33" t="str">
        <f t="shared" si="27"/>
        <v xml:space="preserve">SEMI TRUCK </v>
      </c>
      <c r="O158" s="33" t="str">
        <f t="shared" si="28"/>
        <v>Diesel km/l</v>
      </c>
      <c r="P158" s="41">
        <f>+'Diesel L3'!$F$71</f>
        <v>159574.4680851064</v>
      </c>
      <c r="Q158" s="41">
        <f t="shared" si="29"/>
        <v>126274.4680851064</v>
      </c>
      <c r="R158" s="41">
        <f>+'Diesel L3'!$F$73</f>
        <v>33000</v>
      </c>
      <c r="S158" s="41">
        <f>+'Diesel L3'!$F$72</f>
        <v>300</v>
      </c>
      <c r="T158" s="37">
        <f>'[1]Test order'!M158</f>
        <v>39015.599999999999</v>
      </c>
      <c r="U158" s="37">
        <f>+'Diesel L3'!$F$7</f>
        <v>27255.599999999999</v>
      </c>
      <c r="V158" s="33">
        <v>0</v>
      </c>
      <c r="W158" s="34">
        <f t="shared" si="31"/>
        <v>0.46924213339290427</v>
      </c>
      <c r="X158" s="34" t="str">
        <f t="shared" si="30"/>
        <v/>
      </c>
      <c r="Y158" s="42"/>
      <c r="Z158" s="34"/>
    </row>
    <row r="159" spans="1:26" x14ac:dyDescent="0.3">
      <c r="A159" s="33" t="str">
        <f>+'[1]Test order'!A159</f>
        <v>2050 SEMI TRUCK - TYPICAL</v>
      </c>
      <c r="B159" s="33" t="str">
        <f>+'[1]Test order'!B159</f>
        <v>REGIONAL DELIVERY</v>
      </c>
      <c r="C159" s="33" t="str">
        <f>+'[1]Test order'!C159</f>
        <v>2050 Diesel 735 kW</v>
      </c>
      <c r="D159" s="33" t="str">
        <f>+'[1]Test order'!D159</f>
        <v>Diesel</v>
      </c>
      <c r="E159" s="34">
        <f>+'[1]Test order'!E159</f>
        <v>9.4314809013924403</v>
      </c>
      <c r="F159" s="34">
        <f>+'[1]Test order'!F159</f>
        <v>2.3407531380653381</v>
      </c>
      <c r="G159" s="38">
        <f>+'[1]Test order'!G159</f>
        <v>0.24818511138794283</v>
      </c>
      <c r="H159" s="39">
        <f>+'[1]Test order'!H159</f>
        <v>3.8170039653778076</v>
      </c>
      <c r="I159" s="33" t="str">
        <f>+'[1]Test order'!I159</f>
        <v>km/l</v>
      </c>
      <c r="J159" s="33" t="str">
        <f>+'[1]Test order'!J159</f>
        <v>Diesel 2050 SEMI TRUCK - TYPICAL 2050 Diesel 735 kW REGIONAL DELIVERY 39015.6 kg 26.2 l /100km 25%</v>
      </c>
      <c r="K159" s="33">
        <f>+'[1]Test order'!K159</f>
        <v>0</v>
      </c>
      <c r="L159" s="33" t="str">
        <f t="shared" si="25"/>
        <v>2050</v>
      </c>
      <c r="M159" s="33" t="str">
        <f t="shared" si="26"/>
        <v>TYPICAL</v>
      </c>
      <c r="N159" s="33" t="str">
        <f t="shared" si="27"/>
        <v xml:space="preserve">SEMI TRUCK </v>
      </c>
      <c r="O159" s="33" t="str">
        <f t="shared" si="28"/>
        <v>Diesel km/l</v>
      </c>
      <c r="P159" s="41">
        <f>+'Diesel L3'!$F$71</f>
        <v>159574.4680851064</v>
      </c>
      <c r="Q159" s="41">
        <f t="shared" si="29"/>
        <v>126274.4680851064</v>
      </c>
      <c r="R159" s="41">
        <f>+'Diesel L3'!$F$73</f>
        <v>33000</v>
      </c>
      <c r="S159" s="41">
        <f>+'Diesel L3'!$F$72</f>
        <v>300</v>
      </c>
      <c r="T159" s="37">
        <f>'[1]Test order'!M159</f>
        <v>39015.599999999999</v>
      </c>
      <c r="U159" s="37">
        <f>+'Diesel L3'!$F$7</f>
        <v>27255.599999999999</v>
      </c>
      <c r="V159" s="33">
        <v>0</v>
      </c>
      <c r="W159" s="34">
        <f t="shared" si="31"/>
        <v>0.34603827842323925</v>
      </c>
      <c r="X159" s="34" t="str">
        <f t="shared" si="30"/>
        <v/>
      </c>
      <c r="Y159" s="42"/>
      <c r="Z159" s="34"/>
    </row>
    <row r="160" spans="1:26" x14ac:dyDescent="0.3">
      <c r="A160" s="33" t="str">
        <f>+'[1]Test order'!A160</f>
        <v>2050 SEMI TRUCK - TYPICAL</v>
      </c>
      <c r="B160" s="33" t="str">
        <f>+'[1]Test order'!B160</f>
        <v>LONG HAUL</v>
      </c>
      <c r="C160" s="33" t="str">
        <f>+'[1]Test order'!C160</f>
        <v>2050 Diesel 735 kW</v>
      </c>
      <c r="D160" s="33" t="str">
        <f>+'[1]Test order'!D160</f>
        <v>Diesel</v>
      </c>
      <c r="E160" s="34">
        <f>+'[1]Test order'!E160</f>
        <v>7.2362226573046939</v>
      </c>
      <c r="F160" s="34">
        <f>+'[1]Test order'!F160</f>
        <v>2.6063551902770996</v>
      </c>
      <c r="G160" s="38">
        <f>+'[1]Test order'!G160</f>
        <v>0.36018172929575104</v>
      </c>
      <c r="H160" s="39">
        <f>+'[1]Test order'!H160</f>
        <v>4.9749712944030762</v>
      </c>
      <c r="I160" s="33" t="str">
        <f>+'[1]Test order'!I160</f>
        <v>km/l</v>
      </c>
      <c r="J160" s="33" t="str">
        <f>+'[1]Test order'!J160</f>
        <v>Diesel 2050 SEMI TRUCK - TYPICAL 2050 Diesel 735 kW LONG HAUL 39015.6 kg 20.1 l /100km 36%</v>
      </c>
      <c r="K160" s="33">
        <f>+'[1]Test order'!K160</f>
        <v>0</v>
      </c>
      <c r="L160" s="33" t="str">
        <f t="shared" si="25"/>
        <v>2050</v>
      </c>
      <c r="M160" s="33" t="str">
        <f t="shared" si="26"/>
        <v>TYPICAL</v>
      </c>
      <c r="N160" s="33" t="str">
        <f t="shared" si="27"/>
        <v xml:space="preserve">SEMI TRUCK </v>
      </c>
      <c r="O160" s="33" t="str">
        <f t="shared" si="28"/>
        <v>Diesel km/l</v>
      </c>
      <c r="P160" s="41">
        <f>+'Diesel L3'!$F$71</f>
        <v>159574.4680851064</v>
      </c>
      <c r="Q160" s="41">
        <f t="shared" si="29"/>
        <v>126274.4680851064</v>
      </c>
      <c r="R160" s="41">
        <f>+'Diesel L3'!$F$73</f>
        <v>33000</v>
      </c>
      <c r="S160" s="41">
        <f>+'Diesel L3'!$F$72</f>
        <v>300</v>
      </c>
      <c r="T160" s="37">
        <f>'[1]Test order'!M160</f>
        <v>39015.599999999999</v>
      </c>
      <c r="U160" s="37">
        <f>+'Diesel L3'!$F$7</f>
        <v>27255.599999999999</v>
      </c>
      <c r="V160" s="33">
        <v>0</v>
      </c>
      <c r="W160" s="34">
        <f t="shared" si="31"/>
        <v>0.26549489489516631</v>
      </c>
      <c r="X160" s="34" t="str">
        <f t="shared" si="30"/>
        <v/>
      </c>
      <c r="Y160" s="42"/>
      <c r="Z160" s="34"/>
    </row>
    <row r="161" spans="1:26" x14ac:dyDescent="0.3">
      <c r="A161" s="33" t="str">
        <f>+'[1]Test order'!A161</f>
        <v>2050 SEMI TRUCK - FULL</v>
      </c>
      <c r="B161" s="33" t="str">
        <f>+'[1]Test order'!B161</f>
        <v>URBAN DELIVERY</v>
      </c>
      <c r="C161" s="33" t="str">
        <f>+'[1]Test order'!C161</f>
        <v>2050 Diesel 735 kW</v>
      </c>
      <c r="D161" s="33" t="str">
        <f>+'[1]Test order'!D161</f>
        <v>Diesel</v>
      </c>
      <c r="E161" s="34">
        <f>+'[1]Test order'!E161</f>
        <v>19.034318133858346</v>
      </c>
      <c r="F161" s="34">
        <f>+'[1]Test order'!F161</f>
        <v>2.7512238621711731</v>
      </c>
      <c r="G161" s="38">
        <f>+'[1]Test order'!G161</f>
        <v>0.14454018488202536</v>
      </c>
      <c r="H161" s="39">
        <f>+'[1]Test order'!H161</f>
        <v>1.8913207054138184</v>
      </c>
      <c r="I161" s="33" t="str">
        <f>+'[1]Test order'!I161</f>
        <v>km/l</v>
      </c>
      <c r="J161" s="33" t="str">
        <f>+'[1]Test order'!J161</f>
        <v>Diesel 2050 SEMI TRUCK - FULL 2050 Diesel 735 kW URBAN DELIVERY 60000 kg 52.9 l /100km 14%</v>
      </c>
      <c r="K161" s="33">
        <f>+'[1]Test order'!K161</f>
        <v>0</v>
      </c>
      <c r="L161" s="33" t="str">
        <f t="shared" si="25"/>
        <v>2050</v>
      </c>
      <c r="M161" s="33" t="str">
        <f t="shared" si="26"/>
        <v>FULL</v>
      </c>
      <c r="N161" s="33" t="str">
        <f t="shared" si="27"/>
        <v xml:space="preserve">SEMI TRUCK </v>
      </c>
      <c r="O161" s="33" t="str">
        <f t="shared" si="28"/>
        <v>Diesel km/l</v>
      </c>
      <c r="P161" s="41">
        <f>+'Diesel L3'!$F$71</f>
        <v>159574.4680851064</v>
      </c>
      <c r="Q161" s="41">
        <f t="shared" si="29"/>
        <v>126274.4680851064</v>
      </c>
      <c r="R161" s="41">
        <f>+'Diesel L3'!$F$73</f>
        <v>33000</v>
      </c>
      <c r="S161" s="41">
        <f>+'Diesel L3'!$F$72</f>
        <v>300</v>
      </c>
      <c r="T161" s="37">
        <f>'[1]Test order'!M161</f>
        <v>60000</v>
      </c>
      <c r="U161" s="37">
        <f>+'Diesel L3'!$F$4</f>
        <v>48240</v>
      </c>
      <c r="V161" s="33">
        <v>0</v>
      </c>
      <c r="W161" s="34">
        <f t="shared" si="31"/>
        <v>0.39457541736853952</v>
      </c>
      <c r="X161" s="34" t="str">
        <f t="shared" si="30"/>
        <v/>
      </c>
      <c r="Y161" s="42"/>
      <c r="Z161" s="34"/>
    </row>
    <row r="162" spans="1:26" x14ac:dyDescent="0.3">
      <c r="A162" s="33" t="str">
        <f>+'[1]Test order'!A162</f>
        <v>2050 SEMI TRUCK - FULL</v>
      </c>
      <c r="B162" s="33" t="str">
        <f>+'[1]Test order'!B162</f>
        <v>REGIONAL DELIVERY</v>
      </c>
      <c r="C162" s="33" t="str">
        <f>+'[1]Test order'!C162</f>
        <v>2050 Diesel 735 kW</v>
      </c>
      <c r="D162" s="33" t="str">
        <f>+'[1]Test order'!D162</f>
        <v>Diesel</v>
      </c>
      <c r="E162" s="34">
        <f>+'[1]Test order'!E162</f>
        <v>13.518166338101556</v>
      </c>
      <c r="F162" s="34">
        <f>+'[1]Test order'!F162</f>
        <v>3.1640727519989014</v>
      </c>
      <c r="G162" s="38">
        <f>+'[1]Test order'!G162</f>
        <v>0.23406079440529007</v>
      </c>
      <c r="H162" s="39">
        <f>+'[1]Test order'!H162</f>
        <v>2.6630830764770508</v>
      </c>
      <c r="I162" s="33" t="str">
        <f>+'[1]Test order'!I162</f>
        <v>km/l</v>
      </c>
      <c r="J162" s="33" t="str">
        <f>+'[1]Test order'!J162</f>
        <v>Diesel 2050 SEMI TRUCK - FULL 2050 Diesel 735 kW REGIONAL DELIVERY 60000 kg 37.6 l /100km 23%</v>
      </c>
      <c r="K162" s="33">
        <f>+'[1]Test order'!K162</f>
        <v>0</v>
      </c>
      <c r="L162" s="33" t="str">
        <f t="shared" si="25"/>
        <v>2050</v>
      </c>
      <c r="M162" s="33" t="str">
        <f t="shared" si="26"/>
        <v>FULL</v>
      </c>
      <c r="N162" s="33" t="str">
        <f t="shared" si="27"/>
        <v xml:space="preserve">SEMI TRUCK </v>
      </c>
      <c r="O162" s="33" t="str">
        <f t="shared" si="28"/>
        <v>Diesel km/l</v>
      </c>
      <c r="P162" s="41">
        <f>+'Diesel L3'!$F$71</f>
        <v>159574.4680851064</v>
      </c>
      <c r="Q162" s="41">
        <f t="shared" si="29"/>
        <v>126274.4680851064</v>
      </c>
      <c r="R162" s="41">
        <f>+'Diesel L3'!$F$73</f>
        <v>33000</v>
      </c>
      <c r="S162" s="41">
        <f>+'Diesel L3'!$F$72</f>
        <v>300</v>
      </c>
      <c r="T162" s="37">
        <f>'[1]Test order'!M162</f>
        <v>60000</v>
      </c>
      <c r="U162" s="37">
        <f>+'Diesel L3'!$F$4</f>
        <v>48240</v>
      </c>
      <c r="V162" s="33">
        <v>0</v>
      </c>
      <c r="W162" s="34">
        <f t="shared" si="31"/>
        <v>0.28022732873344852</v>
      </c>
      <c r="X162" s="34" t="str">
        <f t="shared" si="30"/>
        <v/>
      </c>
      <c r="Y162" s="42"/>
      <c r="Z162" s="34"/>
    </row>
    <row r="163" spans="1:26" x14ac:dyDescent="0.3">
      <c r="A163" s="33" t="str">
        <f>+'[1]Test order'!A163</f>
        <v>2050 SEMI TRUCK - FULL</v>
      </c>
      <c r="B163" s="33" t="str">
        <f>+'[1]Test order'!B163</f>
        <v>LONG HAUL</v>
      </c>
      <c r="C163" s="33" t="str">
        <f>+'[1]Test order'!C163</f>
        <v>2050 Diesel 735 kW</v>
      </c>
      <c r="D163" s="33" t="str">
        <f>+'[1]Test order'!D163</f>
        <v>Diesel</v>
      </c>
      <c r="E163" s="34">
        <f>+'[1]Test order'!E163</f>
        <v>10.040885994888953</v>
      </c>
      <c r="F163" s="34">
        <f>+'[1]Test order'!F163</f>
        <v>3.4297680854797363</v>
      </c>
      <c r="G163" s="38">
        <f>+'[1]Test order'!G163</f>
        <v>0.34158022381944869</v>
      </c>
      <c r="H163" s="39">
        <f>+'[1]Test order'!H163</f>
        <v>3.5853409767150879</v>
      </c>
      <c r="I163" s="33" t="str">
        <f>+'[1]Test order'!I163</f>
        <v>km/l</v>
      </c>
      <c r="J163" s="33" t="str">
        <f>+'[1]Test order'!J163</f>
        <v>Diesel 2050 SEMI TRUCK - FULL 2050 Diesel 735 kW LONG HAUL 60000 kg 27.9 l /100km 34%</v>
      </c>
      <c r="K163" s="33">
        <f>+'[1]Test order'!K163</f>
        <v>0</v>
      </c>
      <c r="L163" s="33" t="str">
        <f t="shared" si="25"/>
        <v>2050</v>
      </c>
      <c r="M163" s="33" t="str">
        <f t="shared" si="26"/>
        <v>FULL</v>
      </c>
      <c r="N163" s="33" t="str">
        <f t="shared" si="27"/>
        <v xml:space="preserve">SEMI TRUCK </v>
      </c>
      <c r="O163" s="33" t="str">
        <f t="shared" si="28"/>
        <v>Diesel km/l</v>
      </c>
      <c r="P163" s="41">
        <f>+'Diesel L3'!$F$71</f>
        <v>159574.4680851064</v>
      </c>
      <c r="Q163" s="41">
        <f t="shared" si="29"/>
        <v>126274.4680851064</v>
      </c>
      <c r="R163" s="41">
        <f>+'Diesel L3'!$F$73</f>
        <v>33000</v>
      </c>
      <c r="S163" s="41">
        <f>+'Diesel L3'!$F$72</f>
        <v>300</v>
      </c>
      <c r="T163" s="37">
        <f>'[1]Test order'!M163</f>
        <v>60000</v>
      </c>
      <c r="U163" s="37">
        <f>+'Diesel L3'!$F$4</f>
        <v>48240</v>
      </c>
      <c r="V163" s="33">
        <v>0</v>
      </c>
      <c r="W163" s="34">
        <f t="shared" si="31"/>
        <v>0.20814440287912422</v>
      </c>
      <c r="X163" s="34" t="str">
        <f t="shared" si="30"/>
        <v/>
      </c>
      <c r="Y163" s="42"/>
      <c r="Z163" s="34"/>
    </row>
    <row r="164" spans="1:26" x14ac:dyDescent="0.3">
      <c r="A164" s="33" t="str">
        <f>+'[1]Test order'!A164</f>
        <v>2050 CITY BUS - EMPTY</v>
      </c>
      <c r="B164" s="33" t="str">
        <f>+'[1]Test order'!B164</f>
        <v>CITY ROUTE</v>
      </c>
      <c r="C164" s="33" t="str">
        <f>+'[1]Test order'!C164</f>
        <v>2050 Diesel 735 kW</v>
      </c>
      <c r="D164" s="33" t="str">
        <f>+'[1]Test order'!D164</f>
        <v>Diesel</v>
      </c>
      <c r="E164" s="34">
        <f>+'[1]Test order'!E164</f>
        <v>5.5076298547461713</v>
      </c>
      <c r="F164" s="34">
        <f>+'[1]Test order'!F164</f>
        <v>0.76092469692230225</v>
      </c>
      <c r="G164" s="38">
        <f>+'[1]Test order'!G164</f>
        <v>0.13815828532242039</v>
      </c>
      <c r="H164" s="39">
        <f>+'[1]Test order'!H164</f>
        <v>6.5363869667053223</v>
      </c>
      <c r="I164" s="33" t="str">
        <f>+'[1]Test order'!I164</f>
        <v>km/l</v>
      </c>
      <c r="J164" s="33" t="str">
        <f>+'[1]Test order'!J164</f>
        <v>Diesel 2050 CITY BUS - EMPTY 2050 Diesel 735 kW CITY ROUTE 8825 kg 15.3 l /100km 14%</v>
      </c>
      <c r="K164" s="33">
        <f>+'[1]Test order'!K164</f>
        <v>0</v>
      </c>
      <c r="L164" s="33" t="str">
        <f t="shared" si="25"/>
        <v>2050</v>
      </c>
      <c r="M164" s="33" t="str">
        <f t="shared" si="26"/>
        <v>EMPTY</v>
      </c>
      <c r="N164" s="33" t="str">
        <f t="shared" si="27"/>
        <v xml:space="preserve">CITY BUS </v>
      </c>
      <c r="O164" s="33" t="str">
        <f t="shared" si="28"/>
        <v>Diesel km/l</v>
      </c>
      <c r="P164" s="41">
        <f>+'Diesel B1'!$F$71</f>
        <v>169400</v>
      </c>
      <c r="Q164" s="41">
        <f t="shared" si="29"/>
        <v>150100</v>
      </c>
      <c r="R164" s="41">
        <f>+'Diesel B1'!$F$73</f>
        <v>19000</v>
      </c>
      <c r="S164" s="41">
        <f>+'Diesel B1'!$F$72</f>
        <v>300</v>
      </c>
      <c r="T164" s="37">
        <f>'[1]Test order'!M164</f>
        <v>8825</v>
      </c>
      <c r="U164" s="33">
        <v>0</v>
      </c>
      <c r="V164" s="33">
        <v>0</v>
      </c>
      <c r="W164" s="34" t="e">
        <f t="shared" si="31"/>
        <v>#N/A</v>
      </c>
      <c r="X164" s="34" t="str">
        <f t="shared" si="30"/>
        <v/>
      </c>
      <c r="Y164" s="42"/>
      <c r="Z164" s="34"/>
    </row>
    <row r="165" spans="1:26" x14ac:dyDescent="0.3">
      <c r="A165" s="33" t="str">
        <f>+'[1]Test order'!A165</f>
        <v>2050 CITY BUS - EMPTY</v>
      </c>
      <c r="B165" s="33" t="str">
        <f>+'[1]Test order'!B165</f>
        <v>RURAL ROUTE</v>
      </c>
      <c r="C165" s="33" t="str">
        <f>+'[1]Test order'!C165</f>
        <v>2050 Diesel 735 kW</v>
      </c>
      <c r="D165" s="33" t="str">
        <f>+'[1]Test order'!D165</f>
        <v>Diesel</v>
      </c>
      <c r="E165" s="34">
        <f>+'[1]Test order'!E165</f>
        <v>3.822318123710557</v>
      </c>
      <c r="F165" s="34">
        <f>+'[1]Test order'!F165</f>
        <v>1.3874135613441467</v>
      </c>
      <c r="G165" s="38">
        <f>+'[1]Test order'!G165</f>
        <v>0.36297699888917145</v>
      </c>
      <c r="H165" s="39">
        <f>+'[1]Test order'!H165</f>
        <v>9.4183683395385742</v>
      </c>
      <c r="I165" s="33" t="str">
        <f>+'[1]Test order'!I165</f>
        <v>km/l</v>
      </c>
      <c r="J165" s="33" t="str">
        <f>+'[1]Test order'!J165</f>
        <v>Diesel 2050 CITY BUS - EMPTY 2050 Diesel 735 kW RURAL ROUTE 8825 kg 10.6 l /100km 36%</v>
      </c>
      <c r="K165" s="33">
        <f>+'[1]Test order'!K165</f>
        <v>0</v>
      </c>
      <c r="L165" s="33" t="str">
        <f t="shared" si="25"/>
        <v>2050</v>
      </c>
      <c r="M165" s="33" t="str">
        <f t="shared" si="26"/>
        <v>EMPTY</v>
      </c>
      <c r="N165" s="33" t="str">
        <f t="shared" si="27"/>
        <v xml:space="preserve">CITY BUS </v>
      </c>
      <c r="O165" s="33" t="str">
        <f t="shared" si="28"/>
        <v>Diesel km/l</v>
      </c>
      <c r="P165" s="41">
        <f>+'Diesel B1'!$F$71</f>
        <v>169400</v>
      </c>
      <c r="Q165" s="41">
        <f t="shared" si="29"/>
        <v>150100</v>
      </c>
      <c r="R165" s="41">
        <f>+'Diesel B1'!$F$73</f>
        <v>19000</v>
      </c>
      <c r="S165" s="41">
        <f>+'Diesel B1'!$F$72</f>
        <v>300</v>
      </c>
      <c r="T165" s="37">
        <f>'[1]Test order'!M165</f>
        <v>8825</v>
      </c>
      <c r="U165" s="33">
        <v>0</v>
      </c>
      <c r="V165" s="33">
        <v>0</v>
      </c>
      <c r="W165" s="34" t="e">
        <f t="shared" si="31"/>
        <v>#N/A</v>
      </c>
      <c r="X165" s="34" t="str">
        <f t="shared" si="30"/>
        <v/>
      </c>
      <c r="Y165" s="42"/>
      <c r="Z165" s="34"/>
    </row>
    <row r="166" spans="1:26" x14ac:dyDescent="0.3">
      <c r="A166" s="33" t="str">
        <f>+'[1]Test order'!A166</f>
        <v>2050 CITY BUS - EMPTY</v>
      </c>
      <c r="B166" s="33" t="str">
        <f>+'[1]Test order'!B166</f>
        <v>MOTORWAY</v>
      </c>
      <c r="C166" s="33" t="str">
        <f>+'[1]Test order'!C166</f>
        <v>2050 Diesel 735 kW</v>
      </c>
      <c r="D166" s="33" t="str">
        <f>+'[1]Test order'!D166</f>
        <v>Diesel</v>
      </c>
      <c r="E166" s="34">
        <f>+'[1]Test order'!E166</f>
        <v>3.9932424670115392</v>
      </c>
      <c r="F166" s="34">
        <f>+'[1]Test order'!F166</f>
        <v>1.7288905382156372</v>
      </c>
      <c r="G166" s="38">
        <f>+'[1]Test order'!G166</f>
        <v>0.43295405988945707</v>
      </c>
      <c r="H166" s="39">
        <f>+'[1]Test order'!H166</f>
        <v>9.0152301788330078</v>
      </c>
      <c r="I166" s="33" t="str">
        <f>+'[1]Test order'!I166</f>
        <v>km/l</v>
      </c>
      <c r="J166" s="33" t="str">
        <f>+'[1]Test order'!J166</f>
        <v>Diesel 2050 CITY BUS - EMPTY 2050 Diesel 735 kW MOTORWAY 8825 kg 11.1 l /100km 43%</v>
      </c>
      <c r="K166" s="33">
        <f>+'[1]Test order'!K166</f>
        <v>0</v>
      </c>
      <c r="L166" s="33" t="str">
        <f t="shared" si="25"/>
        <v>2050</v>
      </c>
      <c r="M166" s="33" t="str">
        <f t="shared" si="26"/>
        <v>EMPTY</v>
      </c>
      <c r="N166" s="33" t="str">
        <f t="shared" si="27"/>
        <v xml:space="preserve">CITY BUS </v>
      </c>
      <c r="O166" s="33" t="str">
        <f t="shared" si="28"/>
        <v>Diesel km/l</v>
      </c>
      <c r="P166" s="41">
        <f>+'Diesel B1'!$F$71</f>
        <v>169400</v>
      </c>
      <c r="Q166" s="41">
        <f t="shared" si="29"/>
        <v>150100</v>
      </c>
      <c r="R166" s="41">
        <f>+'Diesel B1'!$F$73</f>
        <v>19000</v>
      </c>
      <c r="S166" s="41">
        <f>+'Diesel B1'!$F$72</f>
        <v>300</v>
      </c>
      <c r="T166" s="37">
        <f>'[1]Test order'!M166</f>
        <v>8825</v>
      </c>
      <c r="U166" s="33">
        <v>0</v>
      </c>
      <c r="V166" s="33">
        <v>0</v>
      </c>
      <c r="W166" s="34" t="e">
        <f t="shared" si="31"/>
        <v>#N/A</v>
      </c>
      <c r="X166" s="34" t="str">
        <f t="shared" si="30"/>
        <v/>
      </c>
      <c r="Y166" s="42"/>
      <c r="Z166" s="34"/>
    </row>
    <row r="167" spans="1:26" x14ac:dyDescent="0.3">
      <c r="A167" s="33" t="str">
        <f>+'[1]Test order'!A167</f>
        <v>2050 CITY BUS - TYPICAL</v>
      </c>
      <c r="B167" s="33" t="str">
        <f>+'[1]Test order'!B167</f>
        <v>CITY ROUTE</v>
      </c>
      <c r="C167" s="33" t="str">
        <f>+'[1]Test order'!C167</f>
        <v>2050 Diesel 735 kW</v>
      </c>
      <c r="D167" s="33" t="str">
        <f>+'[1]Test order'!D167</f>
        <v>Diesel</v>
      </c>
      <c r="E167" s="34">
        <f>+'[1]Test order'!E167</f>
        <v>5.9588762209199073</v>
      </c>
      <c r="F167" s="34">
        <f>+'[1]Test order'!F167</f>
        <v>0.79388225078582764</v>
      </c>
      <c r="G167" s="38">
        <f>+'[1]Test order'!G167</f>
        <v>0.13322684032246457</v>
      </c>
      <c r="H167" s="39">
        <f>+'[1]Test order'!H167</f>
        <v>6.041407585144043</v>
      </c>
      <c r="I167" s="33" t="str">
        <f>+'[1]Test order'!I167</f>
        <v>km/l</v>
      </c>
      <c r="J167" s="33" t="str">
        <f>+'[1]Test order'!J167</f>
        <v>Diesel 2050 CITY BUS - TYPICAL 2050 Diesel 735 kW CITY ROUTE 9665 kg 16.6 l /100km 13%</v>
      </c>
      <c r="K167" s="33">
        <f>+'[1]Test order'!K167</f>
        <v>0</v>
      </c>
      <c r="L167" s="33" t="str">
        <f t="shared" si="25"/>
        <v>2050</v>
      </c>
      <c r="M167" s="33" t="str">
        <f t="shared" si="26"/>
        <v>TYPICAL</v>
      </c>
      <c r="N167" s="33" t="str">
        <f t="shared" si="27"/>
        <v xml:space="preserve">CITY BUS </v>
      </c>
      <c r="O167" s="33" t="str">
        <f t="shared" si="28"/>
        <v>Diesel km/l</v>
      </c>
      <c r="P167" s="41">
        <f>+'Diesel B1'!$F$71</f>
        <v>169400</v>
      </c>
      <c r="Q167" s="41">
        <f t="shared" si="29"/>
        <v>150100</v>
      </c>
      <c r="R167" s="41">
        <f>+'Diesel B1'!$F$73</f>
        <v>19000</v>
      </c>
      <c r="S167" s="41">
        <f>+'Diesel B1'!$F$72</f>
        <v>300</v>
      </c>
      <c r="T167" s="37">
        <f>'[1]Test order'!M167</f>
        <v>9665</v>
      </c>
      <c r="U167" s="37">
        <f>+T167-T164</f>
        <v>840</v>
      </c>
      <c r="V167" s="37">
        <f>+'FCV B1'!$F$7</f>
        <v>12</v>
      </c>
      <c r="W167" s="34">
        <f t="shared" si="31"/>
        <v>7.0939002629998891</v>
      </c>
      <c r="X167" s="34">
        <f t="shared" si="30"/>
        <v>0.4965730184099923</v>
      </c>
      <c r="Y167" s="42"/>
      <c r="Z167" s="34"/>
    </row>
    <row r="168" spans="1:26" x14ac:dyDescent="0.3">
      <c r="A168" s="33" t="str">
        <f>+'[1]Test order'!A168</f>
        <v>2050 CITY BUS - TYPICAL</v>
      </c>
      <c r="B168" s="33" t="str">
        <f>+'[1]Test order'!B168</f>
        <v>RURAL ROUTE</v>
      </c>
      <c r="C168" s="33" t="str">
        <f>+'[1]Test order'!C168</f>
        <v>2050 Diesel 735 kW</v>
      </c>
      <c r="D168" s="33" t="str">
        <f>+'[1]Test order'!D168</f>
        <v>Diesel</v>
      </c>
      <c r="E168" s="34">
        <f>+'[1]Test order'!E168</f>
        <v>3.9742765679546141</v>
      </c>
      <c r="F168" s="34">
        <f>+'[1]Test order'!F168</f>
        <v>1.4203770458698273</v>
      </c>
      <c r="G168" s="38">
        <f>+'[1]Test order'!G168</f>
        <v>0.35739260254875344</v>
      </c>
      <c r="H168" s="39">
        <f>+'[1]Test order'!H168</f>
        <v>9.0582523345947266</v>
      </c>
      <c r="I168" s="33" t="str">
        <f>+'[1]Test order'!I168</f>
        <v>km/l</v>
      </c>
      <c r="J168" s="33" t="str">
        <f>+'[1]Test order'!J168</f>
        <v>Diesel 2050 CITY BUS - TYPICAL 2050 Diesel 735 kW RURAL ROUTE 9665 kg 11.0 l /100km 36%</v>
      </c>
      <c r="K168" s="33">
        <f>+'[1]Test order'!K168</f>
        <v>0</v>
      </c>
      <c r="L168" s="33" t="str">
        <f t="shared" si="25"/>
        <v>2050</v>
      </c>
      <c r="M168" s="33" t="str">
        <f t="shared" si="26"/>
        <v>TYPICAL</v>
      </c>
      <c r="N168" s="33" t="str">
        <f t="shared" si="27"/>
        <v xml:space="preserve">CITY BUS </v>
      </c>
      <c r="O168" s="33" t="str">
        <f t="shared" si="28"/>
        <v>Diesel km/l</v>
      </c>
      <c r="P168" s="41">
        <f>+'Diesel B1'!$F$71</f>
        <v>169400</v>
      </c>
      <c r="Q168" s="41">
        <f t="shared" si="29"/>
        <v>150100</v>
      </c>
      <c r="R168" s="41">
        <f>+'Diesel B1'!$F$73</f>
        <v>19000</v>
      </c>
      <c r="S168" s="41">
        <f>+'Diesel B1'!$F$72</f>
        <v>300</v>
      </c>
      <c r="T168" s="37">
        <f>'[1]Test order'!M168</f>
        <v>9665</v>
      </c>
      <c r="U168" s="37">
        <f t="shared" ref="U168:U169" si="34">+T168-T165</f>
        <v>840</v>
      </c>
      <c r="V168" s="37">
        <f>+'FCV B1'!$F$7</f>
        <v>12</v>
      </c>
      <c r="W168" s="34">
        <f t="shared" si="31"/>
        <v>4.7312816285173982</v>
      </c>
      <c r="X168" s="34">
        <f t="shared" si="30"/>
        <v>0.33118971399621783</v>
      </c>
      <c r="Y168" s="42"/>
      <c r="Z168" s="34"/>
    </row>
    <row r="169" spans="1:26" x14ac:dyDescent="0.3">
      <c r="A169" s="33" t="str">
        <f>+'[1]Test order'!A169</f>
        <v>2050 CITY BUS - TYPICAL</v>
      </c>
      <c r="B169" s="33" t="str">
        <f>+'[1]Test order'!B169</f>
        <v>MOTORWAY</v>
      </c>
      <c r="C169" s="33" t="str">
        <f>+'[1]Test order'!C169</f>
        <v>2050 Diesel 735 kW</v>
      </c>
      <c r="D169" s="33" t="str">
        <f>+'[1]Test order'!D169</f>
        <v>Diesel</v>
      </c>
      <c r="E169" s="34">
        <f>+'[1]Test order'!E169</f>
        <v>4.0794674447056956</v>
      </c>
      <c r="F169" s="34">
        <f>+'[1]Test order'!F169</f>
        <v>1.7618549466133118</v>
      </c>
      <c r="G169" s="38">
        <f>+'[1]Test order'!G169</f>
        <v>0.43188356580706017</v>
      </c>
      <c r="H169" s="39">
        <f>+'[1]Test order'!H169</f>
        <v>8.824681282043457</v>
      </c>
      <c r="I169" s="33" t="str">
        <f>+'[1]Test order'!I169</f>
        <v>km/l</v>
      </c>
      <c r="J169" s="33" t="str">
        <f>+'[1]Test order'!J169</f>
        <v>Diesel 2050 CITY BUS - TYPICAL 2050 Diesel 735 kW MOTORWAY 9665 kg 11.3 l /100km 43%</v>
      </c>
      <c r="K169" s="33">
        <f>+'[1]Test order'!K169</f>
        <v>0</v>
      </c>
      <c r="L169" s="33" t="str">
        <f t="shared" si="25"/>
        <v>2050</v>
      </c>
      <c r="M169" s="33" t="str">
        <f t="shared" si="26"/>
        <v>TYPICAL</v>
      </c>
      <c r="N169" s="33" t="str">
        <f t="shared" si="27"/>
        <v xml:space="preserve">CITY BUS </v>
      </c>
      <c r="O169" s="33" t="str">
        <f t="shared" si="28"/>
        <v>Diesel km/l</v>
      </c>
      <c r="P169" s="41">
        <f>+'Diesel B1'!$F$71</f>
        <v>169400</v>
      </c>
      <c r="Q169" s="41">
        <f t="shared" si="29"/>
        <v>150100</v>
      </c>
      <c r="R169" s="41">
        <f>+'Diesel B1'!$F$73</f>
        <v>19000</v>
      </c>
      <c r="S169" s="41">
        <f>+'Diesel B1'!$F$72</f>
        <v>300</v>
      </c>
      <c r="T169" s="37">
        <f>'[1]Test order'!M169</f>
        <v>9665</v>
      </c>
      <c r="U169" s="37">
        <f t="shared" si="34"/>
        <v>840</v>
      </c>
      <c r="V169" s="37">
        <f>+'FCV B1'!$F$7</f>
        <v>12</v>
      </c>
      <c r="W169" s="34">
        <f t="shared" si="31"/>
        <v>4.8565088627448754</v>
      </c>
      <c r="X169" s="34">
        <f t="shared" si="30"/>
        <v>0.33995562039214128</v>
      </c>
      <c r="Y169" s="42"/>
      <c r="Z169" s="34"/>
    </row>
    <row r="170" spans="1:26" x14ac:dyDescent="0.3">
      <c r="A170" s="33" t="str">
        <f>+'[1]Test order'!A170</f>
        <v>2050 CITY BUS - FULL</v>
      </c>
      <c r="B170" s="33" t="str">
        <f>+'[1]Test order'!B170</f>
        <v>CITY ROUTE</v>
      </c>
      <c r="C170" s="33" t="str">
        <f>+'[1]Test order'!C170</f>
        <v>2050 Diesel 735 kW</v>
      </c>
      <c r="D170" s="33" t="str">
        <f>+'[1]Test order'!D170</f>
        <v>Diesel</v>
      </c>
      <c r="E170" s="34">
        <f>+'[1]Test order'!E170</f>
        <v>10.433210671058252</v>
      </c>
      <c r="F170" s="34">
        <f>+'[1]Test order'!F170</f>
        <v>1.1205986738204956</v>
      </c>
      <c r="G170" s="38">
        <f>+'[1]Test order'!G170</f>
        <v>0.10740688644666581</v>
      </c>
      <c r="H170" s="39">
        <f>+'[1]Test order'!H170</f>
        <v>3.4505198001861572</v>
      </c>
      <c r="I170" s="33" t="str">
        <f>+'[1]Test order'!I170</f>
        <v>km/l</v>
      </c>
      <c r="J170" s="33" t="str">
        <f>+'[1]Test order'!J170</f>
        <v>Diesel 2050 CITY BUS - FULL 2050 Diesel 735 kW CITY ROUTE 18000 kg 29.0 l /100km 11%</v>
      </c>
      <c r="K170" s="33">
        <f>+'[1]Test order'!K170</f>
        <v>0</v>
      </c>
      <c r="L170" s="33" t="str">
        <f t="shared" si="25"/>
        <v>2050</v>
      </c>
      <c r="M170" s="33" t="str">
        <f t="shared" si="26"/>
        <v>FULL</v>
      </c>
      <c r="N170" s="33" t="str">
        <f t="shared" si="27"/>
        <v xml:space="preserve">CITY BUS </v>
      </c>
      <c r="O170" s="33" t="str">
        <f t="shared" si="28"/>
        <v>Diesel km/l</v>
      </c>
      <c r="P170" s="41">
        <f>+'Diesel B1'!$F$71</f>
        <v>169400</v>
      </c>
      <c r="Q170" s="41">
        <f t="shared" si="29"/>
        <v>150100</v>
      </c>
      <c r="R170" s="41">
        <f>+'Diesel B1'!$F$73</f>
        <v>19000</v>
      </c>
      <c r="S170" s="41">
        <f>+'Diesel B1'!$F$72</f>
        <v>300</v>
      </c>
      <c r="T170" s="37">
        <f>'[1]Test order'!M170</f>
        <v>18000</v>
      </c>
      <c r="U170" s="37">
        <f>+T170-T164</f>
        <v>9175</v>
      </c>
      <c r="V170" s="33">
        <f>+'FCV B1'!$F$4</f>
        <v>63</v>
      </c>
      <c r="W170" s="34">
        <f t="shared" si="31"/>
        <v>1.1371346780444962</v>
      </c>
      <c r="X170" s="34">
        <f t="shared" si="30"/>
        <v>0.16560651858822623</v>
      </c>
      <c r="Y170" s="42"/>
      <c r="Z170" s="34"/>
    </row>
    <row r="171" spans="1:26" x14ac:dyDescent="0.3">
      <c r="A171" s="33" t="str">
        <f>+'[1]Test order'!A171</f>
        <v>2050 CITY BUS - FULL</v>
      </c>
      <c r="B171" s="33" t="str">
        <f>+'[1]Test order'!B171</f>
        <v>RURAL ROUTE</v>
      </c>
      <c r="C171" s="33" t="str">
        <f>+'[1]Test order'!C171</f>
        <v>2050 Diesel 735 kW</v>
      </c>
      <c r="D171" s="33" t="str">
        <f>+'[1]Test order'!D171</f>
        <v>Diesel</v>
      </c>
      <c r="E171" s="34">
        <f>+'[1]Test order'!E171</f>
        <v>5.514136455125624</v>
      </c>
      <c r="F171" s="34">
        <f>+'[1]Test order'!F171</f>
        <v>1.7474474310874939</v>
      </c>
      <c r="G171" s="38">
        <f>+'[1]Test order'!G171</f>
        <v>0.31690318970310705</v>
      </c>
      <c r="H171" s="39">
        <f>+'[1]Test order'!H171</f>
        <v>6.5286741256713867</v>
      </c>
      <c r="I171" s="33" t="str">
        <f>+'[1]Test order'!I171</f>
        <v>km/l</v>
      </c>
      <c r="J171" s="33" t="str">
        <f>+'[1]Test order'!J171</f>
        <v>Diesel 2050 CITY BUS - FULL 2050 Diesel 735 kW RURAL ROUTE 18000 kg 15.3 l /100km 32%</v>
      </c>
      <c r="K171" s="33">
        <f>+'[1]Test order'!K171</f>
        <v>0</v>
      </c>
      <c r="L171" s="33" t="str">
        <f t="shared" si="25"/>
        <v>2050</v>
      </c>
      <c r="M171" s="33" t="str">
        <f t="shared" si="26"/>
        <v>FULL</v>
      </c>
      <c r="N171" s="33" t="str">
        <f t="shared" si="27"/>
        <v xml:space="preserve">CITY BUS </v>
      </c>
      <c r="O171" s="33" t="str">
        <f t="shared" si="28"/>
        <v>Diesel km/l</v>
      </c>
      <c r="P171" s="41">
        <f>+'Diesel B1'!$F$71</f>
        <v>169400</v>
      </c>
      <c r="Q171" s="41">
        <f t="shared" si="29"/>
        <v>150100</v>
      </c>
      <c r="R171" s="41">
        <f>+'Diesel B1'!$F$73</f>
        <v>19000</v>
      </c>
      <c r="S171" s="41">
        <f>+'Diesel B1'!$F$72</f>
        <v>300</v>
      </c>
      <c r="T171" s="37">
        <f>'[1]Test order'!M171</f>
        <v>18000</v>
      </c>
      <c r="U171" s="37">
        <f t="shared" ref="U171:U172" si="35">+T171-T165</f>
        <v>9175</v>
      </c>
      <c r="V171" s="33">
        <f>+'FCV B1'!$F$4</f>
        <v>63</v>
      </c>
      <c r="W171" s="34">
        <f t="shared" si="31"/>
        <v>0.60099579892377375</v>
      </c>
      <c r="X171" s="34">
        <f t="shared" si="30"/>
        <v>8.7525975478184512E-2</v>
      </c>
      <c r="Y171" s="42"/>
      <c r="Z171" s="34"/>
    </row>
    <row r="172" spans="1:26" x14ac:dyDescent="0.3">
      <c r="A172" s="33" t="str">
        <f>+'[1]Test order'!A172</f>
        <v>2050 CITY BUS - FULL</v>
      </c>
      <c r="B172" s="33" t="str">
        <f>+'[1]Test order'!B172</f>
        <v>MOTORWAY</v>
      </c>
      <c r="C172" s="33" t="str">
        <f>+'[1]Test order'!C172</f>
        <v>2050 Diesel 735 kW</v>
      </c>
      <c r="D172" s="33" t="str">
        <f>+'[1]Test order'!D172</f>
        <v>Diesel</v>
      </c>
      <c r="E172" s="34">
        <f>+'[1]Test order'!E172</f>
        <v>5.0395408270543891</v>
      </c>
      <c r="F172" s="34">
        <f>+'[1]Test order'!F172</f>
        <v>2.0889288783073425</v>
      </c>
      <c r="G172" s="38">
        <f>+'[1]Test order'!G172</f>
        <v>0.41450777957648199</v>
      </c>
      <c r="H172" s="39">
        <f>+'[1]Test order'!H172</f>
        <v>7.1435079574584961</v>
      </c>
      <c r="I172" s="33" t="str">
        <f>+'[1]Test order'!I172</f>
        <v>km/l</v>
      </c>
      <c r="J172" s="33" t="str">
        <f>+'[1]Test order'!J172</f>
        <v>Diesel 2050 CITY BUS - FULL 2050 Diesel 735 kW MOTORWAY 18000 kg 14.0 l /100km 41%</v>
      </c>
      <c r="K172" s="33">
        <f>+'[1]Test order'!K172</f>
        <v>0</v>
      </c>
      <c r="L172" s="33" t="str">
        <f t="shared" si="25"/>
        <v>2050</v>
      </c>
      <c r="M172" s="33" t="str">
        <f t="shared" si="26"/>
        <v>FULL</v>
      </c>
      <c r="N172" s="33" t="str">
        <f t="shared" si="27"/>
        <v xml:space="preserve">CITY BUS </v>
      </c>
      <c r="O172" s="33" t="str">
        <f t="shared" si="28"/>
        <v>Diesel km/l</v>
      </c>
      <c r="P172" s="41">
        <f>+'Diesel B1'!$F$71</f>
        <v>169400</v>
      </c>
      <c r="Q172" s="41">
        <f t="shared" si="29"/>
        <v>150100</v>
      </c>
      <c r="R172" s="41">
        <f>+'Diesel B1'!$F$73</f>
        <v>19000</v>
      </c>
      <c r="S172" s="41">
        <f>+'Diesel B1'!$F$72</f>
        <v>300</v>
      </c>
      <c r="T172" s="37">
        <f>'[1]Test order'!M172</f>
        <v>18000</v>
      </c>
      <c r="U172" s="37">
        <f t="shared" si="35"/>
        <v>9175</v>
      </c>
      <c r="V172" s="33">
        <f>+'FCV B1'!$F$4</f>
        <v>63</v>
      </c>
      <c r="W172" s="34">
        <f t="shared" si="31"/>
        <v>0.54926875499230399</v>
      </c>
      <c r="X172" s="34">
        <f t="shared" si="30"/>
        <v>7.9992711540545852E-2</v>
      </c>
      <c r="Y172" s="42"/>
      <c r="Z172" s="34"/>
    </row>
    <row r="173" spans="1:26" x14ac:dyDescent="0.3">
      <c r="A173" s="33" t="str">
        <f>+'[1]Test order'!A173</f>
        <v>2050 TOURIST BUS - EMPTY</v>
      </c>
      <c r="B173" s="33" t="str">
        <f>+'[1]Test order'!B173</f>
        <v>CITY ROUTE</v>
      </c>
      <c r="C173" s="33" t="str">
        <f>+'[1]Test order'!C173</f>
        <v>2050 Diesel 735 kW</v>
      </c>
      <c r="D173" s="33" t="str">
        <f>+'[1]Test order'!D173</f>
        <v>Diesel</v>
      </c>
      <c r="E173" s="34">
        <f>+'[1]Test order'!E173</f>
        <v>6.6218458237075808</v>
      </c>
      <c r="F173" s="34">
        <f>+'[1]Test order'!F173</f>
        <v>0.76181226968765259</v>
      </c>
      <c r="G173" s="38">
        <f>+'[1]Test order'!G173</f>
        <v>0.11504530458262963</v>
      </c>
      <c r="H173" s="39">
        <f>+'[1]Test order'!H173</f>
        <v>5.4365506172180176</v>
      </c>
      <c r="I173" s="33" t="str">
        <f>+'[1]Test order'!I173</f>
        <v>km/l</v>
      </c>
      <c r="J173" s="33" t="str">
        <f>+'[1]Test order'!J173</f>
        <v>Diesel 2050 TOURIST BUS - EMPTY 2050 Diesel 735 kW CITY ROUTE 11200 kg 18.4 l /100km 12%</v>
      </c>
      <c r="K173" s="33">
        <f>+'[1]Test order'!K173</f>
        <v>0</v>
      </c>
      <c r="L173" s="33" t="str">
        <f t="shared" si="25"/>
        <v>2050</v>
      </c>
      <c r="M173" s="33" t="str">
        <f t="shared" si="26"/>
        <v>EMPTY</v>
      </c>
      <c r="N173" s="33" t="str">
        <f t="shared" si="27"/>
        <v xml:space="preserve">TOURIST BUS </v>
      </c>
      <c r="O173" s="33" t="str">
        <f t="shared" si="28"/>
        <v>Diesel km/l</v>
      </c>
      <c r="P173" s="41">
        <f>+'Diesel B2'!$F$71</f>
        <v>259900</v>
      </c>
      <c r="Q173" s="41">
        <f t="shared" si="29"/>
        <v>240600</v>
      </c>
      <c r="R173" s="41">
        <f>+'Diesel B2'!$F$73</f>
        <v>19000</v>
      </c>
      <c r="S173" s="41">
        <f>+'Diesel B2'!$F$72</f>
        <v>300</v>
      </c>
      <c r="T173" s="37">
        <f>'[1]Test order'!M173</f>
        <v>11200</v>
      </c>
      <c r="U173" s="33">
        <v>0</v>
      </c>
      <c r="V173" s="33">
        <v>0</v>
      </c>
      <c r="W173" s="34" t="e">
        <f t="shared" si="31"/>
        <v>#N/A</v>
      </c>
      <c r="X173" s="34" t="str">
        <f t="shared" si="30"/>
        <v/>
      </c>
      <c r="Y173" s="42"/>
      <c r="Z173" s="34"/>
    </row>
    <row r="174" spans="1:26" x14ac:dyDescent="0.3">
      <c r="A174" s="33" t="str">
        <f>+'[1]Test order'!A174</f>
        <v>2050 TOURIST BUS - EMPTY</v>
      </c>
      <c r="B174" s="33" t="str">
        <f>+'[1]Test order'!B174</f>
        <v>RURAL ROUTE</v>
      </c>
      <c r="C174" s="33" t="str">
        <f>+'[1]Test order'!C174</f>
        <v>2050 Diesel 735 kW</v>
      </c>
      <c r="D174" s="33" t="str">
        <f>+'[1]Test order'!D174</f>
        <v>Diesel</v>
      </c>
      <c r="E174" s="34">
        <f>+'[1]Test order'!E174</f>
        <v>3.7703992671896267</v>
      </c>
      <c r="F174" s="34">
        <f>+'[1]Test order'!F174</f>
        <v>1.2492524683475494</v>
      </c>
      <c r="G174" s="38">
        <f>+'[1]Test order'!G174</f>
        <v>0.33133161233577124</v>
      </c>
      <c r="H174" s="39">
        <f>+'[1]Test order'!H174</f>
        <v>9.548060417175293</v>
      </c>
      <c r="I174" s="33" t="str">
        <f>+'[1]Test order'!I174</f>
        <v>km/l</v>
      </c>
      <c r="J174" s="33" t="str">
        <f>+'[1]Test order'!J174</f>
        <v>Diesel 2050 TOURIST BUS - EMPTY 2050 Diesel 735 kW RURAL ROUTE 11200 kg 10.5 l /100km 33%</v>
      </c>
      <c r="K174" s="33">
        <f>+'[1]Test order'!K174</f>
        <v>0</v>
      </c>
      <c r="L174" s="33" t="str">
        <f t="shared" si="25"/>
        <v>2050</v>
      </c>
      <c r="M174" s="33" t="str">
        <f t="shared" si="26"/>
        <v>EMPTY</v>
      </c>
      <c r="N174" s="33" t="str">
        <f t="shared" si="27"/>
        <v xml:space="preserve">TOURIST BUS </v>
      </c>
      <c r="O174" s="33" t="str">
        <f t="shared" si="28"/>
        <v>Diesel km/l</v>
      </c>
      <c r="P174" s="41">
        <f>+'Diesel B2'!$F$71</f>
        <v>259900</v>
      </c>
      <c r="Q174" s="41">
        <f t="shared" si="29"/>
        <v>240600</v>
      </c>
      <c r="R174" s="41">
        <f>+'Diesel B2'!$F$73</f>
        <v>19000</v>
      </c>
      <c r="S174" s="41">
        <f>+'Diesel B2'!$F$72</f>
        <v>300</v>
      </c>
      <c r="T174" s="37">
        <f>'[1]Test order'!M174</f>
        <v>11200</v>
      </c>
      <c r="U174" s="33">
        <v>0</v>
      </c>
      <c r="V174" s="33">
        <v>0</v>
      </c>
      <c r="W174" s="34" t="e">
        <f t="shared" si="31"/>
        <v>#N/A</v>
      </c>
      <c r="X174" s="34" t="str">
        <f t="shared" si="30"/>
        <v/>
      </c>
      <c r="Y174" s="42"/>
      <c r="Z174" s="34"/>
    </row>
    <row r="175" spans="1:26" x14ac:dyDescent="0.3">
      <c r="A175" s="33" t="str">
        <f>+'[1]Test order'!A175</f>
        <v>2050 TOURIST BUS - EMPTY</v>
      </c>
      <c r="B175" s="33" t="str">
        <f>+'[1]Test order'!B175</f>
        <v>MOTORWAY</v>
      </c>
      <c r="C175" s="33" t="str">
        <f>+'[1]Test order'!C175</f>
        <v>2050 Diesel 735 kW</v>
      </c>
      <c r="D175" s="33" t="str">
        <f>+'[1]Test order'!D175</f>
        <v>Diesel</v>
      </c>
      <c r="E175" s="34">
        <f>+'[1]Test order'!E175</f>
        <v>3.6077575788622478</v>
      </c>
      <c r="F175" s="34">
        <f>+'[1]Test order'!F175</f>
        <v>1.5148498117923737</v>
      </c>
      <c r="G175" s="38">
        <f>+'[1]Test order'!G175</f>
        <v>0.41988680743624157</v>
      </c>
      <c r="H175" s="39">
        <f>+'[1]Test order'!H175</f>
        <v>9.9784975051879883</v>
      </c>
      <c r="I175" s="33" t="str">
        <f>+'[1]Test order'!I175</f>
        <v>km/l</v>
      </c>
      <c r="J175" s="33" t="str">
        <f>+'[1]Test order'!J175</f>
        <v>Diesel 2050 TOURIST BUS - EMPTY 2050 Diesel 735 kW MOTORWAY 11200 kg 10.0 l /100km 42%</v>
      </c>
      <c r="K175" s="33">
        <f>+'[1]Test order'!K175</f>
        <v>0</v>
      </c>
      <c r="L175" s="33" t="str">
        <f t="shared" si="25"/>
        <v>2050</v>
      </c>
      <c r="M175" s="33" t="str">
        <f t="shared" si="26"/>
        <v>EMPTY</v>
      </c>
      <c r="N175" s="33" t="str">
        <f t="shared" si="27"/>
        <v xml:space="preserve">TOURIST BUS </v>
      </c>
      <c r="O175" s="33" t="str">
        <f t="shared" si="28"/>
        <v>Diesel km/l</v>
      </c>
      <c r="P175" s="41">
        <f>+'Diesel B2'!$F$71</f>
        <v>259900</v>
      </c>
      <c r="Q175" s="41">
        <f t="shared" si="29"/>
        <v>240600</v>
      </c>
      <c r="R175" s="41">
        <f>+'Diesel B2'!$F$73</f>
        <v>19000</v>
      </c>
      <c r="S175" s="41">
        <f>+'Diesel B2'!$F$72</f>
        <v>300</v>
      </c>
      <c r="T175" s="37">
        <f>'[1]Test order'!M175</f>
        <v>11200</v>
      </c>
      <c r="U175" s="33">
        <v>0</v>
      </c>
      <c r="V175" s="33">
        <v>0</v>
      </c>
      <c r="W175" s="34" t="e">
        <f t="shared" si="31"/>
        <v>#N/A</v>
      </c>
      <c r="X175" s="34" t="str">
        <f t="shared" si="30"/>
        <v/>
      </c>
      <c r="Y175" s="42"/>
      <c r="Z175" s="34"/>
    </row>
    <row r="176" spans="1:26" x14ac:dyDescent="0.3">
      <c r="A176" s="33" t="str">
        <f>+'[1]Test order'!A176</f>
        <v>2050 TOURIST BUS - TYPICAL</v>
      </c>
      <c r="B176" s="33" t="str">
        <f>+'[1]Test order'!B176</f>
        <v>CITY ROUTE</v>
      </c>
      <c r="C176" s="33" t="str">
        <f>+'[1]Test order'!C176</f>
        <v>2050 Diesel 735 kW</v>
      </c>
      <c r="D176" s="33" t="str">
        <f>+'[1]Test order'!D176</f>
        <v>Diesel</v>
      </c>
      <c r="E176" s="34">
        <f>+'[1]Test order'!E176</f>
        <v>7.5531642515073818</v>
      </c>
      <c r="F176" s="34">
        <f>+'[1]Test order'!F176</f>
        <v>0.83041444420814514</v>
      </c>
      <c r="G176" s="38">
        <f>+'[1]Test order'!G176</f>
        <v>0.10994259049012732</v>
      </c>
      <c r="H176" s="39">
        <f>+'[1]Test order'!H176</f>
        <v>4.7662143707275391</v>
      </c>
      <c r="I176" s="33" t="str">
        <f>+'[1]Test order'!I176</f>
        <v>km/l</v>
      </c>
      <c r="J176" s="33" t="str">
        <f>+'[1]Test order'!J176</f>
        <v>Diesel 2050 TOURIST BUS - TYPICAL 2050 Diesel 735 kW CITY ROUTE 12950 kg 21.0 l /100km 11%</v>
      </c>
      <c r="K176" s="33">
        <f>+'[1]Test order'!K176</f>
        <v>0</v>
      </c>
      <c r="L176" s="33" t="str">
        <f t="shared" si="25"/>
        <v>2050</v>
      </c>
      <c r="M176" s="33" t="str">
        <f t="shared" si="26"/>
        <v>TYPICAL</v>
      </c>
      <c r="N176" s="33" t="str">
        <f t="shared" si="27"/>
        <v xml:space="preserve">TOURIST BUS </v>
      </c>
      <c r="O176" s="33" t="str">
        <f t="shared" si="28"/>
        <v>Diesel km/l</v>
      </c>
      <c r="P176" s="41">
        <f>+'Diesel B2'!$F$71</f>
        <v>259900</v>
      </c>
      <c r="Q176" s="41">
        <f t="shared" si="29"/>
        <v>240600</v>
      </c>
      <c r="R176" s="41">
        <f>+'Diesel B2'!$F$73</f>
        <v>19000</v>
      </c>
      <c r="S176" s="41">
        <f>+'Diesel B2'!$F$72</f>
        <v>300</v>
      </c>
      <c r="T176" s="37">
        <f>'[1]Test order'!M176</f>
        <v>12950</v>
      </c>
      <c r="U176" s="37">
        <f>+T176-T173</f>
        <v>1750</v>
      </c>
      <c r="V176" s="37">
        <f>+'FCV B2'!$F$7</f>
        <v>25</v>
      </c>
      <c r="W176" s="34">
        <f t="shared" si="31"/>
        <v>4.3160938580042183</v>
      </c>
      <c r="X176" s="34">
        <f t="shared" si="30"/>
        <v>0.30212657006029525</v>
      </c>
      <c r="Y176" s="42"/>
      <c r="Z176" s="34"/>
    </row>
    <row r="177" spans="1:26" x14ac:dyDescent="0.3">
      <c r="A177" s="33" t="str">
        <f>+'[1]Test order'!A177</f>
        <v>2050 TOURIST BUS - TYPICAL</v>
      </c>
      <c r="B177" s="33" t="str">
        <f>+'[1]Test order'!B177</f>
        <v>RURAL ROUTE</v>
      </c>
      <c r="C177" s="33" t="str">
        <f>+'[1]Test order'!C177</f>
        <v>2050 Diesel 735 kW</v>
      </c>
      <c r="D177" s="33" t="str">
        <f>+'[1]Test order'!D177</f>
        <v>Diesel</v>
      </c>
      <c r="E177" s="34">
        <f>+'[1]Test order'!E177</f>
        <v>4.1054019763577481</v>
      </c>
      <c r="F177" s="34">
        <f>+'[1]Test order'!F177</f>
        <v>1.3179236054420471</v>
      </c>
      <c r="G177" s="38">
        <f>+'[1]Test order'!G177</f>
        <v>0.32102181784676037</v>
      </c>
      <c r="H177" s="39">
        <f>+'[1]Test order'!H177</f>
        <v>8.7689342498779297</v>
      </c>
      <c r="I177" s="33" t="str">
        <f>+'[1]Test order'!I177</f>
        <v>km/l</v>
      </c>
      <c r="J177" s="33" t="str">
        <f>+'[1]Test order'!J177</f>
        <v>Diesel 2050 TOURIST BUS - TYPICAL 2050 Diesel 735 kW RURAL ROUTE 12950 kg 11.4 l /100km 32%</v>
      </c>
      <c r="K177" s="33">
        <f>+'[1]Test order'!K177</f>
        <v>0</v>
      </c>
      <c r="L177" s="33" t="str">
        <f t="shared" si="25"/>
        <v>2050</v>
      </c>
      <c r="M177" s="33" t="str">
        <f t="shared" si="26"/>
        <v>TYPICAL</v>
      </c>
      <c r="N177" s="33" t="str">
        <f t="shared" si="27"/>
        <v xml:space="preserve">TOURIST BUS </v>
      </c>
      <c r="O177" s="33" t="str">
        <f t="shared" si="28"/>
        <v>Diesel km/l</v>
      </c>
      <c r="P177" s="41">
        <f>+'Diesel B2'!$F$71</f>
        <v>259900</v>
      </c>
      <c r="Q177" s="41">
        <f t="shared" si="29"/>
        <v>240600</v>
      </c>
      <c r="R177" s="41">
        <f>+'Diesel B2'!$F$73</f>
        <v>19000</v>
      </c>
      <c r="S177" s="41">
        <f>+'Diesel B2'!$F$72</f>
        <v>300</v>
      </c>
      <c r="T177" s="37">
        <f>'[1]Test order'!M177</f>
        <v>12950</v>
      </c>
      <c r="U177" s="37">
        <f t="shared" ref="U177:U178" si="36">+T177-T174</f>
        <v>1750</v>
      </c>
      <c r="V177" s="37">
        <f>+'FCV B2'!$F$7</f>
        <v>25</v>
      </c>
      <c r="W177" s="34">
        <f t="shared" si="31"/>
        <v>2.3459439864901417</v>
      </c>
      <c r="X177" s="34">
        <f t="shared" si="30"/>
        <v>0.16421607905430993</v>
      </c>
      <c r="Y177" s="42"/>
      <c r="Z177" s="34"/>
    </row>
    <row r="178" spans="1:26" x14ac:dyDescent="0.3">
      <c r="A178" s="33" t="str">
        <f>+'[1]Test order'!A178</f>
        <v>2050 TOURIST BUS - TYPICAL</v>
      </c>
      <c r="B178" s="33" t="str">
        <f>+'[1]Test order'!B178</f>
        <v>MOTORWAY</v>
      </c>
      <c r="C178" s="33" t="str">
        <f>+'[1]Test order'!C178</f>
        <v>2050 Diesel 735 kW</v>
      </c>
      <c r="D178" s="33" t="str">
        <f>+'[1]Test order'!D178</f>
        <v>Diesel</v>
      </c>
      <c r="E178" s="34">
        <f>+'[1]Test order'!E178</f>
        <v>3.817105675482976</v>
      </c>
      <c r="F178" s="34">
        <f>+'[1]Test order'!F178</f>
        <v>1.583520770072937</v>
      </c>
      <c r="G178" s="38">
        <f>+'[1]Test order'!G178</f>
        <v>0.41484855403500853</v>
      </c>
      <c r="H178" s="39">
        <f>+'[1]Test order'!H178</f>
        <v>9.4312295913696289</v>
      </c>
      <c r="I178" s="33" t="str">
        <f>+'[1]Test order'!I178</f>
        <v>km/l</v>
      </c>
      <c r="J178" s="33" t="str">
        <f>+'[1]Test order'!J178</f>
        <v>Diesel 2050 TOURIST BUS - TYPICAL 2050 Diesel 735 kW MOTORWAY 12950 kg 10.6 l /100km 41%</v>
      </c>
      <c r="K178" s="33">
        <f>+'[1]Test order'!K178</f>
        <v>0</v>
      </c>
      <c r="L178" s="33" t="str">
        <f t="shared" si="25"/>
        <v>2050</v>
      </c>
      <c r="M178" s="33" t="str">
        <f t="shared" si="26"/>
        <v>TYPICAL</v>
      </c>
      <c r="N178" s="33" t="str">
        <f t="shared" si="27"/>
        <v xml:space="preserve">TOURIST BUS </v>
      </c>
      <c r="O178" s="33" t="str">
        <f t="shared" si="28"/>
        <v>Diesel km/l</v>
      </c>
      <c r="P178" s="41">
        <f>+'Diesel B2'!$F$71</f>
        <v>259900</v>
      </c>
      <c r="Q178" s="41">
        <f t="shared" si="29"/>
        <v>240600</v>
      </c>
      <c r="R178" s="41">
        <f>+'Diesel B2'!$F$73</f>
        <v>19000</v>
      </c>
      <c r="S178" s="41">
        <f>+'Diesel B2'!$F$72</f>
        <v>300</v>
      </c>
      <c r="T178" s="37">
        <f>'[1]Test order'!M178</f>
        <v>12950</v>
      </c>
      <c r="U178" s="37">
        <f t="shared" si="36"/>
        <v>1750</v>
      </c>
      <c r="V178" s="37">
        <f>+'FCV B2'!$F$7</f>
        <v>25</v>
      </c>
      <c r="W178" s="34">
        <f t="shared" si="31"/>
        <v>2.1812032431331292</v>
      </c>
      <c r="X178" s="34">
        <f t="shared" si="30"/>
        <v>0.15268422701931905</v>
      </c>
      <c r="Y178" s="42"/>
      <c r="Z178" s="34"/>
    </row>
    <row r="179" spans="1:26" x14ac:dyDescent="0.3">
      <c r="A179" s="33" t="str">
        <f>+'[1]Test order'!A179</f>
        <v>2050 TOURIST BUS - FULL</v>
      </c>
      <c r="B179" s="33" t="str">
        <f>+'[1]Test order'!B179</f>
        <v>CITY ROUTE</v>
      </c>
      <c r="C179" s="33" t="str">
        <f>+'[1]Test order'!C179</f>
        <v>2050 Diesel 735 kW</v>
      </c>
      <c r="D179" s="33" t="str">
        <f>+'[1]Test order'!D179</f>
        <v>Diesel</v>
      </c>
      <c r="E179" s="34">
        <f>+'[1]Test order'!E179</f>
        <v>11.084132261762823</v>
      </c>
      <c r="F179" s="34">
        <f>+'[1]Test order'!F179</f>
        <v>1.0871825814247131</v>
      </c>
      <c r="G179" s="38">
        <f>+'[1]Test order'!G179</f>
        <v>9.8084591175007091E-2</v>
      </c>
      <c r="H179" s="39">
        <f>+'[1]Test order'!H179</f>
        <v>3.2478861808776855</v>
      </c>
      <c r="I179" s="33" t="str">
        <f>+'[1]Test order'!I179</f>
        <v>km/l</v>
      </c>
      <c r="J179" s="33" t="str">
        <f>+'[1]Test order'!J179</f>
        <v>Diesel 2050 TOURIST BUS - FULL 2050 Diesel 735 kW CITY ROUTE 19500 kg 30.8 l /100km 10%</v>
      </c>
      <c r="K179" s="33">
        <f>+'[1]Test order'!K179</f>
        <v>0</v>
      </c>
      <c r="L179" s="33" t="str">
        <f t="shared" si="25"/>
        <v>2050</v>
      </c>
      <c r="M179" s="33" t="str">
        <f t="shared" si="26"/>
        <v>FULL</v>
      </c>
      <c r="N179" s="33" t="str">
        <f t="shared" si="27"/>
        <v xml:space="preserve">TOURIST BUS </v>
      </c>
      <c r="O179" s="33" t="str">
        <f t="shared" si="28"/>
        <v>Diesel km/l</v>
      </c>
      <c r="P179" s="41">
        <f>+'Diesel B2'!$F$71</f>
        <v>259900</v>
      </c>
      <c r="Q179" s="41">
        <f t="shared" si="29"/>
        <v>240600</v>
      </c>
      <c r="R179" s="41">
        <f>+'Diesel B2'!$F$73</f>
        <v>19000</v>
      </c>
      <c r="S179" s="41">
        <f>+'Diesel B2'!$F$72</f>
        <v>300</v>
      </c>
      <c r="T179" s="37">
        <f>'[1]Test order'!M179</f>
        <v>19500</v>
      </c>
      <c r="U179" s="37">
        <f>+T179-T173</f>
        <v>8300</v>
      </c>
      <c r="V179" s="33">
        <f>+'FCV B2'!$F$4</f>
        <v>55</v>
      </c>
      <c r="W179" s="34">
        <f t="shared" si="31"/>
        <v>1.3354376218991353</v>
      </c>
      <c r="X179" s="34">
        <f t="shared" si="30"/>
        <v>0.20152967748659678</v>
      </c>
      <c r="Y179" s="42"/>
      <c r="Z179" s="34"/>
    </row>
    <row r="180" spans="1:26" x14ac:dyDescent="0.3">
      <c r="A180" s="33" t="str">
        <f>+'[1]Test order'!A180</f>
        <v>2050 TOURIST BUS - FULL</v>
      </c>
      <c r="B180" s="33" t="str">
        <f>+'[1]Test order'!B180</f>
        <v>RURAL ROUTE</v>
      </c>
      <c r="C180" s="33" t="str">
        <f>+'[1]Test order'!C180</f>
        <v>2050 Diesel 735 kW</v>
      </c>
      <c r="D180" s="33" t="str">
        <f>+'[1]Test order'!D180</f>
        <v>Diesel</v>
      </c>
      <c r="E180" s="34">
        <f>+'[1]Test order'!E180</f>
        <v>5.4320609533622166</v>
      </c>
      <c r="F180" s="34">
        <f>+'[1]Test order'!F180</f>
        <v>1.5749465227127075</v>
      </c>
      <c r="G180" s="38">
        <f>+'[1]Test order'!G180</f>
        <v>0.28993535533467862</v>
      </c>
      <c r="H180" s="39">
        <f>+'[1]Test order'!H180</f>
        <v>6.6273188591003418</v>
      </c>
      <c r="I180" s="33" t="str">
        <f>+'[1]Test order'!I180</f>
        <v>km/l</v>
      </c>
      <c r="J180" s="33" t="str">
        <f>+'[1]Test order'!J180</f>
        <v>Diesel 2050 TOURIST BUS - FULL 2050 Diesel 735 kW RURAL ROUTE 19500 kg 15.1 l /100km 29%</v>
      </c>
      <c r="K180" s="33">
        <f>+'[1]Test order'!K180</f>
        <v>0</v>
      </c>
      <c r="L180" s="33" t="str">
        <f t="shared" si="25"/>
        <v>2050</v>
      </c>
      <c r="M180" s="33" t="str">
        <f t="shared" si="26"/>
        <v>FULL</v>
      </c>
      <c r="N180" s="33" t="str">
        <f t="shared" si="27"/>
        <v xml:space="preserve">TOURIST BUS </v>
      </c>
      <c r="O180" s="33" t="str">
        <f t="shared" si="28"/>
        <v>Diesel km/l</v>
      </c>
      <c r="P180" s="41">
        <f>+'Diesel B2'!$F$71</f>
        <v>259900</v>
      </c>
      <c r="Q180" s="41">
        <f t="shared" si="29"/>
        <v>240600</v>
      </c>
      <c r="R180" s="41">
        <f>+'Diesel B2'!$F$73</f>
        <v>19000</v>
      </c>
      <c r="S180" s="41">
        <f>+'Diesel B2'!$F$72</f>
        <v>300</v>
      </c>
      <c r="T180" s="37">
        <f>'[1]Test order'!M180</f>
        <v>19500</v>
      </c>
      <c r="U180" s="37">
        <f t="shared" ref="U180:U181" si="37">+T180-T174</f>
        <v>8300</v>
      </c>
      <c r="V180" s="33">
        <f>+'FCV B2'!$F$4</f>
        <v>55</v>
      </c>
      <c r="W180" s="34">
        <f t="shared" si="31"/>
        <v>0.65446517510388147</v>
      </c>
      <c r="X180" s="34">
        <f t="shared" si="30"/>
        <v>9.8764744606585755E-2</v>
      </c>
      <c r="Y180" s="42"/>
      <c r="Z180" s="34"/>
    </row>
    <row r="181" spans="1:26" x14ac:dyDescent="0.3">
      <c r="A181" s="33" t="str">
        <f>+'[1]Test order'!A181</f>
        <v>2050 TOURIST BUS - FULL</v>
      </c>
      <c r="B181" s="33" t="str">
        <f>+'[1]Test order'!B181</f>
        <v>MOTORWAY</v>
      </c>
      <c r="C181" s="33" t="str">
        <f>+'[1]Test order'!C181</f>
        <v>2050 Diesel 735 kW</v>
      </c>
      <c r="D181" s="33" t="str">
        <f>+'[1]Test order'!D181</f>
        <v>Diesel</v>
      </c>
      <c r="E181" s="34">
        <f>+'[1]Test order'!E181</f>
        <v>4.6358669818998024</v>
      </c>
      <c r="F181" s="34">
        <f>+'[1]Test order'!F181</f>
        <v>1.8405457735061646</v>
      </c>
      <c r="G181" s="38">
        <f>+'[1]Test order'!G181</f>
        <v>0.39702299067086244</v>
      </c>
      <c r="H181" s="39">
        <f>+'[1]Test order'!H181</f>
        <v>7.7655377388000488</v>
      </c>
      <c r="I181" s="33" t="str">
        <f>+'[1]Test order'!I181</f>
        <v>km/l</v>
      </c>
      <c r="J181" s="33" t="str">
        <f>+'[1]Test order'!J181</f>
        <v>Diesel 2050 TOURIST BUS - FULL 2050 Diesel 735 kW MOTORWAY 19500 kg 12.9 l /100km 40%</v>
      </c>
      <c r="K181" s="33">
        <f>+'[1]Test order'!K181</f>
        <v>0</v>
      </c>
      <c r="L181" s="33" t="str">
        <f t="shared" si="25"/>
        <v>2050</v>
      </c>
      <c r="M181" s="33" t="str">
        <f t="shared" si="26"/>
        <v>FULL</v>
      </c>
      <c r="N181" s="33" t="str">
        <f t="shared" si="27"/>
        <v xml:space="preserve">TOURIST BUS </v>
      </c>
      <c r="O181" s="33" t="str">
        <f t="shared" si="28"/>
        <v>Diesel km/l</v>
      </c>
      <c r="P181" s="41">
        <f>+'Diesel B2'!$F$71</f>
        <v>259900</v>
      </c>
      <c r="Q181" s="41">
        <f t="shared" si="29"/>
        <v>240600</v>
      </c>
      <c r="R181" s="41">
        <f>+'Diesel B2'!$F$73</f>
        <v>19000</v>
      </c>
      <c r="S181" s="41">
        <f>+'Diesel B2'!$F$72</f>
        <v>300</v>
      </c>
      <c r="T181" s="37">
        <f>'[1]Test order'!M181</f>
        <v>19500</v>
      </c>
      <c r="U181" s="37">
        <f t="shared" si="37"/>
        <v>8300</v>
      </c>
      <c r="V181" s="33">
        <f>+'FCV B2'!$F$4</f>
        <v>55</v>
      </c>
      <c r="W181" s="34">
        <f t="shared" si="31"/>
        <v>0.5585381905903376</v>
      </c>
      <c r="X181" s="34">
        <f t="shared" si="30"/>
        <v>8.4288490579996406E-2</v>
      </c>
      <c r="Y181" s="42"/>
      <c r="Z181" s="34"/>
    </row>
    <row r="182" spans="1:26" x14ac:dyDescent="0.3">
      <c r="A182" s="33" t="str">
        <f>+'[1]Test order'!A182</f>
        <v>2050 RIGID TRUCK - EMPTY</v>
      </c>
      <c r="B182" s="33" t="str">
        <f>+'[1]Test order'!B182</f>
        <v>URBAN DELIVERY</v>
      </c>
      <c r="C182" s="33" t="str">
        <f>+'[1]Test order'!C182</f>
        <v>2050 Electric 800 kW</v>
      </c>
      <c r="D182" s="33" t="str">
        <f>+'[1]Test order'!D182</f>
        <v>Electricity</v>
      </c>
      <c r="E182" s="34">
        <f>+'[1]Test order'!E182</f>
        <v>1.4961465900191195</v>
      </c>
      <c r="F182" s="34">
        <f>+'[1]Test order'!F182</f>
        <v>0.85323941707611084</v>
      </c>
      <c r="G182" s="38">
        <f>+'[1]Test order'!G182</f>
        <v>0.57029132223280821</v>
      </c>
      <c r="H182" s="39">
        <f>+'[1]Test order'!H182</f>
        <v>2.4061813354492188</v>
      </c>
      <c r="I182" s="33" t="str">
        <f>+'[1]Test order'!I182</f>
        <v>km/kWh</v>
      </c>
      <c r="J182" s="33" t="str">
        <f>+'[1]Test order'!J182</f>
        <v>Electricity 2050 RIGID TRUCK - EMPTY 2050 Electric 800 kW URBAN DELIVERY 8736 kg 41.6 kWh /100km 57%</v>
      </c>
      <c r="K182" s="33">
        <f>+'[1]Test order'!K182</f>
        <v>0</v>
      </c>
      <c r="L182" s="33" t="str">
        <f t="shared" si="25"/>
        <v>2050</v>
      </c>
      <c r="M182" s="33" t="str">
        <f t="shared" si="26"/>
        <v>EMPTY</v>
      </c>
      <c r="N182" s="33" t="str">
        <f t="shared" si="27"/>
        <v xml:space="preserve">RIGID TRUCK </v>
      </c>
      <c r="O182" s="33" t="str">
        <f t="shared" si="28"/>
        <v>Electricity km/kWh</v>
      </c>
      <c r="P182" s="41">
        <f>+'BEV L1'!$F$71</f>
        <v>177000</v>
      </c>
      <c r="Q182" s="41">
        <f t="shared" si="29"/>
        <v>97000</v>
      </c>
      <c r="R182" s="41">
        <f>+'BEV L1'!$F$73</f>
        <v>50000</v>
      </c>
      <c r="S182" s="41">
        <f>+'BEV L1'!$F$72</f>
        <v>30000</v>
      </c>
      <c r="T182" s="37">
        <f>'[1]Test order'!M182</f>
        <v>8736</v>
      </c>
      <c r="U182" s="33">
        <v>0</v>
      </c>
      <c r="V182" s="33">
        <v>0</v>
      </c>
      <c r="W182" s="34" t="e">
        <f t="shared" si="31"/>
        <v>#N/A</v>
      </c>
      <c r="X182" s="34" t="str">
        <f t="shared" si="30"/>
        <v/>
      </c>
      <c r="Y182" s="42"/>
      <c r="Z182" s="34"/>
    </row>
    <row r="183" spans="1:26" x14ac:dyDescent="0.3">
      <c r="A183" s="33" t="str">
        <f>+'[1]Test order'!A183</f>
        <v>2050 RIGID TRUCK - EMPTY</v>
      </c>
      <c r="B183" s="33" t="str">
        <f>+'[1]Test order'!B183</f>
        <v>REGIONAL DELIVERY</v>
      </c>
      <c r="C183" s="33" t="str">
        <f>+'[1]Test order'!C183</f>
        <v>2050 Electric 800 kW</v>
      </c>
      <c r="D183" s="33" t="str">
        <f>+'[1]Test order'!D183</f>
        <v>Electricity</v>
      </c>
      <c r="E183" s="34">
        <f>+'[1]Test order'!E183</f>
        <v>1.9654721879627068</v>
      </c>
      <c r="F183" s="34">
        <f>+'[1]Test order'!F183</f>
        <v>1.3839121460914612</v>
      </c>
      <c r="G183" s="38">
        <f>+'[1]Test order'!G183</f>
        <v>0.70411179286436165</v>
      </c>
      <c r="H183" s="39">
        <f>+'[1]Test order'!H183</f>
        <v>1.8316209316253662</v>
      </c>
      <c r="I183" s="33" t="str">
        <f>+'[1]Test order'!I183</f>
        <v>km/kWh</v>
      </c>
      <c r="J183" s="33" t="str">
        <f>+'[1]Test order'!J183</f>
        <v>Electricity 2050 RIGID TRUCK - EMPTY 2050 Electric 800 kW REGIONAL DELIVERY 8736 kg 54.6 kWh /100km 70%</v>
      </c>
      <c r="K183" s="33">
        <f>+'[1]Test order'!K183</f>
        <v>0</v>
      </c>
      <c r="L183" s="33" t="str">
        <f t="shared" si="25"/>
        <v>2050</v>
      </c>
      <c r="M183" s="33" t="str">
        <f t="shared" si="26"/>
        <v>EMPTY</v>
      </c>
      <c r="N183" s="33" t="str">
        <f t="shared" si="27"/>
        <v xml:space="preserve">RIGID TRUCK </v>
      </c>
      <c r="O183" s="33" t="str">
        <f t="shared" si="28"/>
        <v>Electricity km/kWh</v>
      </c>
      <c r="P183" s="41">
        <f>+'BEV L1'!$F$71</f>
        <v>177000</v>
      </c>
      <c r="Q183" s="41">
        <f t="shared" si="29"/>
        <v>97000</v>
      </c>
      <c r="R183" s="41">
        <f>+'BEV L1'!$F$73</f>
        <v>50000</v>
      </c>
      <c r="S183" s="41">
        <f>+'BEV L1'!$F$72</f>
        <v>30000</v>
      </c>
      <c r="T183" s="37">
        <f>'[1]Test order'!M183</f>
        <v>8736</v>
      </c>
      <c r="U183" s="33">
        <v>0</v>
      </c>
      <c r="V183" s="33">
        <v>0</v>
      </c>
      <c r="W183" s="34" t="e">
        <f t="shared" si="31"/>
        <v>#N/A</v>
      </c>
      <c r="X183" s="34" t="str">
        <f t="shared" si="30"/>
        <v/>
      </c>
      <c r="Y183" s="42"/>
      <c r="Z183" s="34"/>
    </row>
    <row r="184" spans="1:26" x14ac:dyDescent="0.3">
      <c r="A184" s="33" t="str">
        <f>+'[1]Test order'!A184</f>
        <v>2050 RIGID TRUCK - EMPTY</v>
      </c>
      <c r="B184" s="33" t="str">
        <f>+'[1]Test order'!B184</f>
        <v>LONG HAUL</v>
      </c>
      <c r="C184" s="33" t="str">
        <f>+'[1]Test order'!C184</f>
        <v>2050 Electric 800 kW</v>
      </c>
      <c r="D184" s="33" t="str">
        <f>+'[1]Test order'!D184</f>
        <v>Electricity</v>
      </c>
      <c r="E184" s="34">
        <f>+'[1]Test order'!E184</f>
        <v>2.2653506688971867</v>
      </c>
      <c r="F184" s="34">
        <f>+'[1]Test order'!F184</f>
        <v>1.7253945469856262</v>
      </c>
      <c r="G184" s="38">
        <f>+'[1]Test order'!G184</f>
        <v>0.76164567838213726</v>
      </c>
      <c r="H184" s="39">
        <f>+'[1]Test order'!H184</f>
        <v>1.5891579389572144</v>
      </c>
      <c r="I184" s="33" t="str">
        <f>+'[1]Test order'!I184</f>
        <v>km/kWh</v>
      </c>
      <c r="J184" s="33" t="str">
        <f>+'[1]Test order'!J184</f>
        <v>Electricity 2050 RIGID TRUCK - EMPTY 2050 Electric 800 kW LONG HAUL 8736 kg 62.9 kWh /100km 76%</v>
      </c>
      <c r="K184" s="33">
        <f>+'[1]Test order'!K184</f>
        <v>0</v>
      </c>
      <c r="L184" s="33" t="str">
        <f t="shared" si="25"/>
        <v>2050</v>
      </c>
      <c r="M184" s="33" t="str">
        <f t="shared" si="26"/>
        <v>EMPTY</v>
      </c>
      <c r="N184" s="33" t="str">
        <f t="shared" si="27"/>
        <v xml:space="preserve">RIGID TRUCK </v>
      </c>
      <c r="O184" s="33" t="str">
        <f t="shared" si="28"/>
        <v>Electricity km/kWh</v>
      </c>
      <c r="P184" s="41">
        <f>+'BEV L1'!$F$71</f>
        <v>177000</v>
      </c>
      <c r="Q184" s="41">
        <f t="shared" si="29"/>
        <v>97000</v>
      </c>
      <c r="R184" s="41">
        <f>+'BEV L1'!$F$73</f>
        <v>50000</v>
      </c>
      <c r="S184" s="41">
        <f>+'BEV L1'!$F$72</f>
        <v>30000</v>
      </c>
      <c r="T184" s="37">
        <f>'[1]Test order'!M184</f>
        <v>8736</v>
      </c>
      <c r="U184" s="33">
        <v>0</v>
      </c>
      <c r="V184" s="33">
        <v>0</v>
      </c>
      <c r="W184" s="34" t="e">
        <f t="shared" si="31"/>
        <v>#N/A</v>
      </c>
      <c r="X184" s="34" t="str">
        <f t="shared" si="30"/>
        <v/>
      </c>
      <c r="Y184" s="42"/>
      <c r="Z184" s="34"/>
    </row>
    <row r="185" spans="1:26" x14ac:dyDescent="0.3">
      <c r="A185" s="33" t="str">
        <f>+'[1]Test order'!A185</f>
        <v>2050 RIGID TRUCK - TYPICAL</v>
      </c>
      <c r="B185" s="33" t="str">
        <f>+'[1]Test order'!B185</f>
        <v>URBAN DELIVERY</v>
      </c>
      <c r="C185" s="33" t="str">
        <f>+'[1]Test order'!C185</f>
        <v>2050 Electric 800 kW</v>
      </c>
      <c r="D185" s="33" t="str">
        <f>+'[1]Test order'!D185</f>
        <v>Electricity</v>
      </c>
      <c r="E185" s="34">
        <f>+'[1]Test order'!E185</f>
        <v>2.2113310051582857</v>
      </c>
      <c r="F185" s="34">
        <f>+'[1]Test order'!F185</f>
        <v>1.1880769729614258</v>
      </c>
      <c r="G185" s="38">
        <f>+'[1]Test order'!G185</f>
        <v>0.53726781300042592</v>
      </c>
      <c r="H185" s="39">
        <f>+'[1]Test order'!H185</f>
        <v>1.6279788017272949</v>
      </c>
      <c r="I185" s="33" t="str">
        <f>+'[1]Test order'!I185</f>
        <v>km/kWh</v>
      </c>
      <c r="J185" s="33" t="str">
        <f>+'[1]Test order'!J185</f>
        <v>Electricity 2050 RIGID TRUCK - TYPICAL 2050 Electric 800 kW URBAN DELIVERY 17269.952 kg 61.4 kWh /100km 54%</v>
      </c>
      <c r="K185" s="33">
        <f>+'[1]Test order'!K185</f>
        <v>0</v>
      </c>
      <c r="L185" s="33" t="str">
        <f t="shared" si="25"/>
        <v>2050</v>
      </c>
      <c r="M185" s="33" t="str">
        <f t="shared" si="26"/>
        <v>TYPICAL</v>
      </c>
      <c r="N185" s="33" t="str">
        <f t="shared" si="27"/>
        <v xml:space="preserve">RIGID TRUCK </v>
      </c>
      <c r="O185" s="33" t="str">
        <f t="shared" si="28"/>
        <v>Electricity km/kWh</v>
      </c>
      <c r="P185" s="41">
        <f>+'BEV L1'!$F$71</f>
        <v>177000</v>
      </c>
      <c r="Q185" s="41">
        <f t="shared" si="29"/>
        <v>97000</v>
      </c>
      <c r="R185" s="41">
        <f>+'BEV L1'!$F$73</f>
        <v>50000</v>
      </c>
      <c r="S185" s="41">
        <f>+'BEV L1'!$F$72</f>
        <v>30000</v>
      </c>
      <c r="T185" s="37">
        <f>'[1]Test order'!M185</f>
        <v>17269.951999999997</v>
      </c>
      <c r="U185" s="37">
        <f>+'BEV L1'!$F$7</f>
        <v>8533.9519999999993</v>
      </c>
      <c r="V185" s="33">
        <v>0</v>
      </c>
      <c r="W185" s="34">
        <f t="shared" si="31"/>
        <v>0.25912156585346224</v>
      </c>
      <c r="X185" s="34" t="str">
        <f t="shared" si="30"/>
        <v/>
      </c>
      <c r="Y185" s="42"/>
      <c r="Z185" s="34"/>
    </row>
    <row r="186" spans="1:26" x14ac:dyDescent="0.3">
      <c r="A186" s="33" t="str">
        <f>+'[1]Test order'!A186</f>
        <v>2050 RIGID TRUCK - TYPICAL</v>
      </c>
      <c r="B186" s="33" t="str">
        <f>+'[1]Test order'!B186</f>
        <v>REGIONAL DELIVERY</v>
      </c>
      <c r="C186" s="33" t="str">
        <f>+'[1]Test order'!C186</f>
        <v>2050 Electric 800 kW</v>
      </c>
      <c r="D186" s="33" t="str">
        <f>+'[1]Test order'!D186</f>
        <v>Electricity</v>
      </c>
      <c r="E186" s="34">
        <f>+'[1]Test order'!E186</f>
        <v>2.5420957200112735</v>
      </c>
      <c r="F186" s="34">
        <f>+'[1]Test order'!F186</f>
        <v>1.7187904715538025</v>
      </c>
      <c r="G186" s="38">
        <f>+'[1]Test order'!G186</f>
        <v>0.67613129514500747</v>
      </c>
      <c r="H186" s="39">
        <f>+'[1]Test order'!H186</f>
        <v>1.4161543846130371</v>
      </c>
      <c r="I186" s="33" t="str">
        <f>+'[1]Test order'!I186</f>
        <v>km/kWh</v>
      </c>
      <c r="J186" s="33" t="str">
        <f>+'[1]Test order'!J186</f>
        <v>Electricity 2050 RIGID TRUCK - TYPICAL 2050 Electric 800 kW REGIONAL DELIVERY 17269.952 kg 70.6 kWh /100km 68%</v>
      </c>
      <c r="K186" s="33">
        <f>+'[1]Test order'!K186</f>
        <v>0</v>
      </c>
      <c r="L186" s="33" t="str">
        <f t="shared" si="25"/>
        <v>2050</v>
      </c>
      <c r="M186" s="33" t="str">
        <f t="shared" si="26"/>
        <v>TYPICAL</v>
      </c>
      <c r="N186" s="33" t="str">
        <f t="shared" si="27"/>
        <v xml:space="preserve">RIGID TRUCK </v>
      </c>
      <c r="O186" s="33" t="str">
        <f t="shared" si="28"/>
        <v>Electricity km/kWh</v>
      </c>
      <c r="P186" s="41">
        <f>+'BEV L1'!$F$71</f>
        <v>177000</v>
      </c>
      <c r="Q186" s="41">
        <f t="shared" si="29"/>
        <v>97000</v>
      </c>
      <c r="R186" s="41">
        <f>+'BEV L1'!$F$73</f>
        <v>50000</v>
      </c>
      <c r="S186" s="41">
        <f>+'BEV L1'!$F$72</f>
        <v>30000</v>
      </c>
      <c r="T186" s="37">
        <f>'[1]Test order'!M186</f>
        <v>17269.951999999997</v>
      </c>
      <c r="U186" s="37">
        <f>+'BEV L1'!$F$7</f>
        <v>8533.9519999999993</v>
      </c>
      <c r="V186" s="33">
        <v>0</v>
      </c>
      <c r="W186" s="34">
        <f t="shared" si="31"/>
        <v>0.29788024587099549</v>
      </c>
      <c r="X186" s="34" t="str">
        <f t="shared" si="30"/>
        <v/>
      </c>
      <c r="Y186" s="42"/>
      <c r="Z186" s="34"/>
    </row>
    <row r="187" spans="1:26" x14ac:dyDescent="0.3">
      <c r="A187" s="33" t="str">
        <f>+'[1]Test order'!A187</f>
        <v>2050 RIGID TRUCK - TYPICAL</v>
      </c>
      <c r="B187" s="33" t="str">
        <f>+'[1]Test order'!B187</f>
        <v>LONG HAUL</v>
      </c>
      <c r="C187" s="33" t="str">
        <f>+'[1]Test order'!C187</f>
        <v>2050 Electric 800 kW</v>
      </c>
      <c r="D187" s="33" t="str">
        <f>+'[1]Test order'!D187</f>
        <v>Electricity</v>
      </c>
      <c r="E187" s="34">
        <f>+'[1]Test order'!E187</f>
        <v>2.6681462239033089</v>
      </c>
      <c r="F187" s="34">
        <f>+'[1]Test order'!F187</f>
        <v>2.0602776408195496</v>
      </c>
      <c r="G187" s="38">
        <f>+'[1]Test order'!G187</f>
        <v>0.77217568601075748</v>
      </c>
      <c r="H187" s="39">
        <f>+'[1]Test order'!H187</f>
        <v>1.349251389503479</v>
      </c>
      <c r="I187" s="33" t="str">
        <f>+'[1]Test order'!I187</f>
        <v>km/kWh</v>
      </c>
      <c r="J187" s="33" t="str">
        <f>+'[1]Test order'!J187</f>
        <v>Electricity 2050 RIGID TRUCK - TYPICAL 2050 Electric 800 kW LONG HAUL 17269.952 kg 74.1 kWh /100km 77%</v>
      </c>
      <c r="K187" s="33">
        <f>+'[1]Test order'!K187</f>
        <v>0</v>
      </c>
      <c r="L187" s="33" t="str">
        <f t="shared" si="25"/>
        <v>2050</v>
      </c>
      <c r="M187" s="33" t="str">
        <f t="shared" si="26"/>
        <v>TYPICAL</v>
      </c>
      <c r="N187" s="33" t="str">
        <f t="shared" si="27"/>
        <v xml:space="preserve">RIGID TRUCK </v>
      </c>
      <c r="O187" s="33" t="str">
        <f t="shared" si="28"/>
        <v>Electricity km/kWh</v>
      </c>
      <c r="P187" s="41">
        <f>+'BEV L1'!$F$71</f>
        <v>177000</v>
      </c>
      <c r="Q187" s="41">
        <f t="shared" si="29"/>
        <v>97000</v>
      </c>
      <c r="R187" s="41">
        <f>+'BEV L1'!$F$73</f>
        <v>50000</v>
      </c>
      <c r="S187" s="41">
        <f>+'BEV L1'!$F$72</f>
        <v>30000</v>
      </c>
      <c r="T187" s="37">
        <f>'[1]Test order'!M187</f>
        <v>17269.951999999997</v>
      </c>
      <c r="U187" s="37">
        <f>+'BEV L1'!$F$7</f>
        <v>8533.9519999999993</v>
      </c>
      <c r="V187" s="33">
        <v>0</v>
      </c>
      <c r="W187" s="34">
        <f t="shared" si="31"/>
        <v>0.31265071843658238</v>
      </c>
      <c r="X187" s="34" t="str">
        <f t="shared" si="30"/>
        <v/>
      </c>
      <c r="Y187" s="42"/>
      <c r="Z187" s="34"/>
    </row>
    <row r="188" spans="1:26" x14ac:dyDescent="0.3">
      <c r="A188" s="33" t="str">
        <f>+'[1]Test order'!A188</f>
        <v>2050 RIGID TRUCK - FULL</v>
      </c>
      <c r="B188" s="33" t="str">
        <f>+'[1]Test order'!B188</f>
        <v>URBAN DELIVERY</v>
      </c>
      <c r="C188" s="33" t="str">
        <f>+'[1]Test order'!C188</f>
        <v>2050 Electric 800 kW</v>
      </c>
      <c r="D188" s="33" t="str">
        <f>+'[1]Test order'!D188</f>
        <v>Electricity</v>
      </c>
      <c r="E188" s="34">
        <f>+'[1]Test order'!E188</f>
        <v>3.1030239261430914</v>
      </c>
      <c r="F188" s="34">
        <f>+'[1]Test order'!F188</f>
        <v>1.6090804934501648</v>
      </c>
      <c r="G188" s="38">
        <f>+'[1]Test order'!G188</f>
        <v>0.51855239654892826</v>
      </c>
      <c r="H188" s="39">
        <f>+'[1]Test order'!H188</f>
        <v>1.160158634185791</v>
      </c>
      <c r="I188" s="33" t="str">
        <f>+'[1]Test order'!I188</f>
        <v>km/kWh</v>
      </c>
      <c r="J188" s="33" t="str">
        <f>+'[1]Test order'!J188</f>
        <v>Electricity 2050 RIGID TRUCK - FULL 2050 Electric 800 kW URBAN DELIVERY 28000 kg 86.2 kWh /100km 52%</v>
      </c>
      <c r="K188" s="33">
        <f>+'[1]Test order'!K188</f>
        <v>0</v>
      </c>
      <c r="L188" s="33" t="str">
        <f t="shared" si="25"/>
        <v>2050</v>
      </c>
      <c r="M188" s="33" t="str">
        <f t="shared" si="26"/>
        <v>FULL</v>
      </c>
      <c r="N188" s="33" t="str">
        <f t="shared" si="27"/>
        <v xml:space="preserve">RIGID TRUCK </v>
      </c>
      <c r="O188" s="33" t="str">
        <f t="shared" si="28"/>
        <v>Electricity km/kWh</v>
      </c>
      <c r="P188" s="41">
        <f>+'BEV L1'!$F$71</f>
        <v>177000</v>
      </c>
      <c r="Q188" s="41">
        <f t="shared" si="29"/>
        <v>97000</v>
      </c>
      <c r="R188" s="41">
        <f>+'BEV L1'!$F$73</f>
        <v>50000</v>
      </c>
      <c r="S188" s="41">
        <f>+'BEV L1'!$F$72</f>
        <v>30000</v>
      </c>
      <c r="T188" s="37">
        <f>'[1]Test order'!M188</f>
        <v>28000</v>
      </c>
      <c r="U188" s="37">
        <f>+'BEV L1'!$F$4</f>
        <v>19264</v>
      </c>
      <c r="V188" s="33">
        <v>0</v>
      </c>
      <c r="W188" s="34">
        <f t="shared" si="31"/>
        <v>0.16107889982055085</v>
      </c>
      <c r="X188" s="34" t="str">
        <f t="shared" si="30"/>
        <v/>
      </c>
      <c r="Y188" s="42"/>
      <c r="Z188" s="34"/>
    </row>
    <row r="189" spans="1:26" x14ac:dyDescent="0.3">
      <c r="A189" s="33" t="str">
        <f>+'[1]Test order'!A189</f>
        <v>2050 RIGID TRUCK - FULL</v>
      </c>
      <c r="B189" s="33" t="str">
        <f>+'[1]Test order'!B189</f>
        <v>REGIONAL DELIVERY</v>
      </c>
      <c r="C189" s="33" t="str">
        <f>+'[1]Test order'!C189</f>
        <v>2050 Electric 800 kW</v>
      </c>
      <c r="D189" s="33" t="str">
        <f>+'[1]Test order'!D189</f>
        <v>Electricity</v>
      </c>
      <c r="E189" s="34">
        <f>+'[1]Test order'!E189</f>
        <v>3.3099338166436936</v>
      </c>
      <c r="F189" s="34">
        <f>+'[1]Test order'!F189</f>
        <v>2.1398395299911499</v>
      </c>
      <c r="G189" s="38">
        <f>+'[1]Test order'!G189</f>
        <v>0.64649012594486521</v>
      </c>
      <c r="H189" s="39">
        <f>+'[1]Test order'!H189</f>
        <v>1.0876350402832031</v>
      </c>
      <c r="I189" s="33" t="str">
        <f>+'[1]Test order'!I189</f>
        <v>km/kWh</v>
      </c>
      <c r="J189" s="33" t="str">
        <f>+'[1]Test order'!J189</f>
        <v>Electricity 2050 RIGID TRUCK - FULL 2050 Electric 800 kW REGIONAL DELIVERY 28000 kg 91.9 kWh /100km 65%</v>
      </c>
      <c r="K189" s="33">
        <f>+'[1]Test order'!K189</f>
        <v>0</v>
      </c>
      <c r="L189" s="33" t="str">
        <f t="shared" si="25"/>
        <v>2050</v>
      </c>
      <c r="M189" s="33" t="str">
        <f t="shared" si="26"/>
        <v>FULL</v>
      </c>
      <c r="N189" s="33" t="str">
        <f t="shared" si="27"/>
        <v xml:space="preserve">RIGID TRUCK </v>
      </c>
      <c r="O189" s="33" t="str">
        <f t="shared" si="28"/>
        <v>Electricity km/kWh</v>
      </c>
      <c r="P189" s="41">
        <f>+'BEV L1'!$F$71</f>
        <v>177000</v>
      </c>
      <c r="Q189" s="41">
        <f t="shared" si="29"/>
        <v>97000</v>
      </c>
      <c r="R189" s="41">
        <f>+'BEV L1'!$F$73</f>
        <v>50000</v>
      </c>
      <c r="S189" s="41">
        <f>+'BEV L1'!$F$72</f>
        <v>30000</v>
      </c>
      <c r="T189" s="37">
        <f>'[1]Test order'!M189</f>
        <v>28000</v>
      </c>
      <c r="U189" s="37">
        <f>+'BEV L1'!$F$4</f>
        <v>19264</v>
      </c>
      <c r="V189" s="33">
        <v>0</v>
      </c>
      <c r="W189" s="34">
        <f t="shared" si="31"/>
        <v>0.17181965410318178</v>
      </c>
      <c r="X189" s="34" t="str">
        <f t="shared" si="30"/>
        <v/>
      </c>
      <c r="Y189" s="42"/>
      <c r="Z189" s="34"/>
    </row>
    <row r="190" spans="1:26" x14ac:dyDescent="0.3">
      <c r="A190" s="33" t="str">
        <f>+'[1]Test order'!A190</f>
        <v>2050 RIGID TRUCK - FULL</v>
      </c>
      <c r="B190" s="33" t="str">
        <f>+'[1]Test order'!B190</f>
        <v>LONG HAUL</v>
      </c>
      <c r="C190" s="33" t="str">
        <f>+'[1]Test order'!C190</f>
        <v>2050 Electric 800 kW</v>
      </c>
      <c r="D190" s="33" t="str">
        <f>+'[1]Test order'!D190</f>
        <v>Electricity</v>
      </c>
      <c r="E190" s="34">
        <f>+'[1]Test order'!E190</f>
        <v>3.2126877756541177</v>
      </c>
      <c r="F190" s="34">
        <f>+'[1]Test order'!F190</f>
        <v>2.4813201427459717</v>
      </c>
      <c r="G190" s="38">
        <f>+'[1]Test order'!G190</f>
        <v>0.77235023009379233</v>
      </c>
      <c r="H190" s="39">
        <f>+'[1]Test order'!H190</f>
        <v>1.1205570697784424</v>
      </c>
      <c r="I190" s="33" t="str">
        <f>+'[1]Test order'!I190</f>
        <v>km/kWh</v>
      </c>
      <c r="J190" s="33" t="str">
        <f>+'[1]Test order'!J190</f>
        <v>Electricity 2050 RIGID TRUCK - FULL 2050 Electric 800 kW LONG HAUL 28000 kg 89.2 kWh /100km 77%</v>
      </c>
      <c r="K190" s="33">
        <f>+'[1]Test order'!K190</f>
        <v>0</v>
      </c>
      <c r="L190" s="33" t="str">
        <f t="shared" si="25"/>
        <v>2050</v>
      </c>
      <c r="M190" s="33" t="str">
        <f t="shared" si="26"/>
        <v>FULL</v>
      </c>
      <c r="N190" s="33" t="str">
        <f t="shared" si="27"/>
        <v xml:space="preserve">RIGID TRUCK </v>
      </c>
      <c r="O190" s="33" t="str">
        <f t="shared" si="28"/>
        <v>Electricity km/kWh</v>
      </c>
      <c r="P190" s="41">
        <f>+'BEV L1'!$F$71</f>
        <v>177000</v>
      </c>
      <c r="Q190" s="41">
        <f t="shared" si="29"/>
        <v>97000</v>
      </c>
      <c r="R190" s="41">
        <f>+'BEV L1'!$F$73</f>
        <v>50000</v>
      </c>
      <c r="S190" s="41">
        <f>+'BEV L1'!$F$72</f>
        <v>30000</v>
      </c>
      <c r="T190" s="37">
        <f>'[1]Test order'!M190</f>
        <v>28000</v>
      </c>
      <c r="U190" s="37">
        <f>+'BEV L1'!$F$4</f>
        <v>19264</v>
      </c>
      <c r="V190" s="33">
        <v>0</v>
      </c>
      <c r="W190" s="34">
        <f t="shared" si="31"/>
        <v>0.16677158303852355</v>
      </c>
      <c r="X190" s="34" t="str">
        <f t="shared" si="30"/>
        <v/>
      </c>
      <c r="Y190" s="42"/>
      <c r="Z190" s="34"/>
    </row>
    <row r="191" spans="1:26" x14ac:dyDescent="0.3">
      <c r="A191" s="33" t="str">
        <f>+'[1]Test order'!A191</f>
        <v>2050 TRUCK WITH TRAILER - EMPTY</v>
      </c>
      <c r="B191" s="33" t="str">
        <f>+'[1]Test order'!B191</f>
        <v>URBAN DELIVERY</v>
      </c>
      <c r="C191" s="33" t="str">
        <f>+'[1]Test order'!C191</f>
        <v>2050 Electric 800 kW</v>
      </c>
      <c r="D191" s="33" t="str">
        <f>+'[1]Test order'!D191</f>
        <v>Electricity</v>
      </c>
      <c r="E191" s="34">
        <f>+'[1]Test order'!E191</f>
        <v>1.9686411560039339</v>
      </c>
      <c r="F191" s="34">
        <f>+'[1]Test order'!F191</f>
        <v>1.1247583627700806</v>
      </c>
      <c r="G191" s="38">
        <f>+'[1]Test order'!G191</f>
        <v>0.57133742192669723</v>
      </c>
      <c r="H191" s="39">
        <f>+'[1]Test order'!H191</f>
        <v>1.8286725282669067</v>
      </c>
      <c r="I191" s="33" t="str">
        <f>+'[1]Test order'!I191</f>
        <v>km/kWh</v>
      </c>
      <c r="J191" s="33" t="str">
        <f>+'[1]Test order'!J191</f>
        <v>Electricity 2050 TRUCK WITH TRAILER - EMPTY 2050 Electric 800 kW URBAN DELIVERY 12765.26102271 kg 54.7 kWh /100km 57%</v>
      </c>
      <c r="K191" s="33">
        <f>+'[1]Test order'!K191</f>
        <v>0</v>
      </c>
      <c r="L191" s="33" t="str">
        <f t="shared" si="25"/>
        <v>2050</v>
      </c>
      <c r="M191" s="33" t="str">
        <f t="shared" si="26"/>
        <v>EMPTY</v>
      </c>
      <c r="N191" s="33" t="str">
        <f t="shared" si="27"/>
        <v xml:space="preserve">TRUCK WITH TRAILER </v>
      </c>
      <c r="O191" s="33" t="str">
        <f t="shared" si="28"/>
        <v>Electricity km/kWh</v>
      </c>
      <c r="P191" s="41">
        <f>+'BEV L2'!$F$71</f>
        <v>188464.74734042553</v>
      </c>
      <c r="Q191" s="41">
        <f t="shared" si="29"/>
        <v>23464.747340425529</v>
      </c>
      <c r="R191" s="41">
        <f>+'BEV L2'!$F$73</f>
        <v>120000</v>
      </c>
      <c r="S191" s="41">
        <f>+'BEV L2'!$F$72</f>
        <v>45000</v>
      </c>
      <c r="T191" s="37">
        <f>'[1]Test order'!M191</f>
        <v>12765.261022709999</v>
      </c>
      <c r="U191" s="33">
        <v>0</v>
      </c>
      <c r="V191" s="33">
        <v>0</v>
      </c>
      <c r="W191" s="34" t="e">
        <f t="shared" si="31"/>
        <v>#N/A</v>
      </c>
      <c r="X191" s="34" t="str">
        <f t="shared" si="30"/>
        <v/>
      </c>
      <c r="Y191" s="42"/>
      <c r="Z191" s="34"/>
    </row>
    <row r="192" spans="1:26" x14ac:dyDescent="0.3">
      <c r="A192" s="33" t="str">
        <f>+'[1]Test order'!A192</f>
        <v>2050 TRUCK WITH TRAILER - EMPTY</v>
      </c>
      <c r="B192" s="33" t="str">
        <f>+'[1]Test order'!B192</f>
        <v>REGIONAL DELIVERY</v>
      </c>
      <c r="C192" s="33" t="str">
        <f>+'[1]Test order'!C192</f>
        <v>2050 Electric 800 kW</v>
      </c>
      <c r="D192" s="33" t="str">
        <f>+'[1]Test order'!D192</f>
        <v>Electricity</v>
      </c>
      <c r="E192" s="34">
        <f>+'[1]Test order'!E192</f>
        <v>2.5007965386492002</v>
      </c>
      <c r="F192" s="34">
        <f>+'[1]Test order'!F192</f>
        <v>1.7733700275421143</v>
      </c>
      <c r="G192" s="38">
        <f>+'[1]Test order'!G192</f>
        <v>0.70912207376134495</v>
      </c>
      <c r="H192" s="39">
        <f>+'[1]Test order'!H192</f>
        <v>1.4395413398742676</v>
      </c>
      <c r="I192" s="33" t="str">
        <f>+'[1]Test order'!I192</f>
        <v>km/kWh</v>
      </c>
      <c r="J192" s="33" t="str">
        <f>+'[1]Test order'!J192</f>
        <v>Electricity 2050 TRUCK WITH TRAILER - EMPTY 2050 Electric 800 kW REGIONAL DELIVERY 12765.26102271 kg 69.5 kWh /100km 71%</v>
      </c>
      <c r="K192" s="33">
        <f>+'[1]Test order'!K192</f>
        <v>0</v>
      </c>
      <c r="L192" s="33" t="str">
        <f t="shared" si="25"/>
        <v>2050</v>
      </c>
      <c r="M192" s="33" t="str">
        <f t="shared" si="26"/>
        <v>EMPTY</v>
      </c>
      <c r="N192" s="33" t="str">
        <f t="shared" si="27"/>
        <v xml:space="preserve">TRUCK WITH TRAILER </v>
      </c>
      <c r="O192" s="33" t="str">
        <f t="shared" si="28"/>
        <v>Electricity km/kWh</v>
      </c>
      <c r="P192" s="41">
        <f>+'BEV L2'!$F$71</f>
        <v>188464.74734042553</v>
      </c>
      <c r="Q192" s="41">
        <f t="shared" si="29"/>
        <v>23464.747340425529</v>
      </c>
      <c r="R192" s="41">
        <f>+'BEV L2'!$F$73</f>
        <v>120000</v>
      </c>
      <c r="S192" s="41">
        <f>+'BEV L2'!$F$72</f>
        <v>45000</v>
      </c>
      <c r="T192" s="37">
        <f>'[1]Test order'!M192</f>
        <v>12765.261022709999</v>
      </c>
      <c r="U192" s="33">
        <v>0</v>
      </c>
      <c r="V192" s="33">
        <v>0</v>
      </c>
      <c r="W192" s="34" t="e">
        <f t="shared" si="31"/>
        <v>#N/A</v>
      </c>
      <c r="X192" s="34" t="str">
        <f t="shared" si="30"/>
        <v/>
      </c>
      <c r="Y192" s="42"/>
      <c r="Z192" s="34"/>
    </row>
    <row r="193" spans="1:26" x14ac:dyDescent="0.3">
      <c r="A193" s="33" t="str">
        <f>+'[1]Test order'!A193</f>
        <v>2050 TRUCK WITH TRAILER - EMPTY</v>
      </c>
      <c r="B193" s="33" t="str">
        <f>+'[1]Test order'!B193</f>
        <v>LONG HAUL</v>
      </c>
      <c r="C193" s="33" t="str">
        <f>+'[1]Test order'!C193</f>
        <v>2050 Electric 800 kW</v>
      </c>
      <c r="D193" s="33" t="str">
        <f>+'[1]Test order'!D193</f>
        <v>Electricity</v>
      </c>
      <c r="E193" s="34">
        <f>+'[1]Test order'!E193</f>
        <v>2.8081200160012409</v>
      </c>
      <c r="F193" s="34">
        <f>+'[1]Test order'!F193</f>
        <v>2.1907400488853455</v>
      </c>
      <c r="G193" s="38">
        <f>+'[1]Test order'!G193</f>
        <v>0.78014473612312207</v>
      </c>
      <c r="H193" s="39">
        <f>+'[1]Test order'!H193</f>
        <v>1.281996488571167</v>
      </c>
      <c r="I193" s="33" t="str">
        <f>+'[1]Test order'!I193</f>
        <v>km/kWh</v>
      </c>
      <c r="J193" s="33" t="str">
        <f>+'[1]Test order'!J193</f>
        <v>Electricity 2050 TRUCK WITH TRAILER - EMPTY 2050 Electric 800 kW LONG HAUL 12765.26102271 kg 78.0 kWh /100km 78%</v>
      </c>
      <c r="K193" s="33">
        <f>+'[1]Test order'!K193</f>
        <v>0</v>
      </c>
      <c r="L193" s="33" t="str">
        <f t="shared" si="25"/>
        <v>2050</v>
      </c>
      <c r="M193" s="33" t="str">
        <f t="shared" si="26"/>
        <v>EMPTY</v>
      </c>
      <c r="N193" s="33" t="str">
        <f t="shared" si="27"/>
        <v xml:space="preserve">TRUCK WITH TRAILER </v>
      </c>
      <c r="O193" s="33" t="str">
        <f t="shared" si="28"/>
        <v>Electricity km/kWh</v>
      </c>
      <c r="P193" s="41">
        <f>+'BEV L2'!$F$71</f>
        <v>188464.74734042553</v>
      </c>
      <c r="Q193" s="41">
        <f t="shared" si="29"/>
        <v>23464.747340425529</v>
      </c>
      <c r="R193" s="41">
        <f>+'BEV L2'!$F$73</f>
        <v>120000</v>
      </c>
      <c r="S193" s="41">
        <f>+'BEV L2'!$F$72</f>
        <v>45000</v>
      </c>
      <c r="T193" s="37">
        <f>'[1]Test order'!M193</f>
        <v>12765.261022709999</v>
      </c>
      <c r="U193" s="33">
        <v>0</v>
      </c>
      <c r="V193" s="33">
        <v>0</v>
      </c>
      <c r="W193" s="34" t="e">
        <f t="shared" si="31"/>
        <v>#N/A</v>
      </c>
      <c r="X193" s="34" t="str">
        <f t="shared" si="30"/>
        <v/>
      </c>
      <c r="Y193" s="42"/>
      <c r="Z193" s="34"/>
    </row>
    <row r="194" spans="1:26" x14ac:dyDescent="0.3">
      <c r="A194" s="33" t="str">
        <f>+'[1]Test order'!A194</f>
        <v>2050 TRUCK WITH TRAILER - TYPICAL</v>
      </c>
      <c r="B194" s="33" t="str">
        <f>+'[1]Test order'!B194</f>
        <v>URBAN DELIVERY</v>
      </c>
      <c r="C194" s="33" t="str">
        <f>+'[1]Test order'!C194</f>
        <v>2050 Electric 800 kW</v>
      </c>
      <c r="D194" s="33" t="str">
        <f>+'[1]Test order'!D194</f>
        <v>Electricity</v>
      </c>
      <c r="E194" s="34">
        <f>+'[1]Test order'!E194</f>
        <v>4.2995993977511766</v>
      </c>
      <c r="F194" s="34">
        <f>+'[1]Test order'!F194</f>
        <v>2.2158222794532776</v>
      </c>
      <c r="G194" s="38">
        <f>+'[1]Test order'!G194</f>
        <v>0.5153555190774799</v>
      </c>
      <c r="H194" s="39">
        <f>+'[1]Test order'!H194</f>
        <v>0.8372873067855835</v>
      </c>
      <c r="I194" s="33" t="str">
        <f>+'[1]Test order'!I194</f>
        <v>km/kWh</v>
      </c>
      <c r="J194" s="33" t="str">
        <f>+'[1]Test order'!J194</f>
        <v>Electricity 2050 TRUCK WITH TRAILER - TYPICAL 2050 Electric 800 kW URBAN DELIVERY 40582.8885448788 kg 119.4 kWh /100km 52%</v>
      </c>
      <c r="K194" s="33">
        <f>+'[1]Test order'!K194</f>
        <v>0</v>
      </c>
      <c r="L194" s="33" t="str">
        <f t="shared" ref="L194:L257" si="38">LEFT(A194,4)</f>
        <v>2050</v>
      </c>
      <c r="M194" s="33" t="str">
        <f t="shared" ref="M194:M257" si="39">RIGHT(A194,LEN(A194)-FIND("-",A194)-1)</f>
        <v>TYPICAL</v>
      </c>
      <c r="N194" s="33" t="str">
        <f t="shared" ref="N194:N257" si="40">MID(LEFT(A194,FIND("-",A194)-1),6,20)</f>
        <v xml:space="preserve">TRUCK WITH TRAILER </v>
      </c>
      <c r="O194" s="33" t="str">
        <f t="shared" ref="O194:O257" si="41">_xlfn.TEXTJOIN(" ",FALSE,D194,I194)</f>
        <v>Electricity km/kWh</v>
      </c>
      <c r="P194" s="41">
        <f>+'BEV L2'!$F$71</f>
        <v>188464.74734042553</v>
      </c>
      <c r="Q194" s="41">
        <f t="shared" ref="Q194:Q257" si="42">+P194-R194-S194</f>
        <v>23464.747340425529</v>
      </c>
      <c r="R194" s="41">
        <f>+'BEV L2'!$F$73</f>
        <v>120000</v>
      </c>
      <c r="S194" s="41">
        <f>+'BEV L2'!$F$72</f>
        <v>45000</v>
      </c>
      <c r="T194" s="37">
        <f>'[1]Test order'!M194</f>
        <v>40582.88854487885</v>
      </c>
      <c r="U194" s="37">
        <f>+'BEV L2'!$F$7</f>
        <v>27817.627522168848</v>
      </c>
      <c r="V194" s="33">
        <v>0</v>
      </c>
      <c r="W194" s="34">
        <f t="shared" si="31"/>
        <v>0.15456384245294369</v>
      </c>
      <c r="X194" s="34" t="str">
        <f t="shared" ref="X194:X257" si="43">IF(V194&gt;0,E194/V194,"")</f>
        <v/>
      </c>
      <c r="Y194" s="42"/>
      <c r="Z194" s="34"/>
    </row>
    <row r="195" spans="1:26" x14ac:dyDescent="0.3">
      <c r="A195" s="33" t="str">
        <f>+'[1]Test order'!A195</f>
        <v>2050 TRUCK WITH TRAILER - TYPICAL</v>
      </c>
      <c r="B195" s="33" t="str">
        <f>+'[1]Test order'!B195</f>
        <v>REGIONAL DELIVERY</v>
      </c>
      <c r="C195" s="33" t="str">
        <f>+'[1]Test order'!C195</f>
        <v>2050 Electric 800 kW</v>
      </c>
      <c r="D195" s="33" t="str">
        <f>+'[1]Test order'!D195</f>
        <v>Electricity</v>
      </c>
      <c r="E195" s="34">
        <f>+'[1]Test order'!E195</f>
        <v>4.4629421231606372</v>
      </c>
      <c r="F195" s="34">
        <f>+'[1]Test order'!F195</f>
        <v>2.8647351264953613</v>
      </c>
      <c r="G195" s="38">
        <f>+'[1]Test order'!G195</f>
        <v>0.64189385554177159</v>
      </c>
      <c r="H195" s="39">
        <f>+'[1]Test order'!H195</f>
        <v>0.80664277076721191</v>
      </c>
      <c r="I195" s="33" t="str">
        <f>+'[1]Test order'!I195</f>
        <v>km/kWh</v>
      </c>
      <c r="J195" s="33" t="str">
        <f>+'[1]Test order'!J195</f>
        <v>Electricity 2050 TRUCK WITH TRAILER - TYPICAL 2050 Electric 800 kW REGIONAL DELIVERY 40582.8885448788 kg 124.0 kWh /100km 64%</v>
      </c>
      <c r="K195" s="33">
        <f>+'[1]Test order'!K195</f>
        <v>0</v>
      </c>
      <c r="L195" s="33" t="str">
        <f t="shared" si="38"/>
        <v>2050</v>
      </c>
      <c r="M195" s="33" t="str">
        <f t="shared" si="39"/>
        <v>TYPICAL</v>
      </c>
      <c r="N195" s="33" t="str">
        <f t="shared" si="40"/>
        <v xml:space="preserve">TRUCK WITH TRAILER </v>
      </c>
      <c r="O195" s="33" t="str">
        <f t="shared" si="41"/>
        <v>Electricity km/kWh</v>
      </c>
      <c r="P195" s="41">
        <f>+'BEV L2'!$F$71</f>
        <v>188464.74734042553</v>
      </c>
      <c r="Q195" s="41">
        <f t="shared" si="42"/>
        <v>23464.747340425529</v>
      </c>
      <c r="R195" s="41">
        <f>+'BEV L2'!$F$73</f>
        <v>120000</v>
      </c>
      <c r="S195" s="41">
        <f>+'BEV L2'!$F$72</f>
        <v>45000</v>
      </c>
      <c r="T195" s="37">
        <f>'[1]Test order'!M195</f>
        <v>40582.88854487885</v>
      </c>
      <c r="U195" s="37">
        <f>+'BEV L2'!$F$7</f>
        <v>27817.627522168848</v>
      </c>
      <c r="V195" s="33">
        <v>0</v>
      </c>
      <c r="W195" s="34">
        <f t="shared" ref="W195:W258" si="44">IF(U195&gt;0,E195/U195*1000,NA())</f>
        <v>0.16043575677343302</v>
      </c>
      <c r="X195" s="34" t="str">
        <f t="shared" si="43"/>
        <v/>
      </c>
      <c r="Y195" s="42"/>
      <c r="Z195" s="34"/>
    </row>
    <row r="196" spans="1:26" x14ac:dyDescent="0.3">
      <c r="A196" s="33" t="str">
        <f>+'[1]Test order'!A196</f>
        <v>2050 TRUCK WITH TRAILER - TYPICAL</v>
      </c>
      <c r="B196" s="33" t="str">
        <f>+'[1]Test order'!B196</f>
        <v>LONG HAUL</v>
      </c>
      <c r="C196" s="33" t="str">
        <f>+'[1]Test order'!C196</f>
        <v>2050 Electric 800 kW</v>
      </c>
      <c r="D196" s="33" t="str">
        <f>+'[1]Test order'!D196</f>
        <v>Electricity</v>
      </c>
      <c r="E196" s="34">
        <f>+'[1]Test order'!E196</f>
        <v>4.2176592883090116</v>
      </c>
      <c r="F196" s="34">
        <f>+'[1]Test order'!F196</f>
        <v>3.2823300361633301</v>
      </c>
      <c r="G196" s="38">
        <f>+'[1]Test order'!G196</f>
        <v>0.77823499049856071</v>
      </c>
      <c r="H196" s="39">
        <f>+'[1]Test order'!H196</f>
        <v>0.85355401039123535</v>
      </c>
      <c r="I196" s="33" t="str">
        <f>+'[1]Test order'!I196</f>
        <v>km/kWh</v>
      </c>
      <c r="J196" s="33" t="str">
        <f>+'[1]Test order'!J196</f>
        <v>Electricity 2050 TRUCK WITH TRAILER - TYPICAL 2050 Electric 800 kW LONG HAUL 40582.8885448788 kg 117.2 kWh /100km 78%</v>
      </c>
      <c r="K196" s="33">
        <f>+'[1]Test order'!K196</f>
        <v>0</v>
      </c>
      <c r="L196" s="33" t="str">
        <f t="shared" si="38"/>
        <v>2050</v>
      </c>
      <c r="M196" s="33" t="str">
        <f t="shared" si="39"/>
        <v>TYPICAL</v>
      </c>
      <c r="N196" s="33" t="str">
        <f t="shared" si="40"/>
        <v xml:space="preserve">TRUCK WITH TRAILER </v>
      </c>
      <c r="O196" s="33" t="str">
        <f t="shared" si="41"/>
        <v>Electricity km/kWh</v>
      </c>
      <c r="P196" s="41">
        <f>+'BEV L2'!$F$71</f>
        <v>188464.74734042553</v>
      </c>
      <c r="Q196" s="41">
        <f t="shared" si="42"/>
        <v>23464.747340425529</v>
      </c>
      <c r="R196" s="41">
        <f>+'BEV L2'!$F$73</f>
        <v>120000</v>
      </c>
      <c r="S196" s="41">
        <f>+'BEV L2'!$F$72</f>
        <v>45000</v>
      </c>
      <c r="T196" s="37">
        <f>'[1]Test order'!M196</f>
        <v>40582.88854487885</v>
      </c>
      <c r="U196" s="37">
        <f>+'BEV L2'!$F$7</f>
        <v>27817.627522168848</v>
      </c>
      <c r="V196" s="33">
        <v>0</v>
      </c>
      <c r="W196" s="34">
        <f t="shared" si="44"/>
        <v>0.15161822426976598</v>
      </c>
      <c r="X196" s="34" t="str">
        <f t="shared" si="43"/>
        <v/>
      </c>
      <c r="Y196" s="42"/>
      <c r="Z196" s="34"/>
    </row>
    <row r="197" spans="1:26" x14ac:dyDescent="0.3">
      <c r="A197" s="33" t="str">
        <f>+'[1]Test order'!A197</f>
        <v>2050 TRUCK WITH TRAILER - FULL</v>
      </c>
      <c r="B197" s="33" t="str">
        <f>+'[1]Test order'!B197</f>
        <v>URBAN DELIVERY</v>
      </c>
      <c r="C197" s="33" t="str">
        <f>+'[1]Test order'!C197</f>
        <v>2050 Electric 800 kW</v>
      </c>
      <c r="D197" s="33" t="str">
        <f>+'[1]Test order'!D197</f>
        <v>Electricity</v>
      </c>
      <c r="E197" s="34">
        <f>+'[1]Test order'!E197</f>
        <v>6.2778363647948359</v>
      </c>
      <c r="F197" s="34">
        <f>+'[1]Test order'!F197</f>
        <v>3.0488393306732178</v>
      </c>
      <c r="G197" s="38">
        <f>+'[1]Test order'!G197</f>
        <v>0.48565129027106396</v>
      </c>
      <c r="H197" s="39">
        <f>+'[1]Test order'!H197</f>
        <v>0.57344597578048706</v>
      </c>
      <c r="I197" s="33" t="str">
        <f>+'[1]Test order'!I197</f>
        <v>km/kWh</v>
      </c>
      <c r="J197" s="33" t="str">
        <f>+'[1]Test order'!J197</f>
        <v>Electricity 2050 TRUCK WITH TRAILER - FULL 2050 Electric 800 kW URBAN DELIVERY 62000 kg 174.4 kWh /100km 49%</v>
      </c>
      <c r="K197" s="33">
        <f>+'[1]Test order'!K197</f>
        <v>0</v>
      </c>
      <c r="L197" s="33" t="str">
        <f t="shared" si="38"/>
        <v>2050</v>
      </c>
      <c r="M197" s="33" t="str">
        <f t="shared" si="39"/>
        <v>FULL</v>
      </c>
      <c r="N197" s="33" t="str">
        <f t="shared" si="40"/>
        <v xml:space="preserve">TRUCK WITH TRAILER </v>
      </c>
      <c r="O197" s="33" t="str">
        <f t="shared" si="41"/>
        <v>Electricity km/kWh</v>
      </c>
      <c r="P197" s="41">
        <f>+'BEV L2'!$F$71</f>
        <v>188464.74734042553</v>
      </c>
      <c r="Q197" s="41">
        <f t="shared" si="42"/>
        <v>23464.747340425529</v>
      </c>
      <c r="R197" s="41">
        <f>+'BEV L2'!$F$73</f>
        <v>120000</v>
      </c>
      <c r="S197" s="41">
        <f>+'BEV L2'!$F$72</f>
        <v>45000</v>
      </c>
      <c r="T197" s="37">
        <f>'[1]Test order'!M197</f>
        <v>62000</v>
      </c>
      <c r="U197" s="37">
        <f>+'BEV L2'!$F$4</f>
        <v>49234.738977289999</v>
      </c>
      <c r="V197" s="33">
        <v>0</v>
      </c>
      <c r="W197" s="34">
        <f t="shared" si="44"/>
        <v>0.12750826946986657</v>
      </c>
      <c r="X197" s="34" t="str">
        <f t="shared" si="43"/>
        <v/>
      </c>
      <c r="Y197" s="42"/>
      <c r="Z197" s="34"/>
    </row>
    <row r="198" spans="1:26" x14ac:dyDescent="0.3">
      <c r="A198" s="33" t="str">
        <f>+'[1]Test order'!A198</f>
        <v>2050 TRUCK WITH TRAILER - FULL</v>
      </c>
      <c r="B198" s="33" t="str">
        <f>+'[1]Test order'!B198</f>
        <v>REGIONAL DELIVERY</v>
      </c>
      <c r="C198" s="33" t="str">
        <f>+'[1]Test order'!C198</f>
        <v>2050 Electric 800 kW</v>
      </c>
      <c r="D198" s="33" t="str">
        <f>+'[1]Test order'!D198</f>
        <v>Electricity</v>
      </c>
      <c r="E198" s="34">
        <f>+'[1]Test order'!E198</f>
        <v>6.0577906096688388</v>
      </c>
      <c r="F198" s="34">
        <f>+'[1]Test order'!F198</f>
        <v>3.7035121917724609</v>
      </c>
      <c r="G198" s="38">
        <f>+'[1]Test order'!G198</f>
        <v>0.61136352020178542</v>
      </c>
      <c r="H198" s="39">
        <f>+'[1]Test order'!H198</f>
        <v>0.5942760705947876</v>
      </c>
      <c r="I198" s="33" t="str">
        <f>+'[1]Test order'!I198</f>
        <v>km/kWh</v>
      </c>
      <c r="J198" s="33" t="str">
        <f>+'[1]Test order'!J198</f>
        <v>Electricity 2050 TRUCK WITH TRAILER - FULL 2050 Electric 800 kW REGIONAL DELIVERY 62000 kg 168.3 kWh /100km 61%</v>
      </c>
      <c r="K198" s="33">
        <f>+'[1]Test order'!K198</f>
        <v>0</v>
      </c>
      <c r="L198" s="33" t="str">
        <f t="shared" si="38"/>
        <v>2050</v>
      </c>
      <c r="M198" s="33" t="str">
        <f t="shared" si="39"/>
        <v>FULL</v>
      </c>
      <c r="N198" s="33" t="str">
        <f t="shared" si="40"/>
        <v xml:space="preserve">TRUCK WITH TRAILER </v>
      </c>
      <c r="O198" s="33" t="str">
        <f t="shared" si="41"/>
        <v>Electricity km/kWh</v>
      </c>
      <c r="P198" s="41">
        <f>+'BEV L2'!$F$71</f>
        <v>188464.74734042553</v>
      </c>
      <c r="Q198" s="41">
        <f t="shared" si="42"/>
        <v>23464.747340425529</v>
      </c>
      <c r="R198" s="41">
        <f>+'BEV L2'!$F$73</f>
        <v>120000</v>
      </c>
      <c r="S198" s="41">
        <f>+'BEV L2'!$F$72</f>
        <v>45000</v>
      </c>
      <c r="T198" s="37">
        <f>'[1]Test order'!M198</f>
        <v>62000</v>
      </c>
      <c r="U198" s="37">
        <f>+'BEV L2'!$F$4</f>
        <v>49234.738977289999</v>
      </c>
      <c r="V198" s="33">
        <v>0</v>
      </c>
      <c r="W198" s="34">
        <f t="shared" si="44"/>
        <v>0.12303895045453686</v>
      </c>
      <c r="X198" s="34" t="str">
        <f t="shared" si="43"/>
        <v/>
      </c>
      <c r="Y198" s="42"/>
      <c r="Z198" s="34"/>
    </row>
    <row r="199" spans="1:26" x14ac:dyDescent="0.3">
      <c r="A199" s="33" t="str">
        <f>+'[1]Test order'!A199</f>
        <v>2050 TRUCK WITH TRAILER - FULL</v>
      </c>
      <c r="B199" s="33" t="str">
        <f>+'[1]Test order'!B199</f>
        <v>LONG HAUL</v>
      </c>
      <c r="C199" s="33" t="str">
        <f>+'[1]Test order'!C199</f>
        <v>2050 Electric 800 kW</v>
      </c>
      <c r="D199" s="33" t="str">
        <f>+'[1]Test order'!D199</f>
        <v>Electricity</v>
      </c>
      <c r="E199" s="34">
        <f>+'[1]Test order'!E199</f>
        <v>5.3595535732825468</v>
      </c>
      <c r="F199" s="34">
        <f>+'[1]Test order'!F199</f>
        <v>4.1227357387542725</v>
      </c>
      <c r="G199" s="38">
        <f>+'[1]Test order'!G199</f>
        <v>0.76923118360196463</v>
      </c>
      <c r="H199" s="39">
        <f>+'[1]Test order'!H199</f>
        <v>0.67169773578643799</v>
      </c>
      <c r="I199" s="33" t="str">
        <f>+'[1]Test order'!I199</f>
        <v>km/kWh</v>
      </c>
      <c r="J199" s="33" t="str">
        <f>+'[1]Test order'!J199</f>
        <v>Electricity 2050 TRUCK WITH TRAILER - FULL 2050 Electric 800 kW LONG HAUL 62000 kg 148.9 kWh /100km 77%</v>
      </c>
      <c r="K199" s="33">
        <f>+'[1]Test order'!K199</f>
        <v>0</v>
      </c>
      <c r="L199" s="33" t="str">
        <f t="shared" si="38"/>
        <v>2050</v>
      </c>
      <c r="M199" s="33" t="str">
        <f t="shared" si="39"/>
        <v>FULL</v>
      </c>
      <c r="N199" s="33" t="str">
        <f t="shared" si="40"/>
        <v xml:space="preserve">TRUCK WITH TRAILER </v>
      </c>
      <c r="O199" s="33" t="str">
        <f t="shared" si="41"/>
        <v>Electricity km/kWh</v>
      </c>
      <c r="P199" s="41">
        <f>+'BEV L2'!$F$71</f>
        <v>188464.74734042553</v>
      </c>
      <c r="Q199" s="41">
        <f t="shared" si="42"/>
        <v>23464.747340425529</v>
      </c>
      <c r="R199" s="41">
        <f>+'BEV L2'!$F$73</f>
        <v>120000</v>
      </c>
      <c r="S199" s="41">
        <f>+'BEV L2'!$F$72</f>
        <v>45000</v>
      </c>
      <c r="T199" s="37">
        <f>'[1]Test order'!M199</f>
        <v>62000</v>
      </c>
      <c r="U199" s="37">
        <f>+'BEV L2'!$F$4</f>
        <v>49234.738977289999</v>
      </c>
      <c r="V199" s="33">
        <v>0</v>
      </c>
      <c r="W199" s="34">
        <f t="shared" si="44"/>
        <v>0.10885715420883399</v>
      </c>
      <c r="X199" s="34" t="str">
        <f t="shared" si="43"/>
        <v/>
      </c>
      <c r="Y199" s="42"/>
      <c r="Z199" s="34"/>
    </row>
    <row r="200" spans="1:26" x14ac:dyDescent="0.3">
      <c r="A200" s="33" t="str">
        <f>+'[1]Test order'!A200</f>
        <v>2050 SEMI TRUCK - EMPTY</v>
      </c>
      <c r="B200" s="33" t="str">
        <f>+'[1]Test order'!B200</f>
        <v>URBAN DELIVERY</v>
      </c>
      <c r="C200" s="33" t="str">
        <f>+'[1]Test order'!C200</f>
        <v>2050 Electric 800 kW</v>
      </c>
      <c r="D200" s="33" t="str">
        <f>+'[1]Test order'!D200</f>
        <v>Electricity</v>
      </c>
      <c r="E200" s="34">
        <f>+'[1]Test order'!E200</f>
        <v>1.7792954484687591</v>
      </c>
      <c r="F200" s="34">
        <f>+'[1]Test order'!F200</f>
        <v>0.93692409992218018</v>
      </c>
      <c r="G200" s="38">
        <f>+'[1]Test order'!G200</f>
        <v>0.52657027854957206</v>
      </c>
      <c r="H200" s="39">
        <f>+'[1]Test order'!H200</f>
        <v>2.0232727527618408</v>
      </c>
      <c r="I200" s="33" t="str">
        <f>+'[1]Test order'!I200</f>
        <v>km/kWh</v>
      </c>
      <c r="J200" s="33" t="str">
        <f>+'[1]Test order'!J200</f>
        <v>Electricity 2050 SEMI TRUCK - EMPTY 2050 Electric 800 kW URBAN DELIVERY 13760 kg 49.4 kWh /100km 53%</v>
      </c>
      <c r="K200" s="33">
        <f>+'[1]Test order'!K200</f>
        <v>0</v>
      </c>
      <c r="L200" s="33" t="str">
        <f t="shared" si="38"/>
        <v>2050</v>
      </c>
      <c r="M200" s="33" t="str">
        <f t="shared" si="39"/>
        <v>EMPTY</v>
      </c>
      <c r="N200" s="33" t="str">
        <f t="shared" si="40"/>
        <v xml:space="preserve">SEMI TRUCK </v>
      </c>
      <c r="O200" s="33" t="str">
        <f t="shared" si="41"/>
        <v>Electricity km/kWh</v>
      </c>
      <c r="P200" s="41">
        <f>+'BEV L3'!$F$71</f>
        <v>169914.21542553193</v>
      </c>
      <c r="Q200" s="41">
        <f t="shared" si="42"/>
        <v>7914.2154255319329</v>
      </c>
      <c r="R200" s="41">
        <f>+'BEV L3'!$F$73</f>
        <v>90000</v>
      </c>
      <c r="S200" s="41">
        <f>+'BEV L3'!$F$72</f>
        <v>72000</v>
      </c>
      <c r="T200" s="37">
        <f>'[1]Test order'!M200</f>
        <v>13760</v>
      </c>
      <c r="U200" s="33">
        <v>0</v>
      </c>
      <c r="V200" s="33">
        <v>0</v>
      </c>
      <c r="W200" s="34" t="e">
        <f t="shared" si="44"/>
        <v>#N/A</v>
      </c>
      <c r="X200" s="34" t="str">
        <f t="shared" si="43"/>
        <v/>
      </c>
      <c r="Y200" s="42"/>
      <c r="Z200" s="34"/>
    </row>
    <row r="201" spans="1:26" x14ac:dyDescent="0.3">
      <c r="A201" s="33" t="str">
        <f>+'[1]Test order'!A201</f>
        <v>2050 SEMI TRUCK - EMPTY</v>
      </c>
      <c r="B201" s="33" t="str">
        <f>+'[1]Test order'!B201</f>
        <v>REGIONAL DELIVERY</v>
      </c>
      <c r="C201" s="33" t="str">
        <f>+'[1]Test order'!C201</f>
        <v>2050 Electric 800 kW</v>
      </c>
      <c r="D201" s="33" t="str">
        <f>+'[1]Test order'!D201</f>
        <v>Electricity</v>
      </c>
      <c r="E201" s="34">
        <f>+'[1]Test order'!E201</f>
        <v>2.0360862388256757</v>
      </c>
      <c r="F201" s="34">
        <f>+'[1]Test order'!F201</f>
        <v>1.349700927734375</v>
      </c>
      <c r="G201" s="38">
        <f>+'[1]Test order'!G201</f>
        <v>0.66288986291308694</v>
      </c>
      <c r="H201" s="39">
        <f>+'[1]Test order'!H201</f>
        <v>1.768097996711731</v>
      </c>
      <c r="I201" s="33" t="str">
        <f>+'[1]Test order'!I201</f>
        <v>km/kWh</v>
      </c>
      <c r="J201" s="33" t="str">
        <f>+'[1]Test order'!J201</f>
        <v>Electricity 2050 SEMI TRUCK - EMPTY 2050 Electric 800 kW REGIONAL DELIVERY 13760 kg 56.6 kWh /100km 66%</v>
      </c>
      <c r="K201" s="33">
        <f>+'[1]Test order'!K201</f>
        <v>0</v>
      </c>
      <c r="L201" s="33" t="str">
        <f t="shared" si="38"/>
        <v>2050</v>
      </c>
      <c r="M201" s="33" t="str">
        <f t="shared" si="39"/>
        <v>EMPTY</v>
      </c>
      <c r="N201" s="33" t="str">
        <f t="shared" si="40"/>
        <v xml:space="preserve">SEMI TRUCK </v>
      </c>
      <c r="O201" s="33" t="str">
        <f t="shared" si="41"/>
        <v>Electricity km/kWh</v>
      </c>
      <c r="P201" s="41">
        <f>+'BEV L3'!$F$71</f>
        <v>169914.21542553193</v>
      </c>
      <c r="Q201" s="41">
        <f t="shared" si="42"/>
        <v>7914.2154255319329</v>
      </c>
      <c r="R201" s="41">
        <f>+'BEV L3'!$F$73</f>
        <v>90000</v>
      </c>
      <c r="S201" s="41">
        <f>+'BEV L3'!$F$72</f>
        <v>72000</v>
      </c>
      <c r="T201" s="37">
        <f>'[1]Test order'!M201</f>
        <v>13760</v>
      </c>
      <c r="U201" s="33">
        <v>0</v>
      </c>
      <c r="V201" s="33">
        <v>0</v>
      </c>
      <c r="W201" s="34" t="e">
        <f t="shared" si="44"/>
        <v>#N/A</v>
      </c>
      <c r="X201" s="34" t="str">
        <f t="shared" si="43"/>
        <v/>
      </c>
      <c r="Y201" s="42"/>
      <c r="Z201" s="34"/>
    </row>
    <row r="202" spans="1:26" x14ac:dyDescent="0.3">
      <c r="A202" s="33" t="str">
        <f>+'[1]Test order'!A202</f>
        <v>2050 SEMI TRUCK - EMPTY</v>
      </c>
      <c r="B202" s="33" t="str">
        <f>+'[1]Test order'!B202</f>
        <v>LONG HAUL</v>
      </c>
      <c r="C202" s="33" t="str">
        <f>+'[1]Test order'!C202</f>
        <v>2050 Electric 800 kW</v>
      </c>
      <c r="D202" s="33" t="str">
        <f>+'[1]Test order'!D202</f>
        <v>Electricity</v>
      </c>
      <c r="E202" s="34">
        <f>+'[1]Test order'!E202</f>
        <v>2.1393652418300433</v>
      </c>
      <c r="F202" s="34">
        <f>+'[1]Test order'!F202</f>
        <v>1.615300714969635</v>
      </c>
      <c r="G202" s="38">
        <f>+'[1]Test order'!G202</f>
        <v>0.75503737435122764</v>
      </c>
      <c r="H202" s="39">
        <f>+'[1]Test order'!H202</f>
        <v>1.6827421188354492</v>
      </c>
      <c r="I202" s="33" t="str">
        <f>+'[1]Test order'!I202</f>
        <v>km/kWh</v>
      </c>
      <c r="J202" s="33" t="str">
        <f>+'[1]Test order'!J202</f>
        <v>Electricity 2050 SEMI TRUCK - EMPTY 2050 Electric 800 kW LONG HAUL 13760 kg 59.4 kWh /100km 76%</v>
      </c>
      <c r="K202" s="33">
        <f>+'[1]Test order'!K202</f>
        <v>0</v>
      </c>
      <c r="L202" s="33" t="str">
        <f t="shared" si="38"/>
        <v>2050</v>
      </c>
      <c r="M202" s="33" t="str">
        <f t="shared" si="39"/>
        <v>EMPTY</v>
      </c>
      <c r="N202" s="33" t="str">
        <f t="shared" si="40"/>
        <v xml:space="preserve">SEMI TRUCK </v>
      </c>
      <c r="O202" s="33" t="str">
        <f t="shared" si="41"/>
        <v>Electricity km/kWh</v>
      </c>
      <c r="P202" s="41">
        <f>+'BEV L3'!$F$71</f>
        <v>169914.21542553193</v>
      </c>
      <c r="Q202" s="41">
        <f t="shared" si="42"/>
        <v>7914.2154255319329</v>
      </c>
      <c r="R202" s="41">
        <f>+'BEV L3'!$F$73</f>
        <v>90000</v>
      </c>
      <c r="S202" s="41">
        <f>+'BEV L3'!$F$72</f>
        <v>72000</v>
      </c>
      <c r="T202" s="37">
        <f>'[1]Test order'!M202</f>
        <v>13760</v>
      </c>
      <c r="U202" s="33">
        <v>0</v>
      </c>
      <c r="V202" s="33">
        <v>0</v>
      </c>
      <c r="W202" s="34" t="e">
        <f t="shared" si="44"/>
        <v>#N/A</v>
      </c>
      <c r="X202" s="34" t="str">
        <f t="shared" si="43"/>
        <v/>
      </c>
      <c r="Y202" s="42"/>
      <c r="Z202" s="34"/>
    </row>
    <row r="203" spans="1:26" x14ac:dyDescent="0.3">
      <c r="A203" s="33" t="str">
        <f>+'[1]Test order'!A203</f>
        <v>2050 SEMI TRUCK - TYPICAL</v>
      </c>
      <c r="B203" s="33" t="str">
        <f>+'[1]Test order'!B203</f>
        <v>URBAN DELIVERY</v>
      </c>
      <c r="C203" s="33" t="str">
        <f>+'[1]Test order'!C203</f>
        <v>2050 Electric 800 kW</v>
      </c>
      <c r="D203" s="33" t="str">
        <f>+'[1]Test order'!D203</f>
        <v>Electricity</v>
      </c>
      <c r="E203" s="34">
        <f>+'[1]Test order'!E203</f>
        <v>4.0857288761589672</v>
      </c>
      <c r="F203" s="34">
        <f>+'[1]Test order'!F203</f>
        <v>2.0060800015926361</v>
      </c>
      <c r="G203" s="38">
        <f>+'[1]Test order'!G203</f>
        <v>0.49099684839552327</v>
      </c>
      <c r="H203" s="34">
        <f>+'[1]Test order'!H203</f>
        <v>0.88111573457717896</v>
      </c>
      <c r="I203" s="33" t="str">
        <f>+'[1]Test order'!I203</f>
        <v>km/kWh</v>
      </c>
      <c r="J203" s="33" t="str">
        <f>+'[1]Test order'!J203</f>
        <v>Electricity 2050 SEMI TRUCK - TYPICAL 2050 Electric 800 kW URBAN DELIVERY 41015.6 kg 113.5 kWh /100km 49%</v>
      </c>
      <c r="K203" s="33">
        <f>+'[1]Test order'!K203</f>
        <v>0</v>
      </c>
      <c r="L203" s="33" t="str">
        <f t="shared" si="38"/>
        <v>2050</v>
      </c>
      <c r="M203" s="33" t="str">
        <f t="shared" si="39"/>
        <v>TYPICAL</v>
      </c>
      <c r="N203" s="33" t="str">
        <f t="shared" si="40"/>
        <v xml:space="preserve">SEMI TRUCK </v>
      </c>
      <c r="O203" s="33" t="str">
        <f t="shared" si="41"/>
        <v>Electricity km/kWh</v>
      </c>
      <c r="P203" s="41">
        <f>+'BEV L3'!$F$71</f>
        <v>169914.21542553193</v>
      </c>
      <c r="Q203" s="41">
        <f t="shared" si="42"/>
        <v>7914.2154255319329</v>
      </c>
      <c r="R203" s="41">
        <f>+'BEV L3'!$F$73</f>
        <v>90000</v>
      </c>
      <c r="S203" s="41">
        <f>+'BEV L3'!$F$72</f>
        <v>72000</v>
      </c>
      <c r="T203" s="37">
        <f>'[1]Test order'!M203</f>
        <v>41015.599999999999</v>
      </c>
      <c r="U203" s="37">
        <f>+'BEV L3'!$F$7</f>
        <v>27255.599999999999</v>
      </c>
      <c r="V203" s="33">
        <v>0</v>
      </c>
      <c r="W203" s="34">
        <f t="shared" si="44"/>
        <v>0.14990419862923463</v>
      </c>
      <c r="X203" s="34" t="str">
        <f t="shared" si="43"/>
        <v/>
      </c>
      <c r="Y203" s="42"/>
      <c r="Z203" s="34"/>
    </row>
    <row r="204" spans="1:26" x14ac:dyDescent="0.3">
      <c r="A204" s="33" t="str">
        <f>+'[1]Test order'!A204</f>
        <v>2050 SEMI TRUCK - TYPICAL</v>
      </c>
      <c r="B204" s="33" t="str">
        <f>+'[1]Test order'!B204</f>
        <v>REGIONAL DELIVERY</v>
      </c>
      <c r="C204" s="33" t="str">
        <f>+'[1]Test order'!C204</f>
        <v>2050 Electric 800 kW</v>
      </c>
      <c r="D204" s="33" t="str">
        <f>+'[1]Test order'!D204</f>
        <v>Electricity</v>
      </c>
      <c r="E204" s="34">
        <f>+'[1]Test order'!E204</f>
        <v>3.9832682359334481</v>
      </c>
      <c r="F204" s="34">
        <f>+'[1]Test order'!F204</f>
        <v>2.4190897345542908</v>
      </c>
      <c r="G204" s="38">
        <f>+'[1]Test order'!G204</f>
        <v>0.60731278720610582</v>
      </c>
      <c r="H204" s="34">
        <f>+'[1]Test order'!H204</f>
        <v>0.90378046035766602</v>
      </c>
      <c r="I204" s="33" t="str">
        <f>+'[1]Test order'!I204</f>
        <v>km/kWh</v>
      </c>
      <c r="J204" s="33" t="str">
        <f>+'[1]Test order'!J204</f>
        <v>Electricity 2050 SEMI TRUCK - TYPICAL 2050 Electric 800 kW REGIONAL DELIVERY 41015.6 kg 110.6 kWh /100km 61%</v>
      </c>
      <c r="K204" s="33">
        <f>+'[1]Test order'!K204</f>
        <v>0</v>
      </c>
      <c r="L204" s="33" t="str">
        <f t="shared" si="38"/>
        <v>2050</v>
      </c>
      <c r="M204" s="33" t="str">
        <f t="shared" si="39"/>
        <v>TYPICAL</v>
      </c>
      <c r="N204" s="33" t="str">
        <f t="shared" si="40"/>
        <v xml:space="preserve">SEMI TRUCK </v>
      </c>
      <c r="O204" s="33" t="str">
        <f t="shared" si="41"/>
        <v>Electricity km/kWh</v>
      </c>
      <c r="P204" s="41">
        <f>+'BEV L3'!$F$71</f>
        <v>169914.21542553193</v>
      </c>
      <c r="Q204" s="41">
        <f t="shared" si="42"/>
        <v>7914.2154255319329</v>
      </c>
      <c r="R204" s="41">
        <f>+'BEV L3'!$F$73</f>
        <v>90000</v>
      </c>
      <c r="S204" s="41">
        <f>+'BEV L3'!$F$72</f>
        <v>72000</v>
      </c>
      <c r="T204" s="37">
        <f>'[1]Test order'!M204</f>
        <v>41015.599999999999</v>
      </c>
      <c r="U204" s="37">
        <f>+'BEV L3'!$F$7</f>
        <v>27255.599999999999</v>
      </c>
      <c r="V204" s="33">
        <v>0</v>
      </c>
      <c r="W204" s="34">
        <f t="shared" si="44"/>
        <v>0.1461449476780349</v>
      </c>
      <c r="X204" s="34" t="str">
        <f t="shared" si="43"/>
        <v/>
      </c>
      <c r="Y204" s="42"/>
      <c r="Z204" s="34"/>
    </row>
    <row r="205" spans="1:26" x14ac:dyDescent="0.3">
      <c r="A205" s="33" t="str">
        <f>+'[1]Test order'!A205</f>
        <v>2050 SEMI TRUCK - TYPICAL</v>
      </c>
      <c r="B205" s="33" t="str">
        <f>+'[1]Test order'!B205</f>
        <v>LONG HAUL</v>
      </c>
      <c r="C205" s="33" t="str">
        <f>+'[1]Test order'!C205</f>
        <v>2050 Electric 800 kW</v>
      </c>
      <c r="D205" s="33" t="str">
        <f>+'[1]Test order'!D205</f>
        <v>Electricity</v>
      </c>
      <c r="E205" s="34">
        <f>+'[1]Test order'!E205</f>
        <v>3.5601989439766255</v>
      </c>
      <c r="F205" s="34">
        <f>+'[1]Test order'!F205</f>
        <v>2.6848310232162476</v>
      </c>
      <c r="G205" s="38">
        <f>+'[1]Test order'!G205</f>
        <v>0.75412387494766775</v>
      </c>
      <c r="H205" s="34">
        <f>+'[1]Test order'!H205</f>
        <v>1.0111794471740723</v>
      </c>
      <c r="I205" s="33" t="str">
        <f>+'[1]Test order'!I205</f>
        <v>km/kWh</v>
      </c>
      <c r="J205" s="33" t="str">
        <f>+'[1]Test order'!J205</f>
        <v>Electricity 2050 SEMI TRUCK - TYPICAL 2050 Electric 800 kW LONG HAUL 41015.6 kg 98.9 kWh /100km 75%</v>
      </c>
      <c r="K205" s="33">
        <f>+'[1]Test order'!K205</f>
        <v>0</v>
      </c>
      <c r="L205" s="33" t="str">
        <f t="shared" si="38"/>
        <v>2050</v>
      </c>
      <c r="M205" s="33" t="str">
        <f t="shared" si="39"/>
        <v>TYPICAL</v>
      </c>
      <c r="N205" s="33" t="str">
        <f t="shared" si="40"/>
        <v xml:space="preserve">SEMI TRUCK </v>
      </c>
      <c r="O205" s="33" t="str">
        <f t="shared" si="41"/>
        <v>Electricity km/kWh</v>
      </c>
      <c r="P205" s="41">
        <f>+'BEV L3'!$F$71</f>
        <v>169914.21542553193</v>
      </c>
      <c r="Q205" s="41">
        <f t="shared" si="42"/>
        <v>7914.2154255319329</v>
      </c>
      <c r="R205" s="41">
        <f>+'BEV L3'!$F$73</f>
        <v>90000</v>
      </c>
      <c r="S205" s="41">
        <f>+'BEV L3'!$F$72</f>
        <v>72000</v>
      </c>
      <c r="T205" s="37">
        <f>'[1]Test order'!M205</f>
        <v>41015.599999999999</v>
      </c>
      <c r="U205" s="37">
        <f>+'BEV L3'!$F$7</f>
        <v>27255.599999999999</v>
      </c>
      <c r="V205" s="33">
        <v>0</v>
      </c>
      <c r="W205" s="34">
        <f t="shared" si="44"/>
        <v>0.13062265897564632</v>
      </c>
      <c r="X205" s="34" t="str">
        <f t="shared" si="43"/>
        <v/>
      </c>
      <c r="Y205" s="42"/>
      <c r="Z205" s="34"/>
    </row>
    <row r="206" spans="1:26" x14ac:dyDescent="0.3">
      <c r="A206" s="33" t="str">
        <f>+'[1]Test order'!A206</f>
        <v>2050 SEMI TRUCK - FULL</v>
      </c>
      <c r="B206" s="33" t="str">
        <f>+'[1]Test order'!B206</f>
        <v>URBAN DELIVERY</v>
      </c>
      <c r="C206" s="33" t="str">
        <f>+'[1]Test order'!C206</f>
        <v>2050 Electric 800 kW</v>
      </c>
      <c r="D206" s="33" t="str">
        <f>+'[1]Test order'!D206</f>
        <v>Electricity</v>
      </c>
      <c r="E206" s="34">
        <f>+'[1]Test order'!E206</f>
        <v>6.0374377255930654</v>
      </c>
      <c r="F206" s="34">
        <f>+'[1]Test order'!F206</f>
        <v>2.8249415159225464</v>
      </c>
      <c r="G206" s="38">
        <f>+'[1]Test order'!G206</f>
        <v>0.46790404213155651</v>
      </c>
      <c r="H206" s="39">
        <f>+'[1]Test order'!H206</f>
        <v>0.59627944231033325</v>
      </c>
      <c r="I206" s="33" t="str">
        <f>+'[1]Test order'!I206</f>
        <v>km/kWh</v>
      </c>
      <c r="J206" s="33" t="str">
        <f>+'[1]Test order'!J206</f>
        <v>Electricity 2050 SEMI TRUCK - FULL 2050 Electric 800 kW URBAN DELIVERY 62000 kg 167.7 kWh /100km 47%</v>
      </c>
      <c r="K206" s="33">
        <f>+'[1]Test order'!K206</f>
        <v>0</v>
      </c>
      <c r="L206" s="33" t="str">
        <f t="shared" si="38"/>
        <v>2050</v>
      </c>
      <c r="M206" s="33" t="str">
        <f t="shared" si="39"/>
        <v>FULL</v>
      </c>
      <c r="N206" s="33" t="str">
        <f t="shared" si="40"/>
        <v xml:space="preserve">SEMI TRUCK </v>
      </c>
      <c r="O206" s="33" t="str">
        <f t="shared" si="41"/>
        <v>Electricity km/kWh</v>
      </c>
      <c r="P206" s="41">
        <f>+'BEV L3'!$F$71</f>
        <v>169914.21542553193</v>
      </c>
      <c r="Q206" s="41">
        <f t="shared" si="42"/>
        <v>7914.2154255319329</v>
      </c>
      <c r="R206" s="41">
        <f>+'BEV L3'!$F$73</f>
        <v>90000</v>
      </c>
      <c r="S206" s="41">
        <f>+'BEV L3'!$F$72</f>
        <v>72000</v>
      </c>
      <c r="T206" s="37">
        <f>'[1]Test order'!M206</f>
        <v>62000</v>
      </c>
      <c r="U206" s="37">
        <f>+'BEV L3'!$F$4</f>
        <v>48240</v>
      </c>
      <c r="V206" s="33">
        <v>0</v>
      </c>
      <c r="W206" s="34">
        <f t="shared" si="44"/>
        <v>0.12515418170798229</v>
      </c>
      <c r="X206" s="34" t="str">
        <f t="shared" si="43"/>
        <v/>
      </c>
      <c r="Y206" s="42"/>
      <c r="Z206" s="34"/>
    </row>
    <row r="207" spans="1:26" x14ac:dyDescent="0.3">
      <c r="A207" s="33" t="str">
        <f>+'[1]Test order'!A207</f>
        <v>2050 SEMI TRUCK - FULL</v>
      </c>
      <c r="B207" s="33" t="str">
        <f>+'[1]Test order'!B207</f>
        <v>REGIONAL DELIVERY</v>
      </c>
      <c r="C207" s="33" t="str">
        <f>+'[1]Test order'!C207</f>
        <v>2050 Electric 800 kW</v>
      </c>
      <c r="D207" s="33" t="str">
        <f>+'[1]Test order'!D207</f>
        <v>Electricity</v>
      </c>
      <c r="E207" s="34">
        <f>+'[1]Test order'!E207</f>
        <v>5.5506638274009239</v>
      </c>
      <c r="F207" s="34">
        <f>+'[1]Test order'!F207</f>
        <v>3.2415179014205933</v>
      </c>
      <c r="G207" s="38">
        <f>+'[1]Test order'!G207</f>
        <v>0.58398742965099026</v>
      </c>
      <c r="H207" s="39">
        <f>+'[1]Test order'!H207</f>
        <v>0.64857107400894165</v>
      </c>
      <c r="I207" s="33" t="str">
        <f>+'[1]Test order'!I207</f>
        <v>km/kWh</v>
      </c>
      <c r="J207" s="33" t="str">
        <f>+'[1]Test order'!J207</f>
        <v>Electricity 2050 SEMI TRUCK - FULL 2050 Electric 800 kW REGIONAL DELIVERY 62000 kg 154.2 kWh /100km 58%</v>
      </c>
      <c r="K207" s="33">
        <f>+'[1]Test order'!K207</f>
        <v>0</v>
      </c>
      <c r="L207" s="33" t="str">
        <f t="shared" si="38"/>
        <v>2050</v>
      </c>
      <c r="M207" s="33" t="str">
        <f t="shared" si="39"/>
        <v>FULL</v>
      </c>
      <c r="N207" s="33" t="str">
        <f t="shared" si="40"/>
        <v xml:space="preserve">SEMI TRUCK </v>
      </c>
      <c r="O207" s="33" t="str">
        <f t="shared" si="41"/>
        <v>Electricity km/kWh</v>
      </c>
      <c r="P207" s="41">
        <f>+'BEV L3'!$F$71</f>
        <v>169914.21542553193</v>
      </c>
      <c r="Q207" s="41">
        <f t="shared" si="42"/>
        <v>7914.2154255319329</v>
      </c>
      <c r="R207" s="41">
        <f>+'BEV L3'!$F$73</f>
        <v>90000</v>
      </c>
      <c r="S207" s="41">
        <f>+'BEV L3'!$F$72</f>
        <v>72000</v>
      </c>
      <c r="T207" s="37">
        <f>'[1]Test order'!M207</f>
        <v>62000</v>
      </c>
      <c r="U207" s="37">
        <f>+'BEV L3'!$F$4</f>
        <v>48240</v>
      </c>
      <c r="V207" s="33">
        <v>0</v>
      </c>
      <c r="W207" s="34">
        <f t="shared" si="44"/>
        <v>0.11506351217663607</v>
      </c>
      <c r="X207" s="34" t="str">
        <f t="shared" si="43"/>
        <v/>
      </c>
      <c r="Y207" s="42"/>
      <c r="Z207" s="34"/>
    </row>
    <row r="208" spans="1:26" x14ac:dyDescent="0.3">
      <c r="A208" s="33" t="str">
        <f>+'[1]Test order'!A208</f>
        <v>2050 SEMI TRUCK - FULL</v>
      </c>
      <c r="B208" s="33" t="str">
        <f>+'[1]Test order'!B208</f>
        <v>LONG HAUL</v>
      </c>
      <c r="C208" s="33" t="str">
        <f>+'[1]Test order'!C208</f>
        <v>2050 Electric 800 kW</v>
      </c>
      <c r="D208" s="33" t="str">
        <f>+'[1]Test order'!D208</f>
        <v>Electricity</v>
      </c>
      <c r="E208" s="34">
        <f>+'[1]Test order'!E208</f>
        <v>4.6792559083200809</v>
      </c>
      <c r="F208" s="34">
        <f>+'[1]Test order'!F208</f>
        <v>3.5082435607910156</v>
      </c>
      <c r="G208" s="38">
        <f>+'[1]Test order'!G208</f>
        <v>0.7497438972194459</v>
      </c>
      <c r="H208" s="39">
        <f>+'[1]Test order'!H208</f>
        <v>0.76935309171676636</v>
      </c>
      <c r="I208" s="33" t="str">
        <f>+'[1]Test order'!I208</f>
        <v>km/kWh</v>
      </c>
      <c r="J208" s="33" t="str">
        <f>+'[1]Test order'!J208</f>
        <v>Electricity 2050 SEMI TRUCK - FULL 2050 Electric 800 kW LONG HAUL 62000 kg 130.0 kWh /100km 75%</v>
      </c>
      <c r="K208" s="33">
        <f>+'[1]Test order'!K208</f>
        <v>0</v>
      </c>
      <c r="L208" s="33" t="str">
        <f t="shared" si="38"/>
        <v>2050</v>
      </c>
      <c r="M208" s="33" t="str">
        <f t="shared" si="39"/>
        <v>FULL</v>
      </c>
      <c r="N208" s="33" t="str">
        <f t="shared" si="40"/>
        <v xml:space="preserve">SEMI TRUCK </v>
      </c>
      <c r="O208" s="33" t="str">
        <f t="shared" si="41"/>
        <v>Electricity km/kWh</v>
      </c>
      <c r="P208" s="41">
        <f>+'BEV L3'!$F$71</f>
        <v>169914.21542553193</v>
      </c>
      <c r="Q208" s="41">
        <f t="shared" si="42"/>
        <v>7914.2154255319329</v>
      </c>
      <c r="R208" s="41">
        <f>+'BEV L3'!$F$73</f>
        <v>90000</v>
      </c>
      <c r="S208" s="41">
        <f>+'BEV L3'!$F$72</f>
        <v>72000</v>
      </c>
      <c r="T208" s="37">
        <f>'[1]Test order'!M208</f>
        <v>62000</v>
      </c>
      <c r="U208" s="37">
        <f>+'BEV L3'!$F$4</f>
        <v>48240</v>
      </c>
      <c r="V208" s="33">
        <v>0</v>
      </c>
      <c r="W208" s="34">
        <f t="shared" si="44"/>
        <v>9.6999500587066356E-2</v>
      </c>
      <c r="X208" s="34" t="str">
        <f t="shared" si="43"/>
        <v/>
      </c>
      <c r="Y208" s="42"/>
      <c r="Z208" s="34"/>
    </row>
    <row r="209" spans="1:26" x14ac:dyDescent="0.3">
      <c r="A209" s="33" t="str">
        <f>+'[1]Test order'!A209</f>
        <v>2050 CITY BUS - EMPTY</v>
      </c>
      <c r="B209" s="33" t="str">
        <f>+'[1]Test order'!B209</f>
        <v>CITY ROUTE</v>
      </c>
      <c r="C209" s="33" t="str">
        <f>+'[1]Test order'!C209</f>
        <v>2050 Electric 800 kW</v>
      </c>
      <c r="D209" s="33" t="str">
        <f>+'[1]Test order'!D209</f>
        <v>Electricity</v>
      </c>
      <c r="E209" s="34">
        <f>+'[1]Test order'!E209</f>
        <v>1.9911162122901609</v>
      </c>
      <c r="F209" s="34">
        <f>+'[1]Test order'!F209</f>
        <v>0.81663200259208679</v>
      </c>
      <c r="G209" s="38">
        <f>+'[1]Test order'!G209</f>
        <v>0.41013778982433441</v>
      </c>
      <c r="H209" s="39">
        <f>+'[1]Test order'!H209</f>
        <v>1.8080310821533203</v>
      </c>
      <c r="I209" s="33" t="str">
        <f>+'[1]Test order'!I209</f>
        <v>km/kWh</v>
      </c>
      <c r="J209" s="33" t="str">
        <f>+'[1]Test order'!J209</f>
        <v>Electricity 2050 CITY BUS - EMPTY 2050 Electric 800 kW CITY ROUTE 10250 kg 55.3 kWh /100km 41%</v>
      </c>
      <c r="K209" s="33">
        <f>+'[1]Test order'!K209</f>
        <v>0</v>
      </c>
      <c r="L209" s="33" t="str">
        <f t="shared" si="38"/>
        <v>2050</v>
      </c>
      <c r="M209" s="33" t="str">
        <f t="shared" si="39"/>
        <v>EMPTY</v>
      </c>
      <c r="N209" s="33" t="str">
        <f t="shared" si="40"/>
        <v xml:space="preserve">CITY BUS </v>
      </c>
      <c r="O209" s="33" t="str">
        <f t="shared" si="41"/>
        <v>Electricity km/kWh</v>
      </c>
      <c r="P209" s="41">
        <f>+'BEV B1'!$F$71</f>
        <v>214137.93103448278</v>
      </c>
      <c r="Q209" s="41">
        <f t="shared" si="42"/>
        <v>121137.93103448278</v>
      </c>
      <c r="R209" s="41">
        <f>+'BEV B1'!$F$73</f>
        <v>45000</v>
      </c>
      <c r="S209" s="41">
        <f>+'BEV B1'!$F$72</f>
        <v>48000</v>
      </c>
      <c r="T209" s="37">
        <f>'[1]Test order'!M209</f>
        <v>10250</v>
      </c>
      <c r="U209" s="33">
        <v>0</v>
      </c>
      <c r="V209" s="33">
        <v>0</v>
      </c>
      <c r="W209" s="34" t="e">
        <f t="shared" si="44"/>
        <v>#N/A</v>
      </c>
      <c r="X209" s="34" t="str">
        <f t="shared" si="43"/>
        <v/>
      </c>
      <c r="Y209" s="42"/>
      <c r="Z209" s="34"/>
    </row>
    <row r="210" spans="1:26" x14ac:dyDescent="0.3">
      <c r="A210" s="33" t="str">
        <f>+'[1]Test order'!A210</f>
        <v>2050 CITY BUS - EMPTY</v>
      </c>
      <c r="B210" s="33" t="str">
        <f>+'[1]Test order'!B210</f>
        <v>RURAL ROUTE</v>
      </c>
      <c r="C210" s="33" t="str">
        <f>+'[1]Test order'!C210</f>
        <v>2050 Electric 800 kW</v>
      </c>
      <c r="D210" s="33" t="str">
        <f>+'[1]Test order'!D210</f>
        <v>Electricity</v>
      </c>
      <c r="E210" s="34">
        <f>+'[1]Test order'!E210</f>
        <v>2.0691387353274653</v>
      </c>
      <c r="F210" s="34">
        <f>+'[1]Test order'!F210</f>
        <v>1.4433228969573975</v>
      </c>
      <c r="G210" s="38">
        <f>+'[1]Test order'!G210</f>
        <v>0.69754766672471324</v>
      </c>
      <c r="H210" s="39">
        <f>+'[1]Test order'!H210</f>
        <v>1.7398543357849121</v>
      </c>
      <c r="I210" s="33" t="str">
        <f>+'[1]Test order'!I210</f>
        <v>km/kWh</v>
      </c>
      <c r="J210" s="33" t="str">
        <f>+'[1]Test order'!J210</f>
        <v>Electricity 2050 CITY BUS - EMPTY 2050 Electric 800 kW RURAL ROUTE 10250 kg 57.5 kWh /100km 70%</v>
      </c>
      <c r="K210" s="33">
        <f>+'[1]Test order'!K210</f>
        <v>0</v>
      </c>
      <c r="L210" s="33" t="str">
        <f t="shared" si="38"/>
        <v>2050</v>
      </c>
      <c r="M210" s="33" t="str">
        <f t="shared" si="39"/>
        <v>EMPTY</v>
      </c>
      <c r="N210" s="33" t="str">
        <f t="shared" si="40"/>
        <v xml:space="preserve">CITY BUS </v>
      </c>
      <c r="O210" s="33" t="str">
        <f t="shared" si="41"/>
        <v>Electricity km/kWh</v>
      </c>
      <c r="P210" s="41">
        <f>+'BEV B1'!$F$71</f>
        <v>214137.93103448278</v>
      </c>
      <c r="Q210" s="41">
        <f t="shared" si="42"/>
        <v>121137.93103448278</v>
      </c>
      <c r="R210" s="41">
        <f>+'BEV B1'!$F$73</f>
        <v>45000</v>
      </c>
      <c r="S210" s="41">
        <f>+'BEV B1'!$F$72</f>
        <v>48000</v>
      </c>
      <c r="T210" s="37">
        <f>'[1]Test order'!M210</f>
        <v>10250</v>
      </c>
      <c r="U210" s="33">
        <v>0</v>
      </c>
      <c r="V210" s="33">
        <v>0</v>
      </c>
      <c r="W210" s="34" t="e">
        <f t="shared" si="44"/>
        <v>#N/A</v>
      </c>
      <c r="X210" s="34" t="str">
        <f t="shared" si="43"/>
        <v/>
      </c>
      <c r="Y210" s="42"/>
      <c r="Z210" s="34"/>
    </row>
    <row r="211" spans="1:26" x14ac:dyDescent="0.3">
      <c r="A211" s="33" t="str">
        <f>+'[1]Test order'!A211</f>
        <v>2050 CITY BUS - EMPTY</v>
      </c>
      <c r="B211" s="33" t="str">
        <f>+'[1]Test order'!B211</f>
        <v>MOTORWAY</v>
      </c>
      <c r="C211" s="33" t="str">
        <f>+'[1]Test order'!C211</f>
        <v>2050 Electric 800 kW</v>
      </c>
      <c r="D211" s="33" t="str">
        <f>+'[1]Test order'!D211</f>
        <v>Electricity</v>
      </c>
      <c r="E211" s="34">
        <f>+'[1]Test order'!E211</f>
        <v>2.3331733897145792</v>
      </c>
      <c r="F211" s="34">
        <f>+'[1]Test order'!F211</f>
        <v>1.7848064005374908</v>
      </c>
      <c r="G211" s="38">
        <f>+'[1]Test order'!G211</f>
        <v>0.76496946536657917</v>
      </c>
      <c r="H211" s="39">
        <f>+'[1]Test order'!H211</f>
        <v>1.542962908744812</v>
      </c>
      <c r="I211" s="33" t="str">
        <f>+'[1]Test order'!I211</f>
        <v>km/kWh</v>
      </c>
      <c r="J211" s="33" t="str">
        <f>+'[1]Test order'!J211</f>
        <v>Electricity 2050 CITY BUS - EMPTY 2050 Electric 800 kW MOTORWAY 10250 kg 64.8 kWh /100km 76%</v>
      </c>
      <c r="K211" s="33">
        <f>+'[1]Test order'!K211</f>
        <v>0</v>
      </c>
      <c r="L211" s="33" t="str">
        <f t="shared" si="38"/>
        <v>2050</v>
      </c>
      <c r="M211" s="33" t="str">
        <f t="shared" si="39"/>
        <v>EMPTY</v>
      </c>
      <c r="N211" s="33" t="str">
        <f t="shared" si="40"/>
        <v xml:space="preserve">CITY BUS </v>
      </c>
      <c r="O211" s="33" t="str">
        <f t="shared" si="41"/>
        <v>Electricity km/kWh</v>
      </c>
      <c r="P211" s="41">
        <f>+'BEV B1'!$F$71</f>
        <v>214137.93103448278</v>
      </c>
      <c r="Q211" s="41">
        <f t="shared" si="42"/>
        <v>121137.93103448278</v>
      </c>
      <c r="R211" s="41">
        <f>+'BEV B1'!$F$73</f>
        <v>45000</v>
      </c>
      <c r="S211" s="41">
        <f>+'BEV B1'!$F$72</f>
        <v>48000</v>
      </c>
      <c r="T211" s="37">
        <f>'[1]Test order'!M211</f>
        <v>10250</v>
      </c>
      <c r="U211" s="33">
        <v>0</v>
      </c>
      <c r="V211" s="33">
        <v>0</v>
      </c>
      <c r="W211" s="34" t="e">
        <f t="shared" si="44"/>
        <v>#N/A</v>
      </c>
      <c r="X211" s="34" t="str">
        <f t="shared" si="43"/>
        <v/>
      </c>
      <c r="Y211" s="42"/>
      <c r="Z211" s="34"/>
    </row>
    <row r="212" spans="1:26" x14ac:dyDescent="0.3">
      <c r="A212" s="33" t="str">
        <f>+'[1]Test order'!A212</f>
        <v>2050 CITY BUS - TYPICAL</v>
      </c>
      <c r="B212" s="33" t="str">
        <f>+'[1]Test order'!B212</f>
        <v>CITY ROUTE</v>
      </c>
      <c r="C212" s="33" t="str">
        <f>+'[1]Test order'!C212</f>
        <v>2050 Electric 800 kW</v>
      </c>
      <c r="D212" s="33" t="str">
        <f>+'[1]Test order'!D212</f>
        <v>Electricity</v>
      </c>
      <c r="E212" s="34">
        <f>+'[1]Test order'!E212</f>
        <v>2.1003838197426417</v>
      </c>
      <c r="F212" s="34">
        <f>+'[1]Test order'!F212</f>
        <v>0.84953615069389343</v>
      </c>
      <c r="G212" s="38">
        <f>+'[1]Test order'!G212</f>
        <v>0.40446709915999374</v>
      </c>
      <c r="H212" s="39">
        <f>+'[1]Test order'!H212</f>
        <v>1.7139724493026733</v>
      </c>
      <c r="I212" s="33" t="str">
        <f>+'[1]Test order'!I212</f>
        <v>km/kWh</v>
      </c>
      <c r="J212" s="33" t="str">
        <f>+'[1]Test order'!J212</f>
        <v>Electricity 2050 CITY BUS - TYPICAL 2050 Electric 800 kW CITY ROUTE 11090 kg 58.3 kWh /100km 40%</v>
      </c>
      <c r="K212" s="33">
        <f>+'[1]Test order'!K212</f>
        <v>0</v>
      </c>
      <c r="L212" s="33" t="str">
        <f t="shared" si="38"/>
        <v>2050</v>
      </c>
      <c r="M212" s="33" t="str">
        <f t="shared" si="39"/>
        <v>TYPICAL</v>
      </c>
      <c r="N212" s="33" t="str">
        <f t="shared" si="40"/>
        <v xml:space="preserve">CITY BUS </v>
      </c>
      <c r="O212" s="33" t="str">
        <f t="shared" si="41"/>
        <v>Electricity km/kWh</v>
      </c>
      <c r="P212" s="41">
        <f>+'BEV B1'!$F$71</f>
        <v>214137.93103448278</v>
      </c>
      <c r="Q212" s="41">
        <f t="shared" si="42"/>
        <v>121137.93103448278</v>
      </c>
      <c r="R212" s="41">
        <f>+'BEV B1'!$F$73</f>
        <v>45000</v>
      </c>
      <c r="S212" s="41">
        <f>+'BEV B1'!$F$72</f>
        <v>48000</v>
      </c>
      <c r="T212" s="37">
        <f>'[1]Test order'!M212</f>
        <v>11090</v>
      </c>
      <c r="U212" s="37">
        <f>+T212-T209</f>
        <v>840</v>
      </c>
      <c r="V212" s="37">
        <f>+'FCV B1'!$F$7</f>
        <v>12</v>
      </c>
      <c r="W212" s="34">
        <f t="shared" si="44"/>
        <v>2.5004569282650499</v>
      </c>
      <c r="X212" s="34">
        <f t="shared" si="43"/>
        <v>0.17503198497855346</v>
      </c>
      <c r="Y212" s="42"/>
      <c r="Z212" s="34"/>
    </row>
    <row r="213" spans="1:26" x14ac:dyDescent="0.3">
      <c r="A213" s="33" t="str">
        <f>+'[1]Test order'!A213</f>
        <v>2050 CITY BUS - TYPICAL</v>
      </c>
      <c r="B213" s="33" t="str">
        <f>+'[1]Test order'!B213</f>
        <v>RURAL ROUTE</v>
      </c>
      <c r="C213" s="33" t="str">
        <f>+'[1]Test order'!C213</f>
        <v>2050 Electric 800 kW</v>
      </c>
      <c r="D213" s="33" t="str">
        <f>+'[1]Test order'!D213</f>
        <v>Electricity</v>
      </c>
      <c r="E213" s="34">
        <f>+'[1]Test order'!E213</f>
        <v>2.1236020534653708</v>
      </c>
      <c r="F213" s="34">
        <f>+'[1]Test order'!F213</f>
        <v>1.4762859046459198</v>
      </c>
      <c r="G213" s="38">
        <f>+'[1]Test order'!G213</f>
        <v>0.69518010789114792</v>
      </c>
      <c r="H213" s="39">
        <f>+'[1]Test order'!H213</f>
        <v>1.6952328681945801</v>
      </c>
      <c r="I213" s="33" t="str">
        <f>+'[1]Test order'!I213</f>
        <v>km/kWh</v>
      </c>
      <c r="J213" s="33" t="str">
        <f>+'[1]Test order'!J213</f>
        <v>Electricity 2050 CITY BUS - TYPICAL 2050 Electric 800 kW RURAL ROUTE 11090 kg 59.0 kWh /100km 70%</v>
      </c>
      <c r="K213" s="33">
        <f>+'[1]Test order'!K213</f>
        <v>0</v>
      </c>
      <c r="L213" s="33" t="str">
        <f t="shared" si="38"/>
        <v>2050</v>
      </c>
      <c r="M213" s="33" t="str">
        <f t="shared" si="39"/>
        <v>TYPICAL</v>
      </c>
      <c r="N213" s="33" t="str">
        <f t="shared" si="40"/>
        <v xml:space="preserve">CITY BUS </v>
      </c>
      <c r="O213" s="33" t="str">
        <f t="shared" si="41"/>
        <v>Electricity km/kWh</v>
      </c>
      <c r="P213" s="41">
        <f>+'BEV B1'!$F$71</f>
        <v>214137.93103448278</v>
      </c>
      <c r="Q213" s="41">
        <f t="shared" si="42"/>
        <v>121137.93103448278</v>
      </c>
      <c r="R213" s="41">
        <f>+'BEV B1'!$F$73</f>
        <v>45000</v>
      </c>
      <c r="S213" s="41">
        <f>+'BEV B1'!$F$72</f>
        <v>48000</v>
      </c>
      <c r="T213" s="37">
        <f>'[1]Test order'!M213</f>
        <v>11090</v>
      </c>
      <c r="U213" s="37">
        <f t="shared" ref="U213:U214" si="45">+T213-T210</f>
        <v>840</v>
      </c>
      <c r="V213" s="37">
        <f>+'FCV B1'!$F$7</f>
        <v>12</v>
      </c>
      <c r="W213" s="34">
        <f t="shared" si="44"/>
        <v>2.52809768269687</v>
      </c>
      <c r="X213" s="34">
        <f t="shared" si="43"/>
        <v>0.17696683778878089</v>
      </c>
      <c r="Y213" s="42"/>
      <c r="Z213" s="34"/>
    </row>
    <row r="214" spans="1:26" x14ac:dyDescent="0.3">
      <c r="A214" s="33" t="str">
        <f>+'[1]Test order'!A214</f>
        <v>2050 CITY BUS - TYPICAL</v>
      </c>
      <c r="B214" s="33" t="str">
        <f>+'[1]Test order'!B214</f>
        <v>MOTORWAY</v>
      </c>
      <c r="C214" s="33" t="str">
        <f>+'[1]Test order'!C214</f>
        <v>2050 Electric 800 kW</v>
      </c>
      <c r="D214" s="33" t="str">
        <f>+'[1]Test order'!D214</f>
        <v>Electricity</v>
      </c>
      <c r="E214" s="34">
        <f>+'[1]Test order'!E214</f>
        <v>2.3713467022610923</v>
      </c>
      <c r="F214" s="34">
        <f>+'[1]Test order'!F214</f>
        <v>1.8177686333656311</v>
      </c>
      <c r="G214" s="38">
        <f>+'[1]Test order'!G214</f>
        <v>0.76655540568250879</v>
      </c>
      <c r="H214" s="39">
        <f>+'[1]Test order'!H214</f>
        <v>1.5181246995925903</v>
      </c>
      <c r="I214" s="33" t="str">
        <f>+'[1]Test order'!I214</f>
        <v>km/kWh</v>
      </c>
      <c r="J214" s="33" t="str">
        <f>+'[1]Test order'!J214</f>
        <v>Electricity 2050 CITY BUS - TYPICAL 2050 Electric 800 kW MOTORWAY 11090 kg 65.9 kWh /100km 77%</v>
      </c>
      <c r="K214" s="33">
        <f>+'[1]Test order'!K214</f>
        <v>0</v>
      </c>
      <c r="L214" s="33" t="str">
        <f t="shared" si="38"/>
        <v>2050</v>
      </c>
      <c r="M214" s="33" t="str">
        <f t="shared" si="39"/>
        <v>TYPICAL</v>
      </c>
      <c r="N214" s="33" t="str">
        <f t="shared" si="40"/>
        <v xml:space="preserve">CITY BUS </v>
      </c>
      <c r="O214" s="33" t="str">
        <f t="shared" si="41"/>
        <v>Electricity km/kWh</v>
      </c>
      <c r="P214" s="41">
        <f>+'BEV B1'!$F$71</f>
        <v>214137.93103448278</v>
      </c>
      <c r="Q214" s="41">
        <f t="shared" si="42"/>
        <v>121137.93103448278</v>
      </c>
      <c r="R214" s="41">
        <f>+'BEV B1'!$F$73</f>
        <v>45000</v>
      </c>
      <c r="S214" s="41">
        <f>+'BEV B1'!$F$72</f>
        <v>48000</v>
      </c>
      <c r="T214" s="37">
        <f>'[1]Test order'!M214</f>
        <v>11090</v>
      </c>
      <c r="U214" s="37">
        <f t="shared" si="45"/>
        <v>840</v>
      </c>
      <c r="V214" s="37">
        <f>+'FCV B1'!$F$7</f>
        <v>12</v>
      </c>
      <c r="W214" s="34">
        <f t="shared" si="44"/>
        <v>2.8230317884060625</v>
      </c>
      <c r="X214" s="34">
        <f t="shared" si="43"/>
        <v>0.19761222518842436</v>
      </c>
      <c r="Y214" s="42"/>
      <c r="Z214" s="34"/>
    </row>
    <row r="215" spans="1:26" x14ac:dyDescent="0.3">
      <c r="A215" s="33" t="str">
        <f>+'[1]Test order'!A215</f>
        <v>2050 CITY BUS - FULL</v>
      </c>
      <c r="B215" s="33" t="str">
        <f>+'[1]Test order'!B215</f>
        <v>CITY ROUTE</v>
      </c>
      <c r="C215" s="33" t="str">
        <f>+'[1]Test order'!C215</f>
        <v>2050 Electric 800 kW</v>
      </c>
      <c r="D215" s="33" t="str">
        <f>+'[1]Test order'!D215</f>
        <v>Electricity</v>
      </c>
      <c r="E215" s="34">
        <f>+'[1]Test order'!E215</f>
        <v>3.0626880003212889</v>
      </c>
      <c r="F215" s="34">
        <f>+'[1]Test order'!F215</f>
        <v>1.1203869581222534</v>
      </c>
      <c r="G215" s="38">
        <f>+'[1]Test order'!G215</f>
        <v>0.36581818259147525</v>
      </c>
      <c r="H215" s="39">
        <f>+'[1]Test order'!H215</f>
        <v>1.1754380464553833</v>
      </c>
      <c r="I215" s="33" t="str">
        <f>+'[1]Test order'!I215</f>
        <v>km/kWh</v>
      </c>
      <c r="J215" s="33" t="str">
        <f>+'[1]Test order'!J215</f>
        <v>Electricity 2050 CITY BUS - FULL 2050 Electric 800 kW CITY ROUTE 18000 kg 85.1 kWh /100km 37%</v>
      </c>
      <c r="K215" s="33">
        <f>+'[1]Test order'!K215</f>
        <v>0</v>
      </c>
      <c r="L215" s="33" t="str">
        <f t="shared" si="38"/>
        <v>2050</v>
      </c>
      <c r="M215" s="33" t="str">
        <f t="shared" si="39"/>
        <v>FULL</v>
      </c>
      <c r="N215" s="33" t="str">
        <f t="shared" si="40"/>
        <v xml:space="preserve">CITY BUS </v>
      </c>
      <c r="O215" s="33" t="str">
        <f t="shared" si="41"/>
        <v>Electricity km/kWh</v>
      </c>
      <c r="P215" s="41">
        <f>+'BEV B1'!$F$71</f>
        <v>214137.93103448278</v>
      </c>
      <c r="Q215" s="41">
        <f t="shared" si="42"/>
        <v>121137.93103448278</v>
      </c>
      <c r="R215" s="41">
        <f>+'BEV B1'!$F$73</f>
        <v>45000</v>
      </c>
      <c r="S215" s="41">
        <f>+'BEV B1'!$F$72</f>
        <v>48000</v>
      </c>
      <c r="T215" s="37">
        <f>'[1]Test order'!M215</f>
        <v>18000</v>
      </c>
      <c r="U215" s="37">
        <f>+T215-T209</f>
        <v>7750</v>
      </c>
      <c r="V215" s="33">
        <f>+'FCV B1'!$F$4</f>
        <v>63</v>
      </c>
      <c r="W215" s="34">
        <f t="shared" si="44"/>
        <v>0.39518554842855336</v>
      </c>
      <c r="X215" s="34">
        <f t="shared" si="43"/>
        <v>4.8614095243195064E-2</v>
      </c>
      <c r="Y215" s="42"/>
      <c r="Z215" s="34"/>
    </row>
    <row r="216" spans="1:26" x14ac:dyDescent="0.3">
      <c r="A216" s="33" t="str">
        <f>+'[1]Test order'!A216</f>
        <v>2050 CITY BUS - FULL</v>
      </c>
      <c r="B216" s="33" t="str">
        <f>+'[1]Test order'!B216</f>
        <v>RURAL ROUTE</v>
      </c>
      <c r="C216" s="33" t="str">
        <f>+'[1]Test order'!C216</f>
        <v>2050 Electric 800 kW</v>
      </c>
      <c r="D216" s="33" t="str">
        <f>+'[1]Test order'!D216</f>
        <v>Electricity</v>
      </c>
      <c r="E216" s="34">
        <f>+'[1]Test order'!E216</f>
        <v>2.5928673668730529</v>
      </c>
      <c r="F216" s="34">
        <f>+'[1]Test order'!F216</f>
        <v>1.7474362850189209</v>
      </c>
      <c r="G216" s="38">
        <f>+'[1]Test order'!G216</f>
        <v>0.67393971143471743</v>
      </c>
      <c r="H216" s="39">
        <f>+'[1]Test order'!H216</f>
        <v>1.388424277305603</v>
      </c>
      <c r="I216" s="33" t="str">
        <f>+'[1]Test order'!I216</f>
        <v>km/kWh</v>
      </c>
      <c r="J216" s="33" t="str">
        <f>+'[1]Test order'!J216</f>
        <v>Electricity 2050 CITY BUS - FULL 2050 Electric 800 kW RURAL ROUTE 18000 kg 72.0 kWh /100km 67%</v>
      </c>
      <c r="K216" s="33">
        <f>+'[1]Test order'!K216</f>
        <v>0</v>
      </c>
      <c r="L216" s="33" t="str">
        <f t="shared" si="38"/>
        <v>2050</v>
      </c>
      <c r="M216" s="33" t="str">
        <f t="shared" si="39"/>
        <v>FULL</v>
      </c>
      <c r="N216" s="33" t="str">
        <f t="shared" si="40"/>
        <v xml:space="preserve">CITY BUS </v>
      </c>
      <c r="O216" s="33" t="str">
        <f t="shared" si="41"/>
        <v>Electricity km/kWh</v>
      </c>
      <c r="P216" s="41">
        <f>+'BEV B1'!$F$71</f>
        <v>214137.93103448278</v>
      </c>
      <c r="Q216" s="41">
        <f t="shared" si="42"/>
        <v>121137.93103448278</v>
      </c>
      <c r="R216" s="41">
        <f>+'BEV B1'!$F$73</f>
        <v>45000</v>
      </c>
      <c r="S216" s="41">
        <f>+'BEV B1'!$F$72</f>
        <v>48000</v>
      </c>
      <c r="T216" s="37">
        <f>'[1]Test order'!M216</f>
        <v>18000</v>
      </c>
      <c r="U216" s="37">
        <f t="shared" ref="U216:U217" si="46">+T216-T210</f>
        <v>7750</v>
      </c>
      <c r="V216" s="33">
        <f>+'FCV B1'!$F$4</f>
        <v>63</v>
      </c>
      <c r="W216" s="34">
        <f t="shared" si="44"/>
        <v>0.33456353120942617</v>
      </c>
      <c r="X216" s="34">
        <f t="shared" si="43"/>
        <v>4.1156624871000837E-2</v>
      </c>
      <c r="Y216" s="42"/>
      <c r="Z216" s="34"/>
    </row>
    <row r="217" spans="1:26" x14ac:dyDescent="0.3">
      <c r="A217" s="33" t="str">
        <f>+'[1]Test order'!A217</f>
        <v>2050 CITY BUS - FULL</v>
      </c>
      <c r="B217" s="33" t="str">
        <f>+'[1]Test order'!B217</f>
        <v>MOTORWAY</v>
      </c>
      <c r="C217" s="33" t="str">
        <f>+'[1]Test order'!C217</f>
        <v>2050 Electric 800 kW</v>
      </c>
      <c r="D217" s="33" t="str">
        <f>+'[1]Test order'!D217</f>
        <v>Electricity</v>
      </c>
      <c r="E217" s="34">
        <f>+'[1]Test order'!E217</f>
        <v>2.7041310118337449</v>
      </c>
      <c r="F217" s="34">
        <f>+'[1]Test order'!F217</f>
        <v>2.0889230370521545</v>
      </c>
      <c r="G217" s="38">
        <f>+'[1]Test order'!G217</f>
        <v>0.77249328080284063</v>
      </c>
      <c r="H217" s="39">
        <f>+'[1]Test order'!H217</f>
        <v>1.331296443939209</v>
      </c>
      <c r="I217" s="33" t="str">
        <f>+'[1]Test order'!I217</f>
        <v>km/kWh</v>
      </c>
      <c r="J217" s="33" t="str">
        <f>+'[1]Test order'!J217</f>
        <v>Electricity 2050 CITY BUS - FULL 2050 Electric 800 kW MOTORWAY 18000 kg 75.1 kWh /100km 77%</v>
      </c>
      <c r="K217" s="33">
        <f>+'[1]Test order'!K217</f>
        <v>0</v>
      </c>
      <c r="L217" s="33" t="str">
        <f t="shared" si="38"/>
        <v>2050</v>
      </c>
      <c r="M217" s="33" t="str">
        <f t="shared" si="39"/>
        <v>FULL</v>
      </c>
      <c r="N217" s="33" t="str">
        <f t="shared" si="40"/>
        <v xml:space="preserve">CITY BUS </v>
      </c>
      <c r="O217" s="33" t="str">
        <f t="shared" si="41"/>
        <v>Electricity km/kWh</v>
      </c>
      <c r="P217" s="41">
        <f>+'BEV B1'!$F$71</f>
        <v>214137.93103448278</v>
      </c>
      <c r="Q217" s="41">
        <f t="shared" si="42"/>
        <v>121137.93103448278</v>
      </c>
      <c r="R217" s="41">
        <f>+'BEV B1'!$F$73</f>
        <v>45000</v>
      </c>
      <c r="S217" s="41">
        <f>+'BEV B1'!$F$72</f>
        <v>48000</v>
      </c>
      <c r="T217" s="37">
        <f>'[1]Test order'!M217</f>
        <v>18000</v>
      </c>
      <c r="U217" s="37">
        <f t="shared" si="46"/>
        <v>7750</v>
      </c>
      <c r="V217" s="33">
        <f>+'FCV B1'!$F$4</f>
        <v>63</v>
      </c>
      <c r="W217" s="34">
        <f t="shared" si="44"/>
        <v>0.34892013055919291</v>
      </c>
      <c r="X217" s="34">
        <f t="shared" si="43"/>
        <v>4.2922714473551504E-2</v>
      </c>
      <c r="Y217" s="42"/>
      <c r="Z217" s="34"/>
    </row>
    <row r="218" spans="1:26" x14ac:dyDescent="0.3">
      <c r="A218" s="33" t="str">
        <f>+'[1]Test order'!A218</f>
        <v>2050 TOURIST BUS - EMPTY</v>
      </c>
      <c r="B218" s="33" t="str">
        <f>+'[1]Test order'!B218</f>
        <v>CITY ROUTE</v>
      </c>
      <c r="C218" s="33" t="str">
        <f>+'[1]Test order'!C218</f>
        <v>2050 Electric 800 kW</v>
      </c>
      <c r="D218" s="33" t="str">
        <f>+'[1]Test order'!D218</f>
        <v>Electricity</v>
      </c>
      <c r="E218" s="34">
        <f>+'[1]Test order'!E218</f>
        <v>2.0110297889433477</v>
      </c>
      <c r="F218" s="34">
        <f>+'[1]Test order'!F218</f>
        <v>0.76164537668228149</v>
      </c>
      <c r="G218" s="38">
        <f>+'[1]Test order'!G218</f>
        <v>0.37873401024182324</v>
      </c>
      <c r="H218" s="39">
        <f>+'[1]Test order'!H218</f>
        <v>1.7901276350021362</v>
      </c>
      <c r="I218" s="33" t="str">
        <f>+'[1]Test order'!I218</f>
        <v>km/kWh</v>
      </c>
      <c r="J218" s="33" t="str">
        <f>+'[1]Test order'!J218</f>
        <v>Electricity 2050 TOURIST BUS - EMPTY 2050 Electric 800 kW CITY ROUTE 11200 kg 55.9 kWh /100km 38%</v>
      </c>
      <c r="K218" s="33">
        <f>+'[1]Test order'!K218</f>
        <v>0</v>
      </c>
      <c r="L218" s="33" t="str">
        <f t="shared" si="38"/>
        <v>2050</v>
      </c>
      <c r="M218" s="33" t="str">
        <f t="shared" si="39"/>
        <v>EMPTY</v>
      </c>
      <c r="N218" s="33" t="str">
        <f t="shared" si="40"/>
        <v xml:space="preserve">TOURIST BUS </v>
      </c>
      <c r="O218" s="33" t="str">
        <f t="shared" si="41"/>
        <v>Electricity km/kWh</v>
      </c>
      <c r="P218" s="41">
        <f>+'BEV B2'!$F$71</f>
        <v>304637.93103448278</v>
      </c>
      <c r="Q218" s="41">
        <f t="shared" si="42"/>
        <v>184637.93103448278</v>
      </c>
      <c r="R218" s="41">
        <f>+'BEV B2'!$F$73</f>
        <v>60000</v>
      </c>
      <c r="S218" s="41">
        <f>+'BEV B2'!$F$72</f>
        <v>60000</v>
      </c>
      <c r="T218" s="37">
        <f>'[1]Test order'!M218</f>
        <v>11200</v>
      </c>
      <c r="U218" s="33">
        <v>0</v>
      </c>
      <c r="V218" s="33">
        <v>0</v>
      </c>
      <c r="W218" s="34" t="e">
        <f t="shared" si="44"/>
        <v>#N/A</v>
      </c>
      <c r="X218" s="34" t="str">
        <f t="shared" si="43"/>
        <v/>
      </c>
      <c r="Y218" s="42"/>
      <c r="Z218" s="34"/>
    </row>
    <row r="219" spans="1:26" x14ac:dyDescent="0.3">
      <c r="A219" s="33" t="str">
        <f>+'[1]Test order'!A219</f>
        <v>2050 TOURIST BUS - EMPTY</v>
      </c>
      <c r="B219" s="33" t="str">
        <f>+'[1]Test order'!B219</f>
        <v>RURAL ROUTE</v>
      </c>
      <c r="C219" s="33" t="str">
        <f>+'[1]Test order'!C219</f>
        <v>2050 Electric 800 kW</v>
      </c>
      <c r="D219" s="33" t="str">
        <f>+'[1]Test order'!D219</f>
        <v>Electricity</v>
      </c>
      <c r="E219" s="34">
        <f>+'[1]Test order'!E219</f>
        <v>1.8617823698348606</v>
      </c>
      <c r="F219" s="34">
        <f>+'[1]Test order'!F219</f>
        <v>1.2492440342903137</v>
      </c>
      <c r="G219" s="38">
        <f>+'[1]Test order'!G219</f>
        <v>0.67099358900961192</v>
      </c>
      <c r="H219" s="39">
        <f>+'[1]Test order'!H219</f>
        <v>1.9336309432983398</v>
      </c>
      <c r="I219" s="33" t="str">
        <f>+'[1]Test order'!I219</f>
        <v>km/kWh</v>
      </c>
      <c r="J219" s="33" t="str">
        <f>+'[1]Test order'!J219</f>
        <v>Electricity 2050 TOURIST BUS - EMPTY 2050 Electric 800 kW RURAL ROUTE 11200 kg 51.7 kWh /100km 67%</v>
      </c>
      <c r="K219" s="33">
        <f>+'[1]Test order'!K219</f>
        <v>0</v>
      </c>
      <c r="L219" s="33" t="str">
        <f t="shared" si="38"/>
        <v>2050</v>
      </c>
      <c r="M219" s="33" t="str">
        <f t="shared" si="39"/>
        <v>EMPTY</v>
      </c>
      <c r="N219" s="33" t="str">
        <f t="shared" si="40"/>
        <v xml:space="preserve">TOURIST BUS </v>
      </c>
      <c r="O219" s="33" t="str">
        <f t="shared" si="41"/>
        <v>Electricity km/kWh</v>
      </c>
      <c r="P219" s="41">
        <f>+'BEV B2'!$F$71</f>
        <v>304637.93103448278</v>
      </c>
      <c r="Q219" s="41">
        <f t="shared" si="42"/>
        <v>184637.93103448278</v>
      </c>
      <c r="R219" s="41">
        <f>+'BEV B2'!$F$73</f>
        <v>60000</v>
      </c>
      <c r="S219" s="41">
        <f>+'BEV B2'!$F$72</f>
        <v>60000</v>
      </c>
      <c r="T219" s="37">
        <f>'[1]Test order'!M219</f>
        <v>11200</v>
      </c>
      <c r="U219" s="33">
        <v>0</v>
      </c>
      <c r="V219" s="33">
        <v>0</v>
      </c>
      <c r="W219" s="34" t="e">
        <f t="shared" si="44"/>
        <v>#N/A</v>
      </c>
      <c r="X219" s="34" t="str">
        <f t="shared" si="43"/>
        <v/>
      </c>
      <c r="Y219" s="42"/>
      <c r="Z219" s="34"/>
    </row>
    <row r="220" spans="1:26" x14ac:dyDescent="0.3">
      <c r="A220" s="33" t="str">
        <f>+'[1]Test order'!A220</f>
        <v>2050 TOURIST BUS - EMPTY</v>
      </c>
      <c r="B220" s="33" t="str">
        <f>+'[1]Test order'!B220</f>
        <v>MOTORWAY</v>
      </c>
      <c r="C220" s="33" t="str">
        <f>+'[1]Test order'!C220</f>
        <v>2050 Electric 800 kW</v>
      </c>
      <c r="D220" s="33" t="str">
        <f>+'[1]Test order'!D220</f>
        <v>Electricity</v>
      </c>
      <c r="E220" s="34">
        <f>+'[1]Test order'!E220</f>
        <v>2.0154925017497662</v>
      </c>
      <c r="F220" s="34">
        <f>+'[1]Test order'!F220</f>
        <v>1.5148454010486603</v>
      </c>
      <c r="G220" s="38">
        <f>+'[1]Test order'!G220</f>
        <v>0.75160061361356334</v>
      </c>
      <c r="H220" s="39">
        <f>+'[1]Test order'!H220</f>
        <v>1.7861639261245728</v>
      </c>
      <c r="I220" s="33" t="str">
        <f>+'[1]Test order'!I220</f>
        <v>km/kWh</v>
      </c>
      <c r="J220" s="33" t="str">
        <f>+'[1]Test order'!J220</f>
        <v>Electricity 2050 TOURIST BUS - EMPTY 2050 Electric 800 kW MOTORWAY 11200 kg 56.0 kWh /100km 75%</v>
      </c>
      <c r="K220" s="33">
        <f>+'[1]Test order'!K220</f>
        <v>0</v>
      </c>
      <c r="L220" s="33" t="str">
        <f t="shared" si="38"/>
        <v>2050</v>
      </c>
      <c r="M220" s="33" t="str">
        <f t="shared" si="39"/>
        <v>EMPTY</v>
      </c>
      <c r="N220" s="33" t="str">
        <f t="shared" si="40"/>
        <v xml:space="preserve">TOURIST BUS </v>
      </c>
      <c r="O220" s="33" t="str">
        <f t="shared" si="41"/>
        <v>Electricity km/kWh</v>
      </c>
      <c r="P220" s="41">
        <f>+'BEV B2'!$F$71</f>
        <v>304637.93103448278</v>
      </c>
      <c r="Q220" s="41">
        <f t="shared" si="42"/>
        <v>184637.93103448278</v>
      </c>
      <c r="R220" s="41">
        <f>+'BEV B2'!$F$73</f>
        <v>60000</v>
      </c>
      <c r="S220" s="41">
        <f>+'BEV B2'!$F$72</f>
        <v>60000</v>
      </c>
      <c r="T220" s="37">
        <f>'[1]Test order'!M220</f>
        <v>11200</v>
      </c>
      <c r="U220" s="33">
        <v>0</v>
      </c>
      <c r="V220" s="33">
        <v>0</v>
      </c>
      <c r="W220" s="34" t="e">
        <f t="shared" si="44"/>
        <v>#N/A</v>
      </c>
      <c r="X220" s="34" t="str">
        <f t="shared" si="43"/>
        <v/>
      </c>
      <c r="Y220" s="42"/>
      <c r="Z220" s="34"/>
    </row>
    <row r="221" spans="1:26" x14ac:dyDescent="0.3">
      <c r="A221" s="33" t="str">
        <f>+'[1]Test order'!A221</f>
        <v>2050 TOURIST BUS - TYPICAL</v>
      </c>
      <c r="B221" s="33" t="str">
        <f>+'[1]Test order'!B221</f>
        <v>CITY ROUTE</v>
      </c>
      <c r="C221" s="33" t="str">
        <f>+'[1]Test order'!C221</f>
        <v>2050 Electric 800 kW</v>
      </c>
      <c r="D221" s="33" t="str">
        <f>+'[1]Test order'!D221</f>
        <v>Electricity</v>
      </c>
      <c r="E221" s="34">
        <f>+'[1]Test order'!E221</f>
        <v>2.2410142190434703</v>
      </c>
      <c r="F221" s="34">
        <f>+'[1]Test order'!F221</f>
        <v>0.83028307557106018</v>
      </c>
      <c r="G221" s="38">
        <f>+'[1]Test order'!G221</f>
        <v>0.37049433623203382</v>
      </c>
      <c r="H221" s="39">
        <f>+'[1]Test order'!H221</f>
        <v>1.6064155101776123</v>
      </c>
      <c r="I221" s="33" t="str">
        <f>+'[1]Test order'!I221</f>
        <v>km/kWh</v>
      </c>
      <c r="J221" s="33" t="str">
        <f>+'[1]Test order'!J221</f>
        <v>Electricity 2050 TOURIST BUS - TYPICAL 2050 Electric 800 kW CITY ROUTE 12950 kg 62.3 kWh /100km 37%</v>
      </c>
      <c r="K221" s="33">
        <f>+'[1]Test order'!K221</f>
        <v>0</v>
      </c>
      <c r="L221" s="33" t="str">
        <f t="shared" si="38"/>
        <v>2050</v>
      </c>
      <c r="M221" s="33" t="str">
        <f t="shared" si="39"/>
        <v>TYPICAL</v>
      </c>
      <c r="N221" s="33" t="str">
        <f t="shared" si="40"/>
        <v xml:space="preserve">TOURIST BUS </v>
      </c>
      <c r="O221" s="33" t="str">
        <f t="shared" si="41"/>
        <v>Electricity km/kWh</v>
      </c>
      <c r="P221" s="41">
        <f>+'BEV B2'!$F$71</f>
        <v>304637.93103448278</v>
      </c>
      <c r="Q221" s="41">
        <f t="shared" si="42"/>
        <v>184637.93103448278</v>
      </c>
      <c r="R221" s="41">
        <f>+'BEV B2'!$F$73</f>
        <v>60000</v>
      </c>
      <c r="S221" s="41">
        <f>+'BEV B2'!$F$72</f>
        <v>60000</v>
      </c>
      <c r="T221" s="37">
        <f>'[1]Test order'!M221</f>
        <v>12950</v>
      </c>
      <c r="U221" s="37">
        <f>+T221-T218</f>
        <v>1750</v>
      </c>
      <c r="V221" s="37">
        <f>+'FCV B2'!$F$7</f>
        <v>25</v>
      </c>
      <c r="W221" s="34">
        <f t="shared" si="44"/>
        <v>1.280579553739126</v>
      </c>
      <c r="X221" s="34">
        <f t="shared" si="43"/>
        <v>8.9640568761738815E-2</v>
      </c>
      <c r="Y221" s="42"/>
      <c r="Z221" s="34"/>
    </row>
    <row r="222" spans="1:26" x14ac:dyDescent="0.3">
      <c r="A222" s="33" t="str">
        <f>+'[1]Test order'!A222</f>
        <v>2050 TOURIST BUS - TYPICAL</v>
      </c>
      <c r="B222" s="33" t="str">
        <f>+'[1]Test order'!B222</f>
        <v>RURAL ROUTE</v>
      </c>
      <c r="C222" s="33" t="str">
        <f>+'[1]Test order'!C222</f>
        <v>2050 Electric 800 kW</v>
      </c>
      <c r="D222" s="33" t="str">
        <f>+'[1]Test order'!D222</f>
        <v>Electricity</v>
      </c>
      <c r="E222" s="34">
        <f>+'[1]Test order'!E222</f>
        <v>1.9789811274239808</v>
      </c>
      <c r="F222" s="34">
        <f>+'[1]Test order'!F222</f>
        <v>1.3179149627685547</v>
      </c>
      <c r="G222" s="38">
        <f>+'[1]Test order'!G222</f>
        <v>0.66595630676077788</v>
      </c>
      <c r="H222" s="39">
        <f>+'[1]Test order'!H222</f>
        <v>1.8191179037094116</v>
      </c>
      <c r="I222" s="33" t="str">
        <f>+'[1]Test order'!I222</f>
        <v>km/kWh</v>
      </c>
      <c r="J222" s="33" t="str">
        <f>+'[1]Test order'!J222</f>
        <v>Electricity 2050 TOURIST BUS - TYPICAL 2050 Electric 800 kW RURAL ROUTE 12950 kg 55.0 kWh /100km 67%</v>
      </c>
      <c r="K222" s="33">
        <f>+'[1]Test order'!K222</f>
        <v>0</v>
      </c>
      <c r="L222" s="33" t="str">
        <f t="shared" si="38"/>
        <v>2050</v>
      </c>
      <c r="M222" s="33" t="str">
        <f t="shared" si="39"/>
        <v>TYPICAL</v>
      </c>
      <c r="N222" s="33" t="str">
        <f t="shared" si="40"/>
        <v xml:space="preserve">TOURIST BUS </v>
      </c>
      <c r="O222" s="33" t="str">
        <f t="shared" si="41"/>
        <v>Electricity km/kWh</v>
      </c>
      <c r="P222" s="41">
        <f>+'BEV B2'!$F$71</f>
        <v>304637.93103448278</v>
      </c>
      <c r="Q222" s="41">
        <f t="shared" si="42"/>
        <v>184637.93103448278</v>
      </c>
      <c r="R222" s="41">
        <f>+'BEV B2'!$F$73</f>
        <v>60000</v>
      </c>
      <c r="S222" s="41">
        <f>+'BEV B2'!$F$72</f>
        <v>60000</v>
      </c>
      <c r="T222" s="37">
        <f>'[1]Test order'!M222</f>
        <v>12950</v>
      </c>
      <c r="U222" s="37">
        <f t="shared" ref="U222:U223" si="47">+T222-T219</f>
        <v>1750</v>
      </c>
      <c r="V222" s="37">
        <f>+'FCV B2'!$F$7</f>
        <v>25</v>
      </c>
      <c r="W222" s="34">
        <f t="shared" si="44"/>
        <v>1.1308463585279891</v>
      </c>
      <c r="X222" s="34">
        <f t="shared" si="43"/>
        <v>7.9159245096959235E-2</v>
      </c>
      <c r="Y222" s="42"/>
      <c r="Z222" s="34"/>
    </row>
    <row r="223" spans="1:26" x14ac:dyDescent="0.3">
      <c r="A223" s="33" t="str">
        <f>+'[1]Test order'!A223</f>
        <v>2050 TOURIST BUS - TYPICAL</v>
      </c>
      <c r="B223" s="33" t="str">
        <f>+'[1]Test order'!B223</f>
        <v>MOTORWAY</v>
      </c>
      <c r="C223" s="33" t="str">
        <f>+'[1]Test order'!C223</f>
        <v>2050 Electric 800 kW</v>
      </c>
      <c r="D223" s="33" t="str">
        <f>+'[1]Test order'!D223</f>
        <v>Electricity</v>
      </c>
      <c r="E223" s="34">
        <f>+'[1]Test order'!E223</f>
        <v>2.0999481392793431</v>
      </c>
      <c r="F223" s="34">
        <f>+'[1]Test order'!F223</f>
        <v>1.5835158824920654</v>
      </c>
      <c r="G223" s="38">
        <f>+'[1]Test order'!G223</f>
        <v>0.75407380442999605</v>
      </c>
      <c r="H223" s="39">
        <f>+'[1]Test order'!H223</f>
        <v>1.7143280506134033</v>
      </c>
      <c r="I223" s="33" t="str">
        <f>+'[1]Test order'!I223</f>
        <v>km/kWh</v>
      </c>
      <c r="J223" s="33" t="str">
        <f>+'[1]Test order'!J223</f>
        <v>Electricity 2050 TOURIST BUS - TYPICAL 2050 Electric 800 kW MOTORWAY 12950 kg 58.3 kWh /100km 75%</v>
      </c>
      <c r="K223" s="33">
        <f>+'[1]Test order'!K223</f>
        <v>0</v>
      </c>
      <c r="L223" s="33" t="str">
        <f t="shared" si="38"/>
        <v>2050</v>
      </c>
      <c r="M223" s="33" t="str">
        <f t="shared" si="39"/>
        <v>TYPICAL</v>
      </c>
      <c r="N223" s="33" t="str">
        <f t="shared" si="40"/>
        <v xml:space="preserve">TOURIST BUS </v>
      </c>
      <c r="O223" s="33" t="str">
        <f t="shared" si="41"/>
        <v>Electricity km/kWh</v>
      </c>
      <c r="P223" s="41">
        <f>+'BEV B2'!$F$71</f>
        <v>304637.93103448278</v>
      </c>
      <c r="Q223" s="41">
        <f t="shared" si="42"/>
        <v>184637.93103448278</v>
      </c>
      <c r="R223" s="41">
        <f>+'BEV B2'!$F$73</f>
        <v>60000</v>
      </c>
      <c r="S223" s="41">
        <f>+'BEV B2'!$F$72</f>
        <v>60000</v>
      </c>
      <c r="T223" s="37">
        <f>'[1]Test order'!M223</f>
        <v>12950</v>
      </c>
      <c r="U223" s="37">
        <f t="shared" si="47"/>
        <v>1750</v>
      </c>
      <c r="V223" s="37">
        <f>+'FCV B2'!$F$7</f>
        <v>25</v>
      </c>
      <c r="W223" s="34">
        <f t="shared" si="44"/>
        <v>1.1999703653024818</v>
      </c>
      <c r="X223" s="34">
        <f t="shared" si="43"/>
        <v>8.399792557117372E-2</v>
      </c>
      <c r="Y223" s="42"/>
      <c r="Z223" s="34"/>
    </row>
    <row r="224" spans="1:26" x14ac:dyDescent="0.3">
      <c r="A224" s="33" t="str">
        <f>+'[1]Test order'!A224</f>
        <v>2050 TOURIST BUS - FULL</v>
      </c>
      <c r="B224" s="33" t="str">
        <f>+'[1]Test order'!B224</f>
        <v>CITY ROUTE</v>
      </c>
      <c r="C224" s="33" t="str">
        <f>+'[1]Test order'!C224</f>
        <v>2050 Electric 800 kW</v>
      </c>
      <c r="D224" s="33" t="str">
        <f>+'[1]Test order'!D224</f>
        <v>Electricity</v>
      </c>
      <c r="E224" s="34">
        <f>+'[1]Test order'!E224</f>
        <v>2.9617900403042507</v>
      </c>
      <c r="F224" s="34">
        <f>+'[1]Test order'!F224</f>
        <v>1.0281851291656494</v>
      </c>
      <c r="G224" s="38">
        <f>+'[1]Test order'!G224</f>
        <v>0.34714990433961646</v>
      </c>
      <c r="H224" s="39">
        <f>+'[1]Test order'!H224</f>
        <v>1.215481162071228</v>
      </c>
      <c r="I224" s="33" t="str">
        <f>+'[1]Test order'!I224</f>
        <v>km/kWh</v>
      </c>
      <c r="J224" s="33" t="str">
        <f>+'[1]Test order'!J224</f>
        <v>Electricity 2050 TOURIST BUS - FULL 2050 Electric 800 kW CITY ROUTE 18000 kg 82.3 kWh /100km 35%</v>
      </c>
      <c r="K224" s="33">
        <f>+'[1]Test order'!K224</f>
        <v>0</v>
      </c>
      <c r="L224" s="33" t="str">
        <f t="shared" si="38"/>
        <v>2050</v>
      </c>
      <c r="M224" s="33" t="str">
        <f t="shared" si="39"/>
        <v>FULL</v>
      </c>
      <c r="N224" s="33" t="str">
        <f t="shared" si="40"/>
        <v xml:space="preserve">TOURIST BUS </v>
      </c>
      <c r="O224" s="33" t="str">
        <f t="shared" si="41"/>
        <v>Electricity km/kWh</v>
      </c>
      <c r="P224" s="41">
        <f>+'BEV B2'!$F$71</f>
        <v>304637.93103448278</v>
      </c>
      <c r="Q224" s="41">
        <f t="shared" si="42"/>
        <v>184637.93103448278</v>
      </c>
      <c r="R224" s="41">
        <f>+'BEV B2'!$F$73</f>
        <v>60000</v>
      </c>
      <c r="S224" s="41">
        <f>+'BEV B2'!$F$72</f>
        <v>60000</v>
      </c>
      <c r="T224" s="37">
        <f>'[1]Test order'!M224</f>
        <v>18000</v>
      </c>
      <c r="U224" s="37">
        <f>+T224-T218</f>
        <v>6800</v>
      </c>
      <c r="V224" s="33">
        <f>+'FCV B2'!$F$4</f>
        <v>55</v>
      </c>
      <c r="W224" s="34">
        <f t="shared" si="44"/>
        <v>0.43555735886827218</v>
      </c>
      <c r="X224" s="34">
        <f t="shared" si="43"/>
        <v>5.3850728005531832E-2</v>
      </c>
      <c r="Y224" s="42"/>
      <c r="Z224" s="34"/>
    </row>
    <row r="225" spans="1:26" x14ac:dyDescent="0.3">
      <c r="A225" s="33" t="str">
        <f>+'[1]Test order'!A225</f>
        <v>2050 TOURIST BUS - FULL</v>
      </c>
      <c r="B225" s="33" t="str">
        <f>+'[1]Test order'!B225</f>
        <v>RURAL ROUTE</v>
      </c>
      <c r="C225" s="33" t="str">
        <f>+'[1]Test order'!C225</f>
        <v>2050 Electric 800 kW</v>
      </c>
      <c r="D225" s="33" t="str">
        <f>+'[1]Test order'!D225</f>
        <v>Electricity</v>
      </c>
      <c r="E225" s="34">
        <f>+'[1]Test order'!E225</f>
        <v>2.3283784090104787</v>
      </c>
      <c r="F225" s="34">
        <f>+'[1]Test order'!F225</f>
        <v>1.5160781741142273</v>
      </c>
      <c r="G225" s="38">
        <f>+'[1]Test order'!G225</f>
        <v>0.65113048989254918</v>
      </c>
      <c r="H225" s="39">
        <f>+'[1]Test order'!H225</f>
        <v>1.5461404323577881</v>
      </c>
      <c r="I225" s="33" t="str">
        <f>+'[1]Test order'!I225</f>
        <v>km/kWh</v>
      </c>
      <c r="J225" s="33" t="str">
        <f>+'[1]Test order'!J225</f>
        <v>Electricity 2050 TOURIST BUS - FULL 2050 Electric 800 kW RURAL ROUTE 18000 kg 64.7 kWh /100km 65%</v>
      </c>
      <c r="K225" s="33">
        <f>+'[1]Test order'!K225</f>
        <v>0</v>
      </c>
      <c r="L225" s="33" t="str">
        <f t="shared" si="38"/>
        <v>2050</v>
      </c>
      <c r="M225" s="33" t="str">
        <f t="shared" si="39"/>
        <v>FULL</v>
      </c>
      <c r="N225" s="33" t="str">
        <f t="shared" si="40"/>
        <v xml:space="preserve">TOURIST BUS </v>
      </c>
      <c r="O225" s="33" t="str">
        <f t="shared" si="41"/>
        <v>Electricity km/kWh</v>
      </c>
      <c r="P225" s="41">
        <f>+'BEV B2'!$F$71</f>
        <v>304637.93103448278</v>
      </c>
      <c r="Q225" s="41">
        <f t="shared" si="42"/>
        <v>184637.93103448278</v>
      </c>
      <c r="R225" s="41">
        <f>+'BEV B2'!$F$73</f>
        <v>60000</v>
      </c>
      <c r="S225" s="41">
        <f>+'BEV B2'!$F$72</f>
        <v>60000</v>
      </c>
      <c r="T225" s="37">
        <f>'[1]Test order'!M225</f>
        <v>18000</v>
      </c>
      <c r="U225" s="37">
        <f t="shared" ref="U225:U226" si="48">+T225-T219</f>
        <v>6800</v>
      </c>
      <c r="V225" s="33">
        <f>+'FCV B2'!$F$4</f>
        <v>55</v>
      </c>
      <c r="W225" s="34">
        <f t="shared" si="44"/>
        <v>0.34240858956036452</v>
      </c>
      <c r="X225" s="34">
        <f t="shared" si="43"/>
        <v>4.2334152891099611E-2</v>
      </c>
      <c r="Y225" s="42"/>
      <c r="Z225" s="34"/>
    </row>
    <row r="226" spans="1:26" x14ac:dyDescent="0.3">
      <c r="A226" s="33" t="str">
        <f>+'[1]Test order'!A226</f>
        <v>2050 TOURIST BUS - FULL</v>
      </c>
      <c r="B226" s="33" t="str">
        <f>+'[1]Test order'!B226</f>
        <v>MOTORWAY</v>
      </c>
      <c r="C226" s="33" t="str">
        <f>+'[1]Test order'!C226</f>
        <v>2050 Electric 800 kW</v>
      </c>
      <c r="D226" s="33" t="str">
        <f>+'[1]Test order'!D226</f>
        <v>Electricity</v>
      </c>
      <c r="E226" s="34">
        <f>+'[1]Test order'!E226</f>
        <v>2.3499518204838155</v>
      </c>
      <c r="F226" s="34">
        <f>+'[1]Test order'!F226</f>
        <v>1.7816804051399231</v>
      </c>
      <c r="G226" s="38">
        <f>+'[1]Test order'!G226</f>
        <v>0.75817741862175925</v>
      </c>
      <c r="H226" s="39">
        <f>+'[1]Test order'!H226</f>
        <v>1.5319463014602661</v>
      </c>
      <c r="I226" s="33" t="str">
        <f>+'[1]Test order'!I226</f>
        <v>km/kWh</v>
      </c>
      <c r="J226" s="33" t="str">
        <f>+'[1]Test order'!J226</f>
        <v>Electricity 2050 TOURIST BUS - FULL 2050 Electric 800 kW MOTORWAY 18000 kg 65.3 kWh /100km 76%</v>
      </c>
      <c r="K226" s="33">
        <f>+'[1]Test order'!K226</f>
        <v>0</v>
      </c>
      <c r="L226" s="33" t="str">
        <f t="shared" si="38"/>
        <v>2050</v>
      </c>
      <c r="M226" s="33" t="str">
        <f t="shared" si="39"/>
        <v>FULL</v>
      </c>
      <c r="N226" s="33" t="str">
        <f t="shared" si="40"/>
        <v xml:space="preserve">TOURIST BUS </v>
      </c>
      <c r="O226" s="33" t="str">
        <f t="shared" si="41"/>
        <v>Electricity km/kWh</v>
      </c>
      <c r="P226" s="41">
        <f>+'BEV B2'!$F$71</f>
        <v>304637.93103448278</v>
      </c>
      <c r="Q226" s="41">
        <f t="shared" si="42"/>
        <v>184637.93103448278</v>
      </c>
      <c r="R226" s="41">
        <f>+'BEV B2'!$F$73</f>
        <v>60000</v>
      </c>
      <c r="S226" s="41">
        <f>+'BEV B2'!$F$72</f>
        <v>60000</v>
      </c>
      <c r="T226" s="37">
        <f>'[1]Test order'!M226</f>
        <v>18000</v>
      </c>
      <c r="U226" s="37">
        <f t="shared" si="48"/>
        <v>6800</v>
      </c>
      <c r="V226" s="33">
        <f>+'FCV B2'!$F$4</f>
        <v>55</v>
      </c>
      <c r="W226" s="34">
        <f t="shared" si="44"/>
        <v>0.34558115007114931</v>
      </c>
      <c r="X226" s="34">
        <f t="shared" si="43"/>
        <v>4.2726396736069372E-2</v>
      </c>
      <c r="Y226" s="42"/>
      <c r="Z226" s="34"/>
    </row>
    <row r="227" spans="1:26" x14ac:dyDescent="0.3">
      <c r="A227" s="33" t="str">
        <f>+'[1]Test order'!A227</f>
        <v>2050 RIGID TRUCK - EMPTY</v>
      </c>
      <c r="B227" s="33" t="str">
        <f>+'[1]Test order'!B227</f>
        <v>URBAN DELIVERY</v>
      </c>
      <c r="C227" s="33" t="str">
        <f>+'[1]Test order'!C227</f>
        <v>2050 Fuel Cell 800 kW</v>
      </c>
      <c r="D227" s="33" t="str">
        <f>+'[1]Test order'!D227</f>
        <v>Hydrogen</v>
      </c>
      <c r="E227" s="34">
        <f>+'[1]Test order'!E227</f>
        <v>2.8401468467215527</v>
      </c>
      <c r="F227" s="34">
        <f>+'[1]Test order'!F227</f>
        <v>0.83436691761016846</v>
      </c>
      <c r="G227" s="38">
        <f>+'[1]Test order'!G227</f>
        <v>0.29377597801793154</v>
      </c>
      <c r="H227" s="39">
        <f>+'[1]Test order'!H227</f>
        <v>41.828823089599609</v>
      </c>
      <c r="I227" s="33" t="str">
        <f>+'[1]Test order'!I227</f>
        <v>km/kg</v>
      </c>
      <c r="J227" s="33" t="str">
        <f>+'[1]Test order'!J227</f>
        <v>Hydrogen 2050 RIGID TRUCK - EMPTY 2050 Fuel Cell 800 kW URBAN DELIVERY 8254.68 kg 2.4 kg /100km 29%</v>
      </c>
      <c r="K227" s="33">
        <f>+'[1]Test order'!K227</f>
        <v>0</v>
      </c>
      <c r="L227" s="33" t="str">
        <f t="shared" si="38"/>
        <v>2050</v>
      </c>
      <c r="M227" s="33" t="str">
        <f t="shared" si="39"/>
        <v>EMPTY</v>
      </c>
      <c r="N227" s="33" t="str">
        <f t="shared" si="40"/>
        <v xml:space="preserve">RIGID TRUCK </v>
      </c>
      <c r="O227" s="33" t="str">
        <f t="shared" si="41"/>
        <v>Hydrogen km/kg</v>
      </c>
      <c r="P227" s="41">
        <f>+'FCV L1'!$F$71</f>
        <v>193542</v>
      </c>
      <c r="Q227" s="41">
        <f t="shared" si="42"/>
        <v>100150</v>
      </c>
      <c r="R227" s="41">
        <f>+'FCV L1'!$F$73</f>
        <v>45000</v>
      </c>
      <c r="S227" s="41">
        <f>+'FCV L1'!$F$72</f>
        <v>48392</v>
      </c>
      <c r="T227" s="37">
        <f>'[1]Test order'!M227</f>
        <v>8254.68</v>
      </c>
      <c r="U227" s="33">
        <v>0</v>
      </c>
      <c r="V227" s="33">
        <v>0</v>
      </c>
      <c r="W227" s="34" t="e">
        <f t="shared" si="44"/>
        <v>#N/A</v>
      </c>
      <c r="X227" s="34" t="str">
        <f t="shared" si="43"/>
        <v/>
      </c>
      <c r="Y227" s="42"/>
      <c r="Z227" s="34"/>
    </row>
    <row r="228" spans="1:26" x14ac:dyDescent="0.3">
      <c r="A228" s="33" t="str">
        <f>+'[1]Test order'!A228</f>
        <v>2050 RIGID TRUCK - EMPTY</v>
      </c>
      <c r="B228" s="33" t="str">
        <f>+'[1]Test order'!B228</f>
        <v>REGIONAL DELIVERY</v>
      </c>
      <c r="C228" s="33" t="str">
        <f>+'[1]Test order'!C228</f>
        <v>2050 Fuel Cell 800 kW</v>
      </c>
      <c r="D228" s="33" t="str">
        <f>+'[1]Test order'!D228</f>
        <v>Hydrogen</v>
      </c>
      <c r="E228" s="34">
        <f>+'[1]Test order'!E228</f>
        <v>3.4006184350784028</v>
      </c>
      <c r="F228" s="34">
        <f>+'[1]Test order'!F228</f>
        <v>1.3650358617305756</v>
      </c>
      <c r="G228" s="38">
        <f>+'[1]Test order'!G228</f>
        <v>0.40140812260788206</v>
      </c>
      <c r="H228" s="39">
        <f>+'[1]Test order'!H228</f>
        <v>34.934822082519531</v>
      </c>
      <c r="I228" s="33" t="str">
        <f>+'[1]Test order'!I228</f>
        <v>km/kg</v>
      </c>
      <c r="J228" s="33" t="str">
        <f>+'[1]Test order'!J228</f>
        <v>Hydrogen 2050 RIGID TRUCK - EMPTY 2050 Fuel Cell 800 kW REGIONAL DELIVERY 8254.68 kg 2.9 kg /100km 40%</v>
      </c>
      <c r="K228" s="33">
        <f>+'[1]Test order'!K228</f>
        <v>0</v>
      </c>
      <c r="L228" s="33" t="str">
        <f t="shared" si="38"/>
        <v>2050</v>
      </c>
      <c r="M228" s="33" t="str">
        <f t="shared" si="39"/>
        <v>EMPTY</v>
      </c>
      <c r="N228" s="33" t="str">
        <f t="shared" si="40"/>
        <v xml:space="preserve">RIGID TRUCK </v>
      </c>
      <c r="O228" s="33" t="str">
        <f t="shared" si="41"/>
        <v>Hydrogen km/kg</v>
      </c>
      <c r="P228" s="41">
        <f>+'FCV L1'!$F$71</f>
        <v>193542</v>
      </c>
      <c r="Q228" s="41">
        <f t="shared" si="42"/>
        <v>100150</v>
      </c>
      <c r="R228" s="41">
        <f>+'FCV L1'!$F$73</f>
        <v>45000</v>
      </c>
      <c r="S228" s="41">
        <f>+'FCV L1'!$F$72</f>
        <v>48392</v>
      </c>
      <c r="T228" s="37">
        <f>'[1]Test order'!M228</f>
        <v>8254.68</v>
      </c>
      <c r="U228" s="33">
        <v>0</v>
      </c>
      <c r="V228" s="33">
        <v>0</v>
      </c>
      <c r="W228" s="34" t="e">
        <f t="shared" si="44"/>
        <v>#N/A</v>
      </c>
      <c r="X228" s="34" t="str">
        <f t="shared" si="43"/>
        <v/>
      </c>
      <c r="Y228" s="42"/>
      <c r="Z228" s="34"/>
    </row>
    <row r="229" spans="1:26" x14ac:dyDescent="0.3">
      <c r="A229" s="33" t="str">
        <f>+'[1]Test order'!A229</f>
        <v>2050 RIGID TRUCK - EMPTY</v>
      </c>
      <c r="B229" s="33" t="str">
        <f>+'[1]Test order'!B229</f>
        <v>LONG HAUL</v>
      </c>
      <c r="C229" s="33" t="str">
        <f>+'[1]Test order'!C229</f>
        <v>2050 Fuel Cell 800 kW</v>
      </c>
      <c r="D229" s="33" t="str">
        <f>+'[1]Test order'!D229</f>
        <v>Hydrogen</v>
      </c>
      <c r="E229" s="34">
        <f>+'[1]Test order'!E229</f>
        <v>3.7959223344282536</v>
      </c>
      <c r="F229" s="34">
        <f>+'[1]Test order'!F229</f>
        <v>1.7065185010433197</v>
      </c>
      <c r="G229" s="38">
        <f>+'[1]Test order'!G229</f>
        <v>0.44956623204999202</v>
      </c>
      <c r="H229" s="39">
        <f>+'[1]Test order'!H229</f>
        <v>31.296741485595703</v>
      </c>
      <c r="I229" s="33" t="str">
        <f>+'[1]Test order'!I229</f>
        <v>km/kg</v>
      </c>
      <c r="J229" s="33" t="str">
        <f>+'[1]Test order'!J229</f>
        <v>Hydrogen 2050 RIGID TRUCK - EMPTY 2050 Fuel Cell 800 kW LONG HAUL 8254.68 kg 3.2 kg /100km 45%</v>
      </c>
      <c r="K229" s="33">
        <f>+'[1]Test order'!K229</f>
        <v>0</v>
      </c>
      <c r="L229" s="33" t="str">
        <f t="shared" si="38"/>
        <v>2050</v>
      </c>
      <c r="M229" s="33" t="str">
        <f t="shared" si="39"/>
        <v>EMPTY</v>
      </c>
      <c r="N229" s="33" t="str">
        <f t="shared" si="40"/>
        <v xml:space="preserve">RIGID TRUCK </v>
      </c>
      <c r="O229" s="33" t="str">
        <f t="shared" si="41"/>
        <v>Hydrogen km/kg</v>
      </c>
      <c r="P229" s="41">
        <f>+'FCV L1'!$F$71</f>
        <v>193542</v>
      </c>
      <c r="Q229" s="41">
        <f t="shared" si="42"/>
        <v>100150</v>
      </c>
      <c r="R229" s="41">
        <f>+'FCV L1'!$F$73</f>
        <v>45000</v>
      </c>
      <c r="S229" s="41">
        <f>+'FCV L1'!$F$72</f>
        <v>48392</v>
      </c>
      <c r="T229" s="37">
        <f>'[1]Test order'!M229</f>
        <v>8254.68</v>
      </c>
      <c r="U229" s="33">
        <v>0</v>
      </c>
      <c r="V229" s="33">
        <v>0</v>
      </c>
      <c r="W229" s="34" t="e">
        <f t="shared" si="44"/>
        <v>#N/A</v>
      </c>
      <c r="X229" s="34" t="str">
        <f t="shared" si="43"/>
        <v/>
      </c>
      <c r="Y229" s="42"/>
      <c r="Z229" s="34"/>
    </row>
    <row r="230" spans="1:26" x14ac:dyDescent="0.3">
      <c r="A230" s="33" t="str">
        <f>+'[1]Test order'!A230</f>
        <v>2050 RIGID TRUCK - TYPICAL</v>
      </c>
      <c r="B230" s="33" t="str">
        <f>+'[1]Test order'!B230</f>
        <v>URBAN DELIVERY</v>
      </c>
      <c r="C230" s="33" t="str">
        <f>+'[1]Test order'!C230</f>
        <v>2050 Fuel Cell 800 kW</v>
      </c>
      <c r="D230" s="33" t="str">
        <f>+'[1]Test order'!D230</f>
        <v>Hydrogen</v>
      </c>
      <c r="E230" s="34">
        <f>+'[1]Test order'!E230</f>
        <v>4.999570112875471</v>
      </c>
      <c r="F230" s="34">
        <f>+'[1]Test order'!F230</f>
        <v>1.2720785140991211</v>
      </c>
      <c r="G230" s="38">
        <f>+'[1]Test order'!G230</f>
        <v>0.25443757870764078</v>
      </c>
      <c r="H230" s="39">
        <f>+'[1]Test order'!H230</f>
        <v>23.762042999267578</v>
      </c>
      <c r="I230" s="33" t="str">
        <f>+'[1]Test order'!I230</f>
        <v>km/kg</v>
      </c>
      <c r="J230" s="33" t="str">
        <f>+'[1]Test order'!J230</f>
        <v>Hydrogen 2050 RIGID TRUCK - TYPICAL 2050 Fuel Cell 800 kW URBAN DELIVERY 19410.7858 kg 4.2 kg /100km 25%</v>
      </c>
      <c r="K230" s="33">
        <f>+'[1]Test order'!K230</f>
        <v>0</v>
      </c>
      <c r="L230" s="33" t="str">
        <f t="shared" si="38"/>
        <v>2050</v>
      </c>
      <c r="M230" s="33" t="str">
        <f t="shared" si="39"/>
        <v>TYPICAL</v>
      </c>
      <c r="N230" s="33" t="str">
        <f t="shared" si="40"/>
        <v xml:space="preserve">RIGID TRUCK </v>
      </c>
      <c r="O230" s="33" t="str">
        <f t="shared" si="41"/>
        <v>Hydrogen km/kg</v>
      </c>
      <c r="P230" s="41">
        <f>+'FCV L1'!$F$71</f>
        <v>193542</v>
      </c>
      <c r="Q230" s="41">
        <f t="shared" si="42"/>
        <v>100150</v>
      </c>
      <c r="R230" s="41">
        <f>+'FCV L1'!$F$73</f>
        <v>45000</v>
      </c>
      <c r="S230" s="41">
        <f>+'FCV L1'!$F$72</f>
        <v>48392</v>
      </c>
      <c r="T230" s="37">
        <f>'[1]Test order'!M230</f>
        <v>19410.785799999998</v>
      </c>
      <c r="U230" s="37">
        <f>+'FCV L1'!$F$7</f>
        <v>11156.105799999999</v>
      </c>
      <c r="V230" s="33">
        <v>0</v>
      </c>
      <c r="W230" s="34">
        <f t="shared" si="44"/>
        <v>0.44814653092259765</v>
      </c>
      <c r="X230" s="34" t="str">
        <f t="shared" si="43"/>
        <v/>
      </c>
      <c r="Y230" s="42"/>
      <c r="Z230" s="34"/>
    </row>
    <row r="231" spans="1:26" x14ac:dyDescent="0.3">
      <c r="A231" s="33" t="str">
        <f>+'[1]Test order'!A231</f>
        <v>2050 RIGID TRUCK - TYPICAL</v>
      </c>
      <c r="B231" s="33" t="str">
        <f>+'[1]Test order'!B231</f>
        <v>REGIONAL DELIVERY</v>
      </c>
      <c r="C231" s="33" t="str">
        <f>+'[1]Test order'!C231</f>
        <v>2050 Fuel Cell 800 kW</v>
      </c>
      <c r="D231" s="33" t="str">
        <f>+'[1]Test order'!D231</f>
        <v>Hydrogen</v>
      </c>
      <c r="E231" s="34">
        <f>+'[1]Test order'!E231</f>
        <v>4.9069729208746127</v>
      </c>
      <c r="F231" s="34">
        <f>+'[1]Test order'!F231</f>
        <v>1.802804708480835</v>
      </c>
      <c r="G231" s="38">
        <f>+'[1]Test order'!G231</f>
        <v>0.36739650647175476</v>
      </c>
      <c r="H231" s="39">
        <f>+'[1]Test order'!H231</f>
        <v>24.210445404052734</v>
      </c>
      <c r="I231" s="33" t="str">
        <f>+'[1]Test order'!I231</f>
        <v>km/kg</v>
      </c>
      <c r="J231" s="33" t="str">
        <f>+'[1]Test order'!J231</f>
        <v>Hydrogen 2050 RIGID TRUCK - TYPICAL 2050 Fuel Cell 800 kW REGIONAL DELIVERY 19410.7858 kg 4.1 kg /100km 37%</v>
      </c>
      <c r="K231" s="33">
        <f>+'[1]Test order'!K231</f>
        <v>0</v>
      </c>
      <c r="L231" s="33" t="str">
        <f t="shared" si="38"/>
        <v>2050</v>
      </c>
      <c r="M231" s="33" t="str">
        <f t="shared" si="39"/>
        <v>TYPICAL</v>
      </c>
      <c r="N231" s="33" t="str">
        <f t="shared" si="40"/>
        <v xml:space="preserve">RIGID TRUCK </v>
      </c>
      <c r="O231" s="33" t="str">
        <f t="shared" si="41"/>
        <v>Hydrogen km/kg</v>
      </c>
      <c r="P231" s="41">
        <f>+'FCV L1'!$F$71</f>
        <v>193542</v>
      </c>
      <c r="Q231" s="41">
        <f t="shared" si="42"/>
        <v>100150</v>
      </c>
      <c r="R231" s="41">
        <f>+'FCV L1'!$F$73</f>
        <v>45000</v>
      </c>
      <c r="S231" s="41">
        <f>+'FCV L1'!$F$72</f>
        <v>48392</v>
      </c>
      <c r="T231" s="37">
        <f>'[1]Test order'!M231</f>
        <v>19410.785799999998</v>
      </c>
      <c r="U231" s="37">
        <f>+'FCV L1'!$F$7</f>
        <v>11156.105799999999</v>
      </c>
      <c r="V231" s="33">
        <v>0</v>
      </c>
      <c r="W231" s="34">
        <f t="shared" si="44"/>
        <v>0.43984639522463237</v>
      </c>
      <c r="X231" s="34" t="str">
        <f t="shared" si="43"/>
        <v/>
      </c>
      <c r="Y231" s="42"/>
      <c r="Z231" s="34"/>
    </row>
    <row r="232" spans="1:26" x14ac:dyDescent="0.3">
      <c r="A232" s="33" t="str">
        <f>+'[1]Test order'!A232</f>
        <v>2050 RIGID TRUCK - TYPICAL</v>
      </c>
      <c r="B232" s="33" t="str">
        <f>+'[1]Test order'!B232</f>
        <v>LONG HAUL</v>
      </c>
      <c r="C232" s="33" t="str">
        <f>+'[1]Test order'!C232</f>
        <v>2050 Fuel Cell 800 kW</v>
      </c>
      <c r="D232" s="33" t="str">
        <f>+'[1]Test order'!D232</f>
        <v>Hydrogen</v>
      </c>
      <c r="E232" s="34">
        <f>+'[1]Test order'!E232</f>
        <v>4.7664420225895023</v>
      </c>
      <c r="F232" s="34">
        <f>+'[1]Test order'!F232</f>
        <v>2.1442912817001343</v>
      </c>
      <c r="G232" s="38">
        <f>+'[1]Test order'!G232</f>
        <v>0.44987251948890555</v>
      </c>
      <c r="H232" s="39">
        <f>+'[1]Test order'!H232</f>
        <v>24.924251556396484</v>
      </c>
      <c r="I232" s="33" t="str">
        <f>+'[1]Test order'!I232</f>
        <v>km/kg</v>
      </c>
      <c r="J232" s="33" t="str">
        <f>+'[1]Test order'!J232</f>
        <v>Hydrogen 2050 RIGID TRUCK - TYPICAL 2050 Fuel Cell 800 kW LONG HAUL 19410.7858 kg 4.0 kg /100km 45%</v>
      </c>
      <c r="K232" s="33">
        <f>+'[1]Test order'!K232</f>
        <v>0</v>
      </c>
      <c r="L232" s="33" t="str">
        <f t="shared" si="38"/>
        <v>2050</v>
      </c>
      <c r="M232" s="33" t="str">
        <f t="shared" si="39"/>
        <v>TYPICAL</v>
      </c>
      <c r="N232" s="33" t="str">
        <f t="shared" si="40"/>
        <v xml:space="preserve">RIGID TRUCK </v>
      </c>
      <c r="O232" s="33" t="str">
        <f t="shared" si="41"/>
        <v>Hydrogen km/kg</v>
      </c>
      <c r="P232" s="41">
        <f>+'FCV L1'!$F$71</f>
        <v>193542</v>
      </c>
      <c r="Q232" s="41">
        <f t="shared" si="42"/>
        <v>100150</v>
      </c>
      <c r="R232" s="41">
        <f>+'FCV L1'!$F$73</f>
        <v>45000</v>
      </c>
      <c r="S232" s="41">
        <f>+'FCV L1'!$F$72</f>
        <v>48392</v>
      </c>
      <c r="T232" s="37">
        <f>'[1]Test order'!M232</f>
        <v>19410.785799999998</v>
      </c>
      <c r="U232" s="37">
        <f>+'FCV L1'!$F$7</f>
        <v>11156.105799999999</v>
      </c>
      <c r="V232" s="33">
        <v>0</v>
      </c>
      <c r="W232" s="34">
        <f t="shared" si="44"/>
        <v>0.42724962527600824</v>
      </c>
      <c r="X232" s="34" t="str">
        <f t="shared" si="43"/>
        <v/>
      </c>
      <c r="Y232" s="42"/>
      <c r="Z232" s="34"/>
    </row>
    <row r="233" spans="1:26" x14ac:dyDescent="0.3">
      <c r="A233" s="33" t="str">
        <f>+'[1]Test order'!A233</f>
        <v>2050 RIGID TRUCK - FULL</v>
      </c>
      <c r="B233" s="33" t="str">
        <f>+'[1]Test order'!B233</f>
        <v>URBAN DELIVERY</v>
      </c>
      <c r="C233" s="33" t="str">
        <f>+'[1]Test order'!C233</f>
        <v>2050 Fuel Cell 800 kW</v>
      </c>
      <c r="D233" s="33" t="str">
        <f>+'[1]Test order'!D233</f>
        <v>Hydrogen</v>
      </c>
      <c r="E233" s="34">
        <f>+'[1]Test order'!E233</f>
        <v>6.6538182364363596</v>
      </c>
      <c r="F233" s="34">
        <f>+'[1]Test order'!F233</f>
        <v>1.6090804934501648</v>
      </c>
      <c r="G233" s="38">
        <f>+'[1]Test order'!G233</f>
        <v>0.24182814081677609</v>
      </c>
      <c r="H233" s="39">
        <f>+'[1]Test order'!H233</f>
        <v>17.854410171508789</v>
      </c>
      <c r="I233" s="33" t="str">
        <f>+'[1]Test order'!I233</f>
        <v>km/kg</v>
      </c>
      <c r="J233" s="33" t="str">
        <f>+'[1]Test order'!J233</f>
        <v>Hydrogen 2050 RIGID TRUCK - FULL 2050 Fuel Cell 800 kW URBAN DELIVERY 28000 kg 5.6 kg /100km 24%</v>
      </c>
      <c r="K233" s="33">
        <f>+'[1]Test order'!K233</f>
        <v>0</v>
      </c>
      <c r="L233" s="33" t="str">
        <f t="shared" si="38"/>
        <v>2050</v>
      </c>
      <c r="M233" s="33" t="str">
        <f t="shared" si="39"/>
        <v>FULL</v>
      </c>
      <c r="N233" s="33" t="str">
        <f t="shared" si="40"/>
        <v xml:space="preserve">RIGID TRUCK </v>
      </c>
      <c r="O233" s="33" t="str">
        <f t="shared" si="41"/>
        <v>Hydrogen km/kg</v>
      </c>
      <c r="P233" s="41">
        <f>+'FCV L1'!$F$71</f>
        <v>193542</v>
      </c>
      <c r="Q233" s="41">
        <f t="shared" si="42"/>
        <v>100150</v>
      </c>
      <c r="R233" s="41">
        <f>+'FCV L1'!$F$73</f>
        <v>45000</v>
      </c>
      <c r="S233" s="41">
        <f>+'FCV L1'!$F$72</f>
        <v>48392</v>
      </c>
      <c r="T233" s="37">
        <f>'[1]Test order'!M233</f>
        <v>28000</v>
      </c>
      <c r="U233" s="33">
        <f>+'FCV L1'!$F$4</f>
        <v>19745.32</v>
      </c>
      <c r="V233" s="33">
        <v>0</v>
      </c>
      <c r="W233" s="34">
        <f t="shared" si="44"/>
        <v>0.33698204113361341</v>
      </c>
      <c r="X233" s="34" t="str">
        <f t="shared" si="43"/>
        <v/>
      </c>
      <c r="Y233" s="42"/>
      <c r="Z233" s="34"/>
    </row>
    <row r="234" spans="1:26" x14ac:dyDescent="0.3">
      <c r="A234" s="33" t="str">
        <f>+'[1]Test order'!A234</f>
        <v>2050 RIGID TRUCK - FULL</v>
      </c>
      <c r="B234" s="33" t="str">
        <f>+'[1]Test order'!B234</f>
        <v>REGIONAL DELIVERY</v>
      </c>
      <c r="C234" s="33" t="str">
        <f>+'[1]Test order'!C234</f>
        <v>2050 Fuel Cell 800 kW</v>
      </c>
      <c r="D234" s="33" t="str">
        <f>+'[1]Test order'!D234</f>
        <v>Hydrogen</v>
      </c>
      <c r="E234" s="34">
        <f>+'[1]Test order'!E234</f>
        <v>6.1448237467913396</v>
      </c>
      <c r="F234" s="34">
        <f>+'[1]Test order'!F234</f>
        <v>2.1398395299911499</v>
      </c>
      <c r="G234" s="38">
        <f>+'[1]Test order'!G234</f>
        <v>0.34823448452992911</v>
      </c>
      <c r="H234" s="39">
        <f>+'[1]Test order'!H234</f>
        <v>19.333345413208008</v>
      </c>
      <c r="I234" s="33" t="str">
        <f>+'[1]Test order'!I234</f>
        <v>km/kg</v>
      </c>
      <c r="J234" s="33" t="str">
        <f>+'[1]Test order'!J234</f>
        <v>Hydrogen 2050 RIGID TRUCK - FULL 2050 Fuel Cell 800 kW REGIONAL DELIVERY 28000 kg 5.2 kg /100km 35%</v>
      </c>
      <c r="K234" s="33">
        <f>+'[1]Test order'!K234</f>
        <v>0</v>
      </c>
      <c r="L234" s="33" t="str">
        <f t="shared" si="38"/>
        <v>2050</v>
      </c>
      <c r="M234" s="33" t="str">
        <f t="shared" si="39"/>
        <v>FULL</v>
      </c>
      <c r="N234" s="33" t="str">
        <f t="shared" si="40"/>
        <v xml:space="preserve">RIGID TRUCK </v>
      </c>
      <c r="O234" s="33" t="str">
        <f t="shared" si="41"/>
        <v>Hydrogen km/kg</v>
      </c>
      <c r="P234" s="41">
        <f>+'FCV L1'!$F$71</f>
        <v>193542</v>
      </c>
      <c r="Q234" s="41">
        <f t="shared" si="42"/>
        <v>100150</v>
      </c>
      <c r="R234" s="41">
        <f>+'FCV L1'!$F$73</f>
        <v>45000</v>
      </c>
      <c r="S234" s="41">
        <f>+'FCV L1'!$F$72</f>
        <v>48392</v>
      </c>
      <c r="T234" s="37">
        <f>'[1]Test order'!M234</f>
        <v>28000</v>
      </c>
      <c r="U234" s="33">
        <f>+'FCV L1'!$F$4</f>
        <v>19745.32</v>
      </c>
      <c r="V234" s="33">
        <v>0</v>
      </c>
      <c r="W234" s="34">
        <f t="shared" si="44"/>
        <v>0.31120405983753818</v>
      </c>
      <c r="X234" s="34" t="str">
        <f t="shared" si="43"/>
        <v/>
      </c>
      <c r="Y234" s="42"/>
      <c r="Z234" s="34"/>
    </row>
    <row r="235" spans="1:26" x14ac:dyDescent="0.3">
      <c r="A235" s="33" t="str">
        <f>+'[1]Test order'!A235</f>
        <v>2050 RIGID TRUCK - FULL</v>
      </c>
      <c r="B235" s="33" t="str">
        <f>+'[1]Test order'!B235</f>
        <v>LONG HAUL</v>
      </c>
      <c r="C235" s="33" t="str">
        <f>+'[1]Test order'!C235</f>
        <v>2050 Fuel Cell 800 kW</v>
      </c>
      <c r="D235" s="33" t="str">
        <f>+'[1]Test order'!D235</f>
        <v>Hydrogen</v>
      </c>
      <c r="E235" s="34">
        <f>+'[1]Test order'!E235</f>
        <v>5.5946034913470823</v>
      </c>
      <c r="F235" s="34">
        <f>+'[1]Test order'!F235</f>
        <v>2.4813201427459717</v>
      </c>
      <c r="G235" s="38">
        <f>+'[1]Test order'!G235</f>
        <v>0.44352028639450791</v>
      </c>
      <c r="H235" s="39">
        <f>+'[1]Test order'!H235</f>
        <v>21.234748840332031</v>
      </c>
      <c r="I235" s="33" t="str">
        <f>+'[1]Test order'!I235</f>
        <v>km/kg</v>
      </c>
      <c r="J235" s="33" t="str">
        <f>+'[1]Test order'!J235</f>
        <v>Hydrogen 2050 RIGID TRUCK - FULL 2050 Fuel Cell 800 kW LONG HAUL 28000 kg 4.7 kg /100km 44%</v>
      </c>
      <c r="K235" s="33">
        <f>+'[1]Test order'!K235</f>
        <v>0</v>
      </c>
      <c r="L235" s="33" t="str">
        <f t="shared" si="38"/>
        <v>2050</v>
      </c>
      <c r="M235" s="33" t="str">
        <f t="shared" si="39"/>
        <v>FULL</v>
      </c>
      <c r="N235" s="33" t="str">
        <f t="shared" si="40"/>
        <v xml:space="preserve">RIGID TRUCK </v>
      </c>
      <c r="O235" s="33" t="str">
        <f t="shared" si="41"/>
        <v>Hydrogen km/kg</v>
      </c>
      <c r="P235" s="41">
        <f>+'FCV L1'!$F$71</f>
        <v>193542</v>
      </c>
      <c r="Q235" s="41">
        <f t="shared" si="42"/>
        <v>100150</v>
      </c>
      <c r="R235" s="41">
        <f>+'FCV L1'!$F$73</f>
        <v>45000</v>
      </c>
      <c r="S235" s="41">
        <f>+'FCV L1'!$F$72</f>
        <v>48392</v>
      </c>
      <c r="T235" s="37">
        <f>'[1]Test order'!M235</f>
        <v>28000</v>
      </c>
      <c r="U235" s="33">
        <f>+'FCV L1'!$F$4</f>
        <v>19745.32</v>
      </c>
      <c r="V235" s="33">
        <v>0</v>
      </c>
      <c r="W235" s="34">
        <f t="shared" si="44"/>
        <v>0.28333820324750791</v>
      </c>
      <c r="X235" s="34" t="str">
        <f t="shared" si="43"/>
        <v/>
      </c>
      <c r="Y235" s="42"/>
      <c r="Z235" s="34"/>
    </row>
    <row r="236" spans="1:26" x14ac:dyDescent="0.3">
      <c r="A236" s="33" t="str">
        <f>+'[1]Test order'!A236</f>
        <v>2050 TRUCK WITH TRAILER - EMPTY</v>
      </c>
      <c r="B236" s="33" t="str">
        <f>+'[1]Test order'!B236</f>
        <v>URBAN DELIVERY</v>
      </c>
      <c r="C236" s="33" t="str">
        <f>+'[1]Test order'!C236</f>
        <v>2050 Fuel Cell 800 kW</v>
      </c>
      <c r="D236" s="33" t="str">
        <f>+'[1]Test order'!D236</f>
        <v>Hydrogen</v>
      </c>
      <c r="E236" s="34">
        <f>+'[1]Test order'!E236</f>
        <v>3.8359271463835736</v>
      </c>
      <c r="F236" s="34">
        <f>+'[1]Test order'!F236</f>
        <v>1.1058873236179352</v>
      </c>
      <c r="G236" s="38">
        <f>+'[1]Test order'!G236</f>
        <v>0.28829726984271353</v>
      </c>
      <c r="H236" s="39">
        <f>+'[1]Test order'!H236</f>
        <v>30.970348358154297</v>
      </c>
      <c r="I236" s="33" t="str">
        <f>+'[1]Test order'!I236</f>
        <v>km/kg</v>
      </c>
      <c r="J236" s="33" t="str">
        <f>+'[1]Test order'!J236</f>
        <v>Hydrogen 2050 TRUCK WITH TRAILER - EMPTY 2050 Fuel Cell 800 kW URBAN DELIVERY 12283.94102271 kg 3.2 kg /100km 29%</v>
      </c>
      <c r="K236" s="33">
        <f>+'[1]Test order'!K236</f>
        <v>0</v>
      </c>
      <c r="L236" s="33" t="str">
        <f t="shared" si="38"/>
        <v>2050</v>
      </c>
      <c r="M236" s="33" t="str">
        <f t="shared" si="39"/>
        <v>EMPTY</v>
      </c>
      <c r="N236" s="33" t="str">
        <f t="shared" si="40"/>
        <v xml:space="preserve">TRUCK WITH TRAILER </v>
      </c>
      <c r="O236" s="33" t="str">
        <f t="shared" si="41"/>
        <v>Hydrogen km/kg</v>
      </c>
      <c r="P236" s="41">
        <f>+'FCV L2'!$F$71</f>
        <v>218342.5319148936</v>
      </c>
      <c r="Q236" s="41">
        <f t="shared" si="42"/>
        <v>112450.5319148936</v>
      </c>
      <c r="R236" s="41">
        <f>+'FCV L2'!$F$73</f>
        <v>45000</v>
      </c>
      <c r="S236" s="41">
        <f>+'FCV L2'!$F$72</f>
        <v>60892</v>
      </c>
      <c r="T236" s="37">
        <f>'[1]Test order'!M236</f>
        <v>12283.94102271</v>
      </c>
      <c r="U236" s="33">
        <v>0</v>
      </c>
      <c r="V236" s="33">
        <v>0</v>
      </c>
      <c r="W236" s="34" t="e">
        <f t="shared" si="44"/>
        <v>#N/A</v>
      </c>
      <c r="X236" s="34" t="str">
        <f t="shared" si="43"/>
        <v/>
      </c>
      <c r="Y236" s="42"/>
      <c r="Z236" s="34"/>
    </row>
    <row r="237" spans="1:26" x14ac:dyDescent="0.3">
      <c r="A237" s="33" t="str">
        <f>+'[1]Test order'!A237</f>
        <v>2050 TRUCK WITH TRAILER - EMPTY</v>
      </c>
      <c r="B237" s="33" t="str">
        <f>+'[1]Test order'!B237</f>
        <v>REGIONAL DELIVERY</v>
      </c>
      <c r="C237" s="33" t="str">
        <f>+'[1]Test order'!C237</f>
        <v>2050 Fuel Cell 800 kW</v>
      </c>
      <c r="D237" s="33" t="str">
        <f>+'[1]Test order'!D237</f>
        <v>Hydrogen</v>
      </c>
      <c r="E237" s="34">
        <f>+'[1]Test order'!E237</f>
        <v>4.3706701041417411</v>
      </c>
      <c r="F237" s="34">
        <f>+'[1]Test order'!F237</f>
        <v>1.7544949054718018</v>
      </c>
      <c r="G237" s="38">
        <f>+'[1]Test order'!G237</f>
        <v>0.40142469316300139</v>
      </c>
      <c r="H237" s="39">
        <f>+'[1]Test order'!H237</f>
        <v>27.181186676025391</v>
      </c>
      <c r="I237" s="33" t="str">
        <f>+'[1]Test order'!I237</f>
        <v>km/kg</v>
      </c>
      <c r="J237" s="33" t="str">
        <f>+'[1]Test order'!J237</f>
        <v>Hydrogen 2050 TRUCK WITH TRAILER - EMPTY 2050 Fuel Cell 800 kW REGIONAL DELIVERY 12283.94102271 kg 3.7 kg /100km 40%</v>
      </c>
      <c r="K237" s="33">
        <f>+'[1]Test order'!K237</f>
        <v>0</v>
      </c>
      <c r="L237" s="33" t="str">
        <f t="shared" si="38"/>
        <v>2050</v>
      </c>
      <c r="M237" s="33" t="str">
        <f t="shared" si="39"/>
        <v>EMPTY</v>
      </c>
      <c r="N237" s="33" t="str">
        <f t="shared" si="40"/>
        <v xml:space="preserve">TRUCK WITH TRAILER </v>
      </c>
      <c r="O237" s="33" t="str">
        <f t="shared" si="41"/>
        <v>Hydrogen km/kg</v>
      </c>
      <c r="P237" s="41">
        <f>+'FCV L2'!$F$71</f>
        <v>218342.5319148936</v>
      </c>
      <c r="Q237" s="41">
        <f t="shared" si="42"/>
        <v>112450.5319148936</v>
      </c>
      <c r="R237" s="41">
        <f>+'FCV L2'!$F$73</f>
        <v>45000</v>
      </c>
      <c r="S237" s="41">
        <f>+'FCV L2'!$F$72</f>
        <v>60892</v>
      </c>
      <c r="T237" s="37">
        <f>'[1]Test order'!M237</f>
        <v>12283.94102271</v>
      </c>
      <c r="U237" s="33">
        <v>0</v>
      </c>
      <c r="V237" s="33">
        <v>0</v>
      </c>
      <c r="W237" s="34" t="e">
        <f t="shared" si="44"/>
        <v>#N/A</v>
      </c>
      <c r="X237" s="34" t="str">
        <f t="shared" si="43"/>
        <v/>
      </c>
      <c r="Y237" s="42"/>
      <c r="Z237" s="34"/>
    </row>
    <row r="238" spans="1:26" x14ac:dyDescent="0.3">
      <c r="A238" s="33" t="str">
        <f>+'[1]Test order'!A238</f>
        <v>2050 TRUCK WITH TRAILER - EMPTY</v>
      </c>
      <c r="B238" s="33" t="str">
        <f>+'[1]Test order'!B238</f>
        <v>LONG HAUL</v>
      </c>
      <c r="C238" s="33" t="str">
        <f>+'[1]Test order'!C238</f>
        <v>2050 Fuel Cell 800 kW</v>
      </c>
      <c r="D238" s="33" t="str">
        <f>+'[1]Test order'!D238</f>
        <v>Hydrogen</v>
      </c>
      <c r="E238" s="34">
        <f>+'[1]Test order'!E238</f>
        <v>4.7206937816177712</v>
      </c>
      <c r="F238" s="34">
        <f>+'[1]Test order'!F238</f>
        <v>2.17186439037323</v>
      </c>
      <c r="G238" s="38">
        <f>+'[1]Test order'!G238</f>
        <v>0.46007313561205765</v>
      </c>
      <c r="H238" s="39">
        <f>+'[1]Test order'!H238</f>
        <v>25.165792465209961</v>
      </c>
      <c r="I238" s="33" t="str">
        <f>+'[1]Test order'!I238</f>
        <v>km/kg</v>
      </c>
      <c r="J238" s="33" t="str">
        <f>+'[1]Test order'!J238</f>
        <v>Hydrogen 2050 TRUCK WITH TRAILER - EMPTY 2050 Fuel Cell 800 kW LONG HAUL 12283.94102271 kg 4.0 kg /100km 46%</v>
      </c>
      <c r="K238" s="33">
        <f>+'[1]Test order'!K238</f>
        <v>0</v>
      </c>
      <c r="L238" s="33" t="str">
        <f t="shared" si="38"/>
        <v>2050</v>
      </c>
      <c r="M238" s="33" t="str">
        <f t="shared" si="39"/>
        <v>EMPTY</v>
      </c>
      <c r="N238" s="33" t="str">
        <f t="shared" si="40"/>
        <v xml:space="preserve">TRUCK WITH TRAILER </v>
      </c>
      <c r="O238" s="33" t="str">
        <f t="shared" si="41"/>
        <v>Hydrogen km/kg</v>
      </c>
      <c r="P238" s="41">
        <f>+'FCV L2'!$F$71</f>
        <v>218342.5319148936</v>
      </c>
      <c r="Q238" s="41">
        <f t="shared" si="42"/>
        <v>112450.5319148936</v>
      </c>
      <c r="R238" s="41">
        <f>+'FCV L2'!$F$73</f>
        <v>45000</v>
      </c>
      <c r="S238" s="41">
        <f>+'FCV L2'!$F$72</f>
        <v>60892</v>
      </c>
      <c r="T238" s="37">
        <f>'[1]Test order'!M238</f>
        <v>12283.94102271</v>
      </c>
      <c r="U238" s="33">
        <v>0</v>
      </c>
      <c r="V238" s="33">
        <v>0</v>
      </c>
      <c r="W238" s="34" t="e">
        <f t="shared" si="44"/>
        <v>#N/A</v>
      </c>
      <c r="X238" s="34" t="str">
        <f t="shared" si="43"/>
        <v/>
      </c>
      <c r="Y238" s="42"/>
      <c r="Z238" s="34"/>
    </row>
    <row r="239" spans="1:26" x14ac:dyDescent="0.3">
      <c r="A239" s="33" t="str">
        <f>+'[1]Test order'!A239</f>
        <v>2050 TRUCK WITH TRAILER - TYPICAL</v>
      </c>
      <c r="B239" s="33" t="str">
        <f>+'[1]Test order'!B239</f>
        <v>URBAN DELIVERY</v>
      </c>
      <c r="C239" s="33" t="str">
        <f>+'[1]Test order'!C239</f>
        <v>2050 Fuel Cell 800 kW</v>
      </c>
      <c r="D239" s="33" t="str">
        <f>+'[1]Test order'!D239</f>
        <v>Hydrogen</v>
      </c>
      <c r="E239" s="34">
        <f>+'[1]Test order'!E239</f>
        <v>9.2611712311291043</v>
      </c>
      <c r="F239" s="34">
        <f>+'[1]Test order'!F239</f>
        <v>2.2076535820960999</v>
      </c>
      <c r="G239" s="38">
        <f>+'[1]Test order'!G239</f>
        <v>0.23837736361850498</v>
      </c>
      <c r="H239" s="39">
        <f>+'[1]Test order'!H239</f>
        <v>12.827751159667969</v>
      </c>
      <c r="I239" s="33" t="str">
        <f>+'[1]Test order'!I239</f>
        <v>km/kg</v>
      </c>
      <c r="J239" s="33" t="str">
        <f>+'[1]Test order'!J239</f>
        <v>Hydrogen 2050 TRUCK WITH TRAILER - TYPICAL 2050 Fuel Cell 800 kW URBAN DELIVERY 40373.5143448788 kg 7.8 kg /100km 24%</v>
      </c>
      <c r="K239" s="33">
        <f>+'[1]Test order'!K239</f>
        <v>0</v>
      </c>
      <c r="L239" s="33" t="str">
        <f t="shared" si="38"/>
        <v>2050</v>
      </c>
      <c r="M239" s="33" t="str">
        <f t="shared" si="39"/>
        <v>TYPICAL</v>
      </c>
      <c r="N239" s="33" t="str">
        <f t="shared" si="40"/>
        <v xml:space="preserve">TRUCK WITH TRAILER </v>
      </c>
      <c r="O239" s="33" t="str">
        <f t="shared" si="41"/>
        <v>Hydrogen km/kg</v>
      </c>
      <c r="P239" s="41">
        <f>+'FCV L2'!$F$71</f>
        <v>218342.5319148936</v>
      </c>
      <c r="Q239" s="41">
        <f t="shared" si="42"/>
        <v>112450.5319148936</v>
      </c>
      <c r="R239" s="41">
        <f>+'FCV L2'!$F$73</f>
        <v>45000</v>
      </c>
      <c r="S239" s="41">
        <f>+'FCV L2'!$F$72</f>
        <v>60892</v>
      </c>
      <c r="T239" s="37">
        <f>'[1]Test order'!M239</f>
        <v>40373.514344878844</v>
      </c>
      <c r="U239" s="37">
        <f>+'FCV L2'!$F$7</f>
        <v>28089.573322168846</v>
      </c>
      <c r="V239" s="33">
        <v>0</v>
      </c>
      <c r="W239" s="34">
        <f t="shared" si="44"/>
        <v>0.32970138509793612</v>
      </c>
      <c r="X239" s="34" t="str">
        <f t="shared" si="43"/>
        <v/>
      </c>
      <c r="Y239" s="42"/>
      <c r="Z239" s="34"/>
    </row>
    <row r="240" spans="1:26" x14ac:dyDescent="0.3">
      <c r="A240" s="33" t="str">
        <f>+'[1]Test order'!A240</f>
        <v>2050 TRUCK WITH TRAILER - TYPICAL</v>
      </c>
      <c r="B240" s="33" t="str">
        <f>+'[1]Test order'!B240</f>
        <v>REGIONAL DELIVERY</v>
      </c>
      <c r="C240" s="33" t="str">
        <f>+'[1]Test order'!C240</f>
        <v>2050 Fuel Cell 800 kW</v>
      </c>
      <c r="D240" s="33" t="str">
        <f>+'[1]Test order'!D240</f>
        <v>Hydrogen</v>
      </c>
      <c r="E240" s="34">
        <f>+'[1]Test order'!E240</f>
        <v>8.3197346037680138</v>
      </c>
      <c r="F240" s="34">
        <f>+'[1]Test order'!F240</f>
        <v>2.8565455675125122</v>
      </c>
      <c r="G240" s="38">
        <f>+'[1]Test order'!G240</f>
        <v>0.34334575603154222</v>
      </c>
      <c r="H240" s="39">
        <f>+'[1]Test order'!H240</f>
        <v>14.279301643371582</v>
      </c>
      <c r="I240" s="33" t="str">
        <f>+'[1]Test order'!I240</f>
        <v>km/kg</v>
      </c>
      <c r="J240" s="33" t="str">
        <f>+'[1]Test order'!J240</f>
        <v>Hydrogen 2050 TRUCK WITH TRAILER - TYPICAL 2050 Fuel Cell 800 kW REGIONAL DELIVERY 40373.5143448788 kg 7.0 kg /100km 34%</v>
      </c>
      <c r="K240" s="33">
        <f>+'[1]Test order'!K240</f>
        <v>0</v>
      </c>
      <c r="L240" s="33" t="str">
        <f t="shared" si="38"/>
        <v>2050</v>
      </c>
      <c r="M240" s="33" t="str">
        <f t="shared" si="39"/>
        <v>TYPICAL</v>
      </c>
      <c r="N240" s="33" t="str">
        <f t="shared" si="40"/>
        <v xml:space="preserve">TRUCK WITH TRAILER </v>
      </c>
      <c r="O240" s="33" t="str">
        <f t="shared" si="41"/>
        <v>Hydrogen km/kg</v>
      </c>
      <c r="P240" s="41">
        <f>+'FCV L2'!$F$71</f>
        <v>218342.5319148936</v>
      </c>
      <c r="Q240" s="41">
        <f t="shared" si="42"/>
        <v>112450.5319148936</v>
      </c>
      <c r="R240" s="41">
        <f>+'FCV L2'!$F$73</f>
        <v>45000</v>
      </c>
      <c r="S240" s="41">
        <f>+'FCV L2'!$F$72</f>
        <v>60892</v>
      </c>
      <c r="T240" s="37">
        <f>'[1]Test order'!M240</f>
        <v>40373.514344878844</v>
      </c>
      <c r="U240" s="37">
        <f>+'FCV L2'!$F$7</f>
        <v>28089.573322168846</v>
      </c>
      <c r="V240" s="33">
        <v>0</v>
      </c>
      <c r="W240" s="34">
        <f t="shared" si="44"/>
        <v>0.29618586613424686</v>
      </c>
      <c r="X240" s="34" t="str">
        <f t="shared" si="43"/>
        <v/>
      </c>
      <c r="Y240" s="42"/>
      <c r="Z240" s="34"/>
    </row>
    <row r="241" spans="1:26" x14ac:dyDescent="0.3">
      <c r="A241" s="33" t="str">
        <f>+'[1]Test order'!A241</f>
        <v>2050 TRUCK WITH TRAILER - TYPICAL</v>
      </c>
      <c r="B241" s="33" t="str">
        <f>+'[1]Test order'!B241</f>
        <v>LONG HAUL</v>
      </c>
      <c r="C241" s="33" t="str">
        <f>+'[1]Test order'!C241</f>
        <v>2050 Fuel Cell 800 kW</v>
      </c>
      <c r="D241" s="33" t="str">
        <f>+'[1]Test order'!D241</f>
        <v>Hydrogen</v>
      </c>
      <c r="E241" s="34">
        <f>+'[1]Test order'!E241</f>
        <v>7.3764812553234425</v>
      </c>
      <c r="F241" s="34">
        <f>+'[1]Test order'!F241</f>
        <v>3.2741285562515259</v>
      </c>
      <c r="G241" s="38">
        <f>+'[1]Test order'!G241</f>
        <v>0.44386048617539159</v>
      </c>
      <c r="H241" s="39">
        <f>+'[1]Test order'!H241</f>
        <v>16.105239868164063</v>
      </c>
      <c r="I241" s="33" t="str">
        <f>+'[1]Test order'!I241</f>
        <v>km/kg</v>
      </c>
      <c r="J241" s="33" t="str">
        <f>+'[1]Test order'!J241</f>
        <v>Hydrogen 2050 TRUCK WITH TRAILER - TYPICAL 2050 Fuel Cell 800 kW LONG HAUL 40373.5143448788 kg 6.2 kg /100km 44%</v>
      </c>
      <c r="K241" s="33">
        <f>+'[1]Test order'!K241</f>
        <v>0</v>
      </c>
      <c r="L241" s="33" t="str">
        <f t="shared" si="38"/>
        <v>2050</v>
      </c>
      <c r="M241" s="33" t="str">
        <f t="shared" si="39"/>
        <v>TYPICAL</v>
      </c>
      <c r="N241" s="33" t="str">
        <f t="shared" si="40"/>
        <v xml:space="preserve">TRUCK WITH TRAILER </v>
      </c>
      <c r="O241" s="33" t="str">
        <f t="shared" si="41"/>
        <v>Hydrogen km/kg</v>
      </c>
      <c r="P241" s="41">
        <f>+'FCV L2'!$F$71</f>
        <v>218342.5319148936</v>
      </c>
      <c r="Q241" s="41">
        <f t="shared" si="42"/>
        <v>112450.5319148936</v>
      </c>
      <c r="R241" s="41">
        <f>+'FCV L2'!$F$73</f>
        <v>45000</v>
      </c>
      <c r="S241" s="41">
        <f>+'FCV L2'!$F$72</f>
        <v>60892</v>
      </c>
      <c r="T241" s="37">
        <f>'[1]Test order'!M241</f>
        <v>40373.514344878844</v>
      </c>
      <c r="U241" s="37">
        <f>+'FCV L2'!$F$7</f>
        <v>28089.573322168846</v>
      </c>
      <c r="V241" s="33">
        <v>0</v>
      </c>
      <c r="W241" s="34">
        <f t="shared" si="44"/>
        <v>0.2626056711762787</v>
      </c>
      <c r="X241" s="34" t="str">
        <f t="shared" si="43"/>
        <v/>
      </c>
      <c r="Y241" s="42"/>
      <c r="Z241" s="34"/>
    </row>
    <row r="242" spans="1:26" x14ac:dyDescent="0.3">
      <c r="A242" s="33" t="str">
        <f>+'[1]Test order'!A242</f>
        <v>2050 TRUCK WITH TRAILER - FULL</v>
      </c>
      <c r="B242" s="33" t="str">
        <f>+'[1]Test order'!B242</f>
        <v>URBAN DELIVERY</v>
      </c>
      <c r="C242" s="33" t="str">
        <f>+'[1]Test order'!C242</f>
        <v>2050 Fuel Cell 800 kW</v>
      </c>
      <c r="D242" s="33" t="str">
        <f>+'[1]Test order'!D242</f>
        <v>Hydrogen</v>
      </c>
      <c r="E242" s="34">
        <f>+'[1]Test order'!E242</f>
        <v>13.601177181313721</v>
      </c>
      <c r="F242" s="34">
        <f>+'[1]Test order'!F242</f>
        <v>3.0488393306732178</v>
      </c>
      <c r="G242" s="38">
        <f>+'[1]Test order'!G242</f>
        <v>0.22415995983508938</v>
      </c>
      <c r="H242" s="39">
        <f>+'[1]Test order'!H242</f>
        <v>8.7345380783081055</v>
      </c>
      <c r="I242" s="33" t="str">
        <f>+'[1]Test order'!I242</f>
        <v>km/kg</v>
      </c>
      <c r="J242" s="33" t="str">
        <f>+'[1]Test order'!J242</f>
        <v>Hydrogen 2050 TRUCK WITH TRAILER - FULL 2050 Fuel Cell 800 kW URBAN DELIVERY 62000 kg 11.4 kg /100km 22%</v>
      </c>
      <c r="K242" s="33">
        <f>+'[1]Test order'!K242</f>
        <v>0</v>
      </c>
      <c r="L242" s="33" t="str">
        <f t="shared" si="38"/>
        <v>2050</v>
      </c>
      <c r="M242" s="33" t="str">
        <f t="shared" si="39"/>
        <v>FULL</v>
      </c>
      <c r="N242" s="33" t="str">
        <f t="shared" si="40"/>
        <v xml:space="preserve">TRUCK WITH TRAILER </v>
      </c>
      <c r="O242" s="33" t="str">
        <f t="shared" si="41"/>
        <v>Hydrogen km/kg</v>
      </c>
      <c r="P242" s="41">
        <f>+'FCV L2'!$F$71</f>
        <v>218342.5319148936</v>
      </c>
      <c r="Q242" s="41">
        <f t="shared" si="42"/>
        <v>112450.5319148936</v>
      </c>
      <c r="R242" s="41">
        <f>+'FCV L2'!$F$73</f>
        <v>45000</v>
      </c>
      <c r="S242" s="41">
        <f>+'FCV L2'!$F$72</f>
        <v>60892</v>
      </c>
      <c r="T242" s="37">
        <f>'[1]Test order'!M242</f>
        <v>62000</v>
      </c>
      <c r="U242" s="37">
        <f>+'FCV L2'!$F$4</f>
        <v>49716.058977289998</v>
      </c>
      <c r="V242" s="33">
        <v>0</v>
      </c>
      <c r="W242" s="34">
        <f t="shared" si="44"/>
        <v>0.2735771390794805</v>
      </c>
      <c r="X242" s="34" t="str">
        <f t="shared" si="43"/>
        <v/>
      </c>
      <c r="Y242" s="42"/>
      <c r="Z242" s="34"/>
    </row>
    <row r="243" spans="1:26" x14ac:dyDescent="0.3">
      <c r="A243" s="33" t="str">
        <f>+'[1]Test order'!A243</f>
        <v>2050 TRUCK WITH TRAILER - FULL</v>
      </c>
      <c r="B243" s="33" t="str">
        <f>+'[1]Test order'!B243</f>
        <v>REGIONAL DELIVERY</v>
      </c>
      <c r="C243" s="33" t="str">
        <f>+'[1]Test order'!C243</f>
        <v>2050 Fuel Cell 800 kW</v>
      </c>
      <c r="D243" s="33" t="str">
        <f>+'[1]Test order'!D243</f>
        <v>Hydrogen</v>
      </c>
      <c r="E243" s="34">
        <f>+'[1]Test order'!E243</f>
        <v>11.507108901770755</v>
      </c>
      <c r="F243" s="34">
        <f>+'[1]Test order'!F243</f>
        <v>3.7035121917724609</v>
      </c>
      <c r="G243" s="38">
        <f>+'[1]Test order'!G243</f>
        <v>0.3218455846196564</v>
      </c>
      <c r="H243" s="39">
        <f>+'[1]Test order'!H243</f>
        <v>10.324052810668945</v>
      </c>
      <c r="I243" s="33" t="str">
        <f>+'[1]Test order'!I243</f>
        <v>km/kg</v>
      </c>
      <c r="J243" s="33" t="str">
        <f>+'[1]Test order'!J243</f>
        <v>Hydrogen 2050 TRUCK WITH TRAILER - FULL 2050 Fuel Cell 800 kW REGIONAL DELIVERY 62000 kg 9.7 kg /100km 32%</v>
      </c>
      <c r="K243" s="33">
        <f>+'[1]Test order'!K243</f>
        <v>0</v>
      </c>
      <c r="L243" s="33" t="str">
        <f t="shared" si="38"/>
        <v>2050</v>
      </c>
      <c r="M243" s="33" t="str">
        <f t="shared" si="39"/>
        <v>FULL</v>
      </c>
      <c r="N243" s="33" t="str">
        <f t="shared" si="40"/>
        <v xml:space="preserve">TRUCK WITH TRAILER </v>
      </c>
      <c r="O243" s="33" t="str">
        <f t="shared" si="41"/>
        <v>Hydrogen km/kg</v>
      </c>
      <c r="P243" s="41">
        <f>+'FCV L2'!$F$71</f>
        <v>218342.5319148936</v>
      </c>
      <c r="Q243" s="41">
        <f t="shared" si="42"/>
        <v>112450.5319148936</v>
      </c>
      <c r="R243" s="41">
        <f>+'FCV L2'!$F$73</f>
        <v>45000</v>
      </c>
      <c r="S243" s="41">
        <f>+'FCV L2'!$F$72</f>
        <v>60892</v>
      </c>
      <c r="T243" s="37">
        <f>'[1]Test order'!M243</f>
        <v>62000</v>
      </c>
      <c r="U243" s="37">
        <f>+'FCV L2'!$F$4</f>
        <v>49716.058977289998</v>
      </c>
      <c r="V243" s="33">
        <v>0</v>
      </c>
      <c r="W243" s="34">
        <f t="shared" si="44"/>
        <v>0.23145657838701847</v>
      </c>
      <c r="X243" s="34" t="str">
        <f t="shared" si="43"/>
        <v/>
      </c>
      <c r="Y243" s="42"/>
      <c r="Z243" s="34"/>
    </row>
    <row r="244" spans="1:26" x14ac:dyDescent="0.3">
      <c r="A244" s="33" t="str">
        <f>+'[1]Test order'!A244</f>
        <v>2050 TRUCK WITH TRAILER - FULL</v>
      </c>
      <c r="B244" s="33" t="str">
        <f>+'[1]Test order'!B244</f>
        <v>LONG HAUL</v>
      </c>
      <c r="C244" s="33" t="str">
        <f>+'[1]Test order'!C244</f>
        <v>2050 Fuel Cell 800 kW</v>
      </c>
      <c r="D244" s="33" t="str">
        <f>+'[1]Test order'!D244</f>
        <v>Hydrogen</v>
      </c>
      <c r="E244" s="34">
        <f>+'[1]Test order'!E244</f>
        <v>9.5903875346886096</v>
      </c>
      <c r="F244" s="34">
        <f>+'[1]Test order'!F244</f>
        <v>4.1227357387542725</v>
      </c>
      <c r="G244" s="38">
        <f>+'[1]Test order'!G244</f>
        <v>0.42988207972224907</v>
      </c>
      <c r="H244" s="39">
        <f>+'[1]Test order'!H244</f>
        <v>12.38740348815918</v>
      </c>
      <c r="I244" s="33" t="str">
        <f>+'[1]Test order'!I244</f>
        <v>km/kg</v>
      </c>
      <c r="J244" s="33" t="str">
        <f>+'[1]Test order'!J244</f>
        <v>Hydrogen 2050 TRUCK WITH TRAILER - FULL 2050 Fuel Cell 800 kW LONG HAUL 62000 kg 8.1 kg /100km 43%</v>
      </c>
      <c r="K244" s="33">
        <f>+'[1]Test order'!K244</f>
        <v>0</v>
      </c>
      <c r="L244" s="33" t="str">
        <f t="shared" si="38"/>
        <v>2050</v>
      </c>
      <c r="M244" s="33" t="str">
        <f t="shared" si="39"/>
        <v>FULL</v>
      </c>
      <c r="N244" s="33" t="str">
        <f t="shared" si="40"/>
        <v xml:space="preserve">TRUCK WITH TRAILER </v>
      </c>
      <c r="O244" s="33" t="str">
        <f t="shared" si="41"/>
        <v>Hydrogen km/kg</v>
      </c>
      <c r="P244" s="41">
        <f>+'FCV L2'!$F$71</f>
        <v>218342.5319148936</v>
      </c>
      <c r="Q244" s="41">
        <f t="shared" si="42"/>
        <v>112450.5319148936</v>
      </c>
      <c r="R244" s="41">
        <f>+'FCV L2'!$F$73</f>
        <v>45000</v>
      </c>
      <c r="S244" s="41">
        <f>+'FCV L2'!$F$72</f>
        <v>60892</v>
      </c>
      <c r="T244" s="37">
        <f>'[1]Test order'!M244</f>
        <v>62000</v>
      </c>
      <c r="U244" s="37">
        <f>+'FCV L2'!$F$4</f>
        <v>49716.058977289998</v>
      </c>
      <c r="V244" s="33">
        <v>0</v>
      </c>
      <c r="W244" s="34">
        <f t="shared" si="44"/>
        <v>0.19290321340775304</v>
      </c>
      <c r="X244" s="34" t="str">
        <f t="shared" si="43"/>
        <v/>
      </c>
      <c r="Y244" s="42"/>
      <c r="Z244" s="34"/>
    </row>
    <row r="245" spans="1:26" x14ac:dyDescent="0.3">
      <c r="A245" s="33" t="str">
        <f>+'[1]Test order'!A245</f>
        <v>2050 SEMI TRUCK - EMPTY</v>
      </c>
      <c r="B245" s="33" t="str">
        <f>+'[1]Test order'!B245</f>
        <v>URBAN DELIVERY</v>
      </c>
      <c r="C245" s="33" t="str">
        <f>+'[1]Test order'!C245</f>
        <v>2050 Fuel Cell 800 kW</v>
      </c>
      <c r="D245" s="33" t="str">
        <f>+'[1]Test order'!D245</f>
        <v>Hydrogen</v>
      </c>
      <c r="E245" s="34">
        <f>+'[1]Test order'!E245</f>
        <v>3.2972698564891174</v>
      </c>
      <c r="F245" s="34">
        <f>+'[1]Test order'!F245</f>
        <v>0.85845762491226196</v>
      </c>
      <c r="G245" s="38">
        <f>+'[1]Test order'!G245</f>
        <v>0.26035406935916811</v>
      </c>
      <c r="H245" s="39">
        <f>+'[1]Test order'!H245</f>
        <v>36.029808044433594</v>
      </c>
      <c r="I245" s="33" t="str">
        <f>+'[1]Test order'!I245</f>
        <v>km/kg</v>
      </c>
      <c r="J245" s="33" t="str">
        <f>+'[1]Test order'!J245</f>
        <v>Hydrogen 2050 SEMI TRUCK - EMPTY 2050 Fuel Cell 800 kW URBAN DELIVERY 11760 kg 2.8 kg /100km 26%</v>
      </c>
      <c r="K245" s="33">
        <f>+'[1]Test order'!K245</f>
        <v>0</v>
      </c>
      <c r="L245" s="33" t="str">
        <f t="shared" si="38"/>
        <v>2050</v>
      </c>
      <c r="M245" s="33" t="str">
        <f t="shared" si="39"/>
        <v>EMPTY</v>
      </c>
      <c r="N245" s="33" t="str">
        <f t="shared" si="40"/>
        <v xml:space="preserve">SEMI TRUCK </v>
      </c>
      <c r="O245" s="33" t="str">
        <f t="shared" si="41"/>
        <v>Hydrogen km/kg</v>
      </c>
      <c r="P245" s="41">
        <f>+'FCV L3'!$F$71</f>
        <v>157100</v>
      </c>
      <c r="Q245" s="41">
        <f t="shared" si="42"/>
        <v>36208</v>
      </c>
      <c r="R245" s="41">
        <f>+'FCV L3'!$F$73</f>
        <v>60000</v>
      </c>
      <c r="S245" s="41">
        <f>+'FCV L3'!$F$72</f>
        <v>60892</v>
      </c>
      <c r="T245" s="37">
        <f>'[1]Test order'!M245</f>
        <v>11760</v>
      </c>
      <c r="U245" s="33">
        <v>0</v>
      </c>
      <c r="V245" s="33">
        <v>0</v>
      </c>
      <c r="W245" s="34" t="e">
        <f t="shared" si="44"/>
        <v>#N/A</v>
      </c>
      <c r="X245" s="34" t="str">
        <f t="shared" si="43"/>
        <v/>
      </c>
      <c r="Y245" s="42"/>
      <c r="Z245" s="34"/>
    </row>
    <row r="246" spans="1:26" x14ac:dyDescent="0.3">
      <c r="A246" s="33" t="str">
        <f>+'[1]Test order'!A246</f>
        <v>2050 SEMI TRUCK - EMPTY</v>
      </c>
      <c r="B246" s="33" t="str">
        <f>+'[1]Test order'!B246</f>
        <v>REGIONAL DELIVERY</v>
      </c>
      <c r="C246" s="33" t="str">
        <f>+'[1]Test order'!C246</f>
        <v>2050 Fuel Cell 800 kW</v>
      </c>
      <c r="D246" s="33" t="str">
        <f>+'[1]Test order'!D246</f>
        <v>Hydrogen</v>
      </c>
      <c r="E246" s="34">
        <f>+'[1]Test order'!E246</f>
        <v>3.4233977137780442</v>
      </c>
      <c r="F246" s="34">
        <f>+'[1]Test order'!F246</f>
        <v>1.2712196409702301</v>
      </c>
      <c r="G246" s="38">
        <f>+'[1]Test order'!G246</f>
        <v>0.37133273643725101</v>
      </c>
      <c r="H246" s="39">
        <f>+'[1]Test order'!H246</f>
        <v>34.702365875244141</v>
      </c>
      <c r="I246" s="33" t="str">
        <f>+'[1]Test order'!I246</f>
        <v>km/kg</v>
      </c>
      <c r="J246" s="33" t="str">
        <f>+'[1]Test order'!J246</f>
        <v>Hydrogen 2050 SEMI TRUCK - EMPTY 2050 Fuel Cell 800 kW REGIONAL DELIVERY 11760 kg 2.9 kg /100km 37%</v>
      </c>
      <c r="K246" s="33">
        <f>+'[1]Test order'!K246</f>
        <v>0</v>
      </c>
      <c r="L246" s="33" t="str">
        <f t="shared" si="38"/>
        <v>2050</v>
      </c>
      <c r="M246" s="33" t="str">
        <f t="shared" si="39"/>
        <v>EMPTY</v>
      </c>
      <c r="N246" s="33" t="str">
        <f t="shared" si="40"/>
        <v xml:space="preserve">SEMI TRUCK </v>
      </c>
      <c r="O246" s="33" t="str">
        <f t="shared" si="41"/>
        <v>Hydrogen km/kg</v>
      </c>
      <c r="P246" s="41">
        <f>+'FCV L3'!$F$71</f>
        <v>157100</v>
      </c>
      <c r="Q246" s="41">
        <f t="shared" si="42"/>
        <v>36208</v>
      </c>
      <c r="R246" s="41">
        <f>+'FCV L3'!$F$73</f>
        <v>60000</v>
      </c>
      <c r="S246" s="41">
        <f>+'FCV L3'!$F$72</f>
        <v>60892</v>
      </c>
      <c r="T246" s="37">
        <f>'[1]Test order'!M246</f>
        <v>11760</v>
      </c>
      <c r="U246" s="33">
        <v>0</v>
      </c>
      <c r="V246" s="33">
        <v>0</v>
      </c>
      <c r="W246" s="34" t="e">
        <f t="shared" si="44"/>
        <v>#N/A</v>
      </c>
      <c r="X246" s="34" t="str">
        <f t="shared" si="43"/>
        <v/>
      </c>
      <c r="Y246" s="42"/>
      <c r="Z246" s="34"/>
    </row>
    <row r="247" spans="1:26" x14ac:dyDescent="0.3">
      <c r="A247" s="33" t="str">
        <f>+'[1]Test order'!A247</f>
        <v>2050 SEMI TRUCK - EMPTY</v>
      </c>
      <c r="B247" s="33" t="str">
        <f>+'[1]Test order'!B247</f>
        <v>LONG HAUL</v>
      </c>
      <c r="C247" s="33" t="str">
        <f>+'[1]Test order'!C247</f>
        <v>2050 Fuel Cell 800 kW</v>
      </c>
      <c r="D247" s="33" t="str">
        <f>+'[1]Test order'!D247</f>
        <v>Hydrogen</v>
      </c>
      <c r="E247" s="34">
        <f>+'[1]Test order'!E247</f>
        <v>3.4833668814071492</v>
      </c>
      <c r="F247" s="34">
        <f>+'[1]Test order'!F247</f>
        <v>1.5368199050426483</v>
      </c>
      <c r="G247" s="38">
        <f>+'[1]Test order'!G247</f>
        <v>0.44118806814337941</v>
      </c>
      <c r="H247" s="39">
        <f>+'[1]Test order'!H247</f>
        <v>34.104934692382813</v>
      </c>
      <c r="I247" s="33" t="str">
        <f>+'[1]Test order'!I247</f>
        <v>km/kg</v>
      </c>
      <c r="J247" s="33" t="str">
        <f>+'[1]Test order'!J247</f>
        <v>Hydrogen 2050 SEMI TRUCK - EMPTY 2050 Fuel Cell 800 kW LONG HAUL 11760 kg 2.9 kg /100km 44%</v>
      </c>
      <c r="K247" s="33">
        <f>+'[1]Test order'!K247</f>
        <v>0</v>
      </c>
      <c r="L247" s="33" t="str">
        <f t="shared" si="38"/>
        <v>2050</v>
      </c>
      <c r="M247" s="33" t="str">
        <f t="shared" si="39"/>
        <v>EMPTY</v>
      </c>
      <c r="N247" s="33" t="str">
        <f t="shared" si="40"/>
        <v xml:space="preserve">SEMI TRUCK </v>
      </c>
      <c r="O247" s="33" t="str">
        <f t="shared" si="41"/>
        <v>Hydrogen km/kg</v>
      </c>
      <c r="P247" s="41">
        <f>+'FCV L3'!$F$71</f>
        <v>157100</v>
      </c>
      <c r="Q247" s="41">
        <f t="shared" si="42"/>
        <v>36208</v>
      </c>
      <c r="R247" s="41">
        <f>+'FCV L3'!$F$73</f>
        <v>60000</v>
      </c>
      <c r="S247" s="41">
        <f>+'FCV L3'!$F$72</f>
        <v>60892</v>
      </c>
      <c r="T247" s="37">
        <f>'[1]Test order'!M247</f>
        <v>11760</v>
      </c>
      <c r="U247" s="33">
        <v>0</v>
      </c>
      <c r="V247" s="33">
        <v>0</v>
      </c>
      <c r="W247" s="34" t="e">
        <f t="shared" si="44"/>
        <v>#N/A</v>
      </c>
      <c r="X247" s="34" t="str">
        <f t="shared" si="43"/>
        <v/>
      </c>
      <c r="Y247" s="42"/>
      <c r="Z247" s="34"/>
    </row>
    <row r="248" spans="1:26" x14ac:dyDescent="0.3">
      <c r="A248" s="33" t="str">
        <f>+'[1]Test order'!A248</f>
        <v>2050 SEMI TRUCK - TYPICAL</v>
      </c>
      <c r="B248" s="33" t="str">
        <f>+'[1]Test order'!B248</f>
        <v>URBAN DELIVERY</v>
      </c>
      <c r="C248" s="33" t="str">
        <f>+'[1]Test order'!C248</f>
        <v>2050 Fuel Cell 800 kW</v>
      </c>
      <c r="D248" s="33" t="str">
        <f>+'[1]Test order'!D248</f>
        <v>Hydrogen</v>
      </c>
      <c r="E248" s="34">
        <f>+'[1]Test order'!E248</f>
        <v>8.8103876587213623</v>
      </c>
      <c r="F248" s="34">
        <f>+'[1]Test order'!F248</f>
        <v>1.9720191657543182</v>
      </c>
      <c r="G248" s="38">
        <f>+'[1]Test order'!G248</f>
        <v>0.22382887588405098</v>
      </c>
      <c r="H248" s="39">
        <f>+'[1]Test order'!H248</f>
        <v>13.48408317565918</v>
      </c>
      <c r="I248" s="33" t="str">
        <f>+'[1]Test order'!I248</f>
        <v>km/kg</v>
      </c>
      <c r="J248" s="33" t="str">
        <f>+'[1]Test order'!J248</f>
        <v>Hydrogen 2050 SEMI TRUCK - TYPICAL 2050 Fuel Cell 800 kW URBAN DELIVERY 40145.6 kg 7.4 kg /100km 22%</v>
      </c>
      <c r="K248" s="33">
        <f>+'[1]Test order'!K248</f>
        <v>0</v>
      </c>
      <c r="L248" s="33" t="str">
        <f t="shared" si="38"/>
        <v>2050</v>
      </c>
      <c r="M248" s="33" t="str">
        <f t="shared" si="39"/>
        <v>TYPICAL</v>
      </c>
      <c r="N248" s="33" t="str">
        <f t="shared" si="40"/>
        <v xml:space="preserve">SEMI TRUCK </v>
      </c>
      <c r="O248" s="33" t="str">
        <f t="shared" si="41"/>
        <v>Hydrogen km/kg</v>
      </c>
      <c r="P248" s="41">
        <f>+'FCV L3'!$F$71</f>
        <v>157100</v>
      </c>
      <c r="Q248" s="41">
        <f t="shared" si="42"/>
        <v>36208</v>
      </c>
      <c r="R248" s="41">
        <f>+'FCV L3'!$F$73</f>
        <v>60000</v>
      </c>
      <c r="S248" s="41">
        <f>+'FCV L3'!$F$72</f>
        <v>60892</v>
      </c>
      <c r="T248" s="37">
        <f>'[1]Test order'!M248</f>
        <v>40145.599999999999</v>
      </c>
      <c r="U248" s="37">
        <f>+'FCV L3'!$F$7</f>
        <v>28385.599999999999</v>
      </c>
      <c r="V248" s="33">
        <v>0</v>
      </c>
      <c r="W248" s="34">
        <f t="shared" si="44"/>
        <v>0.31038229449866706</v>
      </c>
      <c r="X248" s="34" t="str">
        <f t="shared" si="43"/>
        <v/>
      </c>
      <c r="Y248" s="42"/>
      <c r="Z248" s="34"/>
    </row>
    <row r="249" spans="1:26" x14ac:dyDescent="0.3">
      <c r="A249" s="33" t="str">
        <f>+'[1]Test order'!A249</f>
        <v>2050 SEMI TRUCK - TYPICAL</v>
      </c>
      <c r="B249" s="33" t="str">
        <f>+'[1]Test order'!B249</f>
        <v>REGIONAL DELIVERY</v>
      </c>
      <c r="C249" s="33" t="str">
        <f>+'[1]Test order'!C249</f>
        <v>2050 Fuel Cell 800 kW</v>
      </c>
      <c r="D249" s="33" t="str">
        <f>+'[1]Test order'!D249</f>
        <v>Hydrogen</v>
      </c>
      <c r="E249" s="34">
        <f>+'[1]Test order'!E249</f>
        <v>7.487393097843956</v>
      </c>
      <c r="F249" s="34">
        <f>+'[1]Test order'!F249</f>
        <v>2.3849749565124512</v>
      </c>
      <c r="G249" s="38">
        <f>+'[1]Test order'!G249</f>
        <v>0.31853208791711768</v>
      </c>
      <c r="H249" s="39">
        <f>+'[1]Test order'!H249</f>
        <v>15.866670608520508</v>
      </c>
      <c r="I249" s="33" t="str">
        <f>+'[1]Test order'!I249</f>
        <v>km/kg</v>
      </c>
      <c r="J249" s="33" t="str">
        <f>+'[1]Test order'!J249</f>
        <v>Hydrogen 2050 SEMI TRUCK - TYPICAL 2050 Fuel Cell 800 kW REGIONAL DELIVERY 40145.6 kg 6.3 kg /100km 32%</v>
      </c>
      <c r="K249" s="33">
        <f>+'[1]Test order'!K249</f>
        <v>0</v>
      </c>
      <c r="L249" s="33" t="str">
        <f t="shared" si="38"/>
        <v>2050</v>
      </c>
      <c r="M249" s="33" t="str">
        <f t="shared" si="39"/>
        <v>TYPICAL</v>
      </c>
      <c r="N249" s="33" t="str">
        <f t="shared" si="40"/>
        <v xml:space="preserve">SEMI TRUCK </v>
      </c>
      <c r="O249" s="33" t="str">
        <f t="shared" si="41"/>
        <v>Hydrogen km/kg</v>
      </c>
      <c r="P249" s="41">
        <f>+'FCV L3'!$F$71</f>
        <v>157100</v>
      </c>
      <c r="Q249" s="41">
        <f t="shared" si="42"/>
        <v>36208</v>
      </c>
      <c r="R249" s="41">
        <f>+'FCV L3'!$F$73</f>
        <v>60000</v>
      </c>
      <c r="S249" s="41">
        <f>+'FCV L3'!$F$72</f>
        <v>60892</v>
      </c>
      <c r="T249" s="37">
        <f>'[1]Test order'!M249</f>
        <v>40145.599999999999</v>
      </c>
      <c r="U249" s="37">
        <f>+'FCV L3'!$F$7</f>
        <v>28385.599999999999</v>
      </c>
      <c r="V249" s="33">
        <v>0</v>
      </c>
      <c r="W249" s="34">
        <f t="shared" si="44"/>
        <v>0.26377434677596934</v>
      </c>
      <c r="X249" s="34" t="str">
        <f t="shared" si="43"/>
        <v/>
      </c>
      <c r="Y249" s="42"/>
      <c r="Z249" s="34"/>
    </row>
    <row r="250" spans="1:26" x14ac:dyDescent="0.3">
      <c r="A250" s="33" t="str">
        <f>+'[1]Test order'!A250</f>
        <v>2050 SEMI TRUCK - TYPICAL</v>
      </c>
      <c r="B250" s="33" t="str">
        <f>+'[1]Test order'!B250</f>
        <v>LONG HAUL</v>
      </c>
      <c r="C250" s="33" t="str">
        <f>+'[1]Test order'!C250</f>
        <v>2050 Fuel Cell 800 kW</v>
      </c>
      <c r="D250" s="33" t="str">
        <f>+'[1]Test order'!D250</f>
        <v>Hydrogen</v>
      </c>
      <c r="E250" s="34">
        <f>+'[1]Test order'!E250</f>
        <v>6.283205326339151</v>
      </c>
      <c r="F250" s="34">
        <f>+'[1]Test order'!F250</f>
        <v>2.6506916284561157</v>
      </c>
      <c r="G250" s="38">
        <f>+'[1]Test order'!G250</f>
        <v>0.42186933114288588</v>
      </c>
      <c r="H250" s="39">
        <f>+'[1]Test order'!H250</f>
        <v>18.907546997070313</v>
      </c>
      <c r="I250" s="33" t="str">
        <f>+'[1]Test order'!I250</f>
        <v>km/kg</v>
      </c>
      <c r="J250" s="33" t="str">
        <f>+'[1]Test order'!J250</f>
        <v>Hydrogen 2050 SEMI TRUCK - TYPICAL 2050 Fuel Cell 800 kW LONG HAUL 40145.6 kg 5.3 kg /100km 42%</v>
      </c>
      <c r="K250" s="33">
        <f>+'[1]Test order'!K250</f>
        <v>0</v>
      </c>
      <c r="L250" s="33" t="str">
        <f t="shared" si="38"/>
        <v>2050</v>
      </c>
      <c r="M250" s="33" t="str">
        <f t="shared" si="39"/>
        <v>TYPICAL</v>
      </c>
      <c r="N250" s="33" t="str">
        <f t="shared" si="40"/>
        <v xml:space="preserve">SEMI TRUCK </v>
      </c>
      <c r="O250" s="33" t="str">
        <f t="shared" si="41"/>
        <v>Hydrogen km/kg</v>
      </c>
      <c r="P250" s="41">
        <f>+'FCV L3'!$F$71</f>
        <v>157100</v>
      </c>
      <c r="Q250" s="41">
        <f t="shared" si="42"/>
        <v>36208</v>
      </c>
      <c r="R250" s="41">
        <f>+'FCV L3'!$F$73</f>
        <v>60000</v>
      </c>
      <c r="S250" s="41">
        <f>+'FCV L3'!$F$72</f>
        <v>60892</v>
      </c>
      <c r="T250" s="37">
        <f>'[1]Test order'!M250</f>
        <v>40145.599999999999</v>
      </c>
      <c r="U250" s="37">
        <f>+'FCV L3'!$F$7</f>
        <v>28385.599999999999</v>
      </c>
      <c r="V250" s="33">
        <v>0</v>
      </c>
      <c r="W250" s="34">
        <f t="shared" si="44"/>
        <v>0.22135185891223547</v>
      </c>
      <c r="X250" s="34" t="str">
        <f t="shared" si="43"/>
        <v/>
      </c>
      <c r="Y250" s="42"/>
      <c r="Z250" s="34"/>
    </row>
    <row r="251" spans="1:26" x14ac:dyDescent="0.3">
      <c r="A251" s="33" t="str">
        <f>+'[1]Test order'!A251</f>
        <v>2050 SEMI TRUCK - FULL</v>
      </c>
      <c r="B251" s="33" t="str">
        <f>+'[1]Test order'!B251</f>
        <v>URBAN DELIVERY</v>
      </c>
      <c r="C251" s="33" t="str">
        <f>+'[1]Test order'!C251</f>
        <v>2050 Fuel Cell 800 kW</v>
      </c>
      <c r="D251" s="33" t="str">
        <f>+'[1]Test order'!D251</f>
        <v>Hydrogen</v>
      </c>
      <c r="E251" s="34">
        <f>+'[1]Test order'!E251</f>
        <v>13.211688273259634</v>
      </c>
      <c r="F251" s="34">
        <f>+'[1]Test order'!F251</f>
        <v>2.8249415159225464</v>
      </c>
      <c r="G251" s="38">
        <f>+'[1]Test order'!G251</f>
        <v>0.2138213873574514</v>
      </c>
      <c r="H251" s="39">
        <f>+'[1]Test order'!H251</f>
        <v>8.9920377731323242</v>
      </c>
      <c r="I251" s="33" t="str">
        <f>+'[1]Test order'!I251</f>
        <v>km/kg</v>
      </c>
      <c r="J251" s="33" t="str">
        <f>+'[1]Test order'!J251</f>
        <v>Hydrogen 2050 SEMI TRUCK - FULL 2050 Fuel Cell 800 kW URBAN DELIVERY 62000 kg 11.1 kg /100km 21%</v>
      </c>
      <c r="K251" s="33">
        <f>+'[1]Test order'!K251</f>
        <v>0</v>
      </c>
      <c r="L251" s="33" t="str">
        <f t="shared" si="38"/>
        <v>2050</v>
      </c>
      <c r="M251" s="33" t="str">
        <f t="shared" si="39"/>
        <v>FULL</v>
      </c>
      <c r="N251" s="33" t="str">
        <f t="shared" si="40"/>
        <v xml:space="preserve">SEMI TRUCK </v>
      </c>
      <c r="O251" s="33" t="str">
        <f t="shared" si="41"/>
        <v>Hydrogen km/kg</v>
      </c>
      <c r="P251" s="41">
        <f>+'FCV L3'!$F$71</f>
        <v>157100</v>
      </c>
      <c r="Q251" s="41">
        <f t="shared" si="42"/>
        <v>36208</v>
      </c>
      <c r="R251" s="41">
        <f>+'FCV L3'!$F$73</f>
        <v>60000</v>
      </c>
      <c r="S251" s="41">
        <f>+'FCV L3'!$F$72</f>
        <v>60892</v>
      </c>
      <c r="T251" s="37">
        <f>'[1]Test order'!M251</f>
        <v>62000</v>
      </c>
      <c r="U251" s="37">
        <f>+'FCV L3'!$F$4</f>
        <v>50240</v>
      </c>
      <c r="V251" s="33">
        <v>0</v>
      </c>
      <c r="W251" s="34">
        <f t="shared" si="44"/>
        <v>0.26297150225437171</v>
      </c>
      <c r="X251" s="34" t="str">
        <f t="shared" si="43"/>
        <v/>
      </c>
      <c r="Y251" s="42"/>
      <c r="Z251" s="34"/>
    </row>
    <row r="252" spans="1:26" x14ac:dyDescent="0.3">
      <c r="A252" s="33" t="str">
        <f>+'[1]Test order'!A252</f>
        <v>2050 SEMI TRUCK - FULL</v>
      </c>
      <c r="B252" s="33" t="str">
        <f>+'[1]Test order'!B252</f>
        <v>REGIONAL DELIVERY</v>
      </c>
      <c r="C252" s="33" t="str">
        <f>+'[1]Test order'!C252</f>
        <v>2050 Fuel Cell 800 kW</v>
      </c>
      <c r="D252" s="33" t="str">
        <f>+'[1]Test order'!D252</f>
        <v>Hydrogen</v>
      </c>
      <c r="E252" s="34">
        <f>+'[1]Test order'!E252</f>
        <v>10.716048606165941</v>
      </c>
      <c r="F252" s="34">
        <f>+'[1]Test order'!F252</f>
        <v>3.2415179014205933</v>
      </c>
      <c r="G252" s="38">
        <f>+'[1]Test order'!G252</f>
        <v>0.3024918998179465</v>
      </c>
      <c r="H252" s="39">
        <f>+'[1]Test order'!H252</f>
        <v>11.086175918579102</v>
      </c>
      <c r="I252" s="33" t="str">
        <f>+'[1]Test order'!I252</f>
        <v>km/kg</v>
      </c>
      <c r="J252" s="33" t="str">
        <f>+'[1]Test order'!J252</f>
        <v>Hydrogen 2050 SEMI TRUCK - FULL 2050 Fuel Cell 800 kW REGIONAL DELIVERY 62000 kg 9.0 kg /100km 30%</v>
      </c>
      <c r="K252" s="33">
        <f>+'[1]Test order'!K252</f>
        <v>0</v>
      </c>
      <c r="L252" s="33" t="str">
        <f t="shared" si="38"/>
        <v>2050</v>
      </c>
      <c r="M252" s="33" t="str">
        <f t="shared" si="39"/>
        <v>FULL</v>
      </c>
      <c r="N252" s="33" t="str">
        <f t="shared" si="40"/>
        <v xml:space="preserve">SEMI TRUCK </v>
      </c>
      <c r="O252" s="33" t="str">
        <f t="shared" si="41"/>
        <v>Hydrogen km/kg</v>
      </c>
      <c r="P252" s="41">
        <f>+'FCV L3'!$F$71</f>
        <v>157100</v>
      </c>
      <c r="Q252" s="41">
        <f t="shared" si="42"/>
        <v>36208</v>
      </c>
      <c r="R252" s="41">
        <f>+'FCV L3'!$F$73</f>
        <v>60000</v>
      </c>
      <c r="S252" s="41">
        <f>+'FCV L3'!$F$72</f>
        <v>60892</v>
      </c>
      <c r="T252" s="37">
        <f>'[1]Test order'!M252</f>
        <v>62000</v>
      </c>
      <c r="U252" s="37">
        <f>+'FCV L3'!$F$4</f>
        <v>50240</v>
      </c>
      <c r="V252" s="33">
        <v>0</v>
      </c>
      <c r="W252" s="34">
        <f t="shared" si="44"/>
        <v>0.21329714582336667</v>
      </c>
      <c r="X252" s="34" t="str">
        <f t="shared" si="43"/>
        <v/>
      </c>
      <c r="Y252" s="42"/>
      <c r="Z252" s="34"/>
    </row>
    <row r="253" spans="1:26" x14ac:dyDescent="0.3">
      <c r="A253" s="33" t="str">
        <f>+'[1]Test order'!A253</f>
        <v>2050 SEMI TRUCK - FULL</v>
      </c>
      <c r="B253" s="33" t="str">
        <f>+'[1]Test order'!B253</f>
        <v>LONG HAUL</v>
      </c>
      <c r="C253" s="33" t="str">
        <f>+'[1]Test order'!C253</f>
        <v>2050 Fuel Cell 800 kW</v>
      </c>
      <c r="D253" s="33" t="str">
        <f>+'[1]Test order'!D253</f>
        <v>Hydrogen</v>
      </c>
      <c r="E253" s="34">
        <f>+'[1]Test order'!E253</f>
        <v>8.5213184978418433</v>
      </c>
      <c r="F253" s="34">
        <f>+'[1]Test order'!F253</f>
        <v>3.5082435607910156</v>
      </c>
      <c r="G253" s="38">
        <f>+'[1]Test order'!G253</f>
        <v>0.41170196392489411</v>
      </c>
      <c r="H253" s="39">
        <f>+'[1]Test order'!H253</f>
        <v>13.94150447845459</v>
      </c>
      <c r="I253" s="33" t="str">
        <f>+'[1]Test order'!I253</f>
        <v>km/kg</v>
      </c>
      <c r="J253" s="33" t="str">
        <f>+'[1]Test order'!J253</f>
        <v>Hydrogen 2050 SEMI TRUCK - FULL 2050 Fuel Cell 800 kW LONG HAUL 62000 kg 7.2 kg /100km 41%</v>
      </c>
      <c r="K253" s="33">
        <f>+'[1]Test order'!K253</f>
        <v>0</v>
      </c>
      <c r="L253" s="33" t="str">
        <f t="shared" si="38"/>
        <v>2050</v>
      </c>
      <c r="M253" s="33" t="str">
        <f t="shared" si="39"/>
        <v>FULL</v>
      </c>
      <c r="N253" s="33" t="str">
        <f t="shared" si="40"/>
        <v xml:space="preserve">SEMI TRUCK </v>
      </c>
      <c r="O253" s="33" t="str">
        <f t="shared" si="41"/>
        <v>Hydrogen km/kg</v>
      </c>
      <c r="P253" s="41">
        <f>+'FCV L3'!$F$71</f>
        <v>157100</v>
      </c>
      <c r="Q253" s="41">
        <f t="shared" si="42"/>
        <v>36208</v>
      </c>
      <c r="R253" s="41">
        <f>+'FCV L3'!$F$73</f>
        <v>60000</v>
      </c>
      <c r="S253" s="41">
        <f>+'FCV L3'!$F$72</f>
        <v>60892</v>
      </c>
      <c r="T253" s="37">
        <f>'[1]Test order'!M253</f>
        <v>62000</v>
      </c>
      <c r="U253" s="37">
        <f>+'FCV L3'!$F$4</f>
        <v>50240</v>
      </c>
      <c r="V253" s="33">
        <v>0</v>
      </c>
      <c r="W253" s="34">
        <f t="shared" si="44"/>
        <v>0.16961223124685196</v>
      </c>
      <c r="X253" s="34" t="str">
        <f t="shared" si="43"/>
        <v/>
      </c>
      <c r="Y253" s="42"/>
      <c r="Z253" s="34"/>
    </row>
    <row r="254" spans="1:26" x14ac:dyDescent="0.3">
      <c r="A254" s="33" t="str">
        <f>+'[1]Test order'!A254</f>
        <v>2050 CITY BUS - EMPTY</v>
      </c>
      <c r="B254" s="33" t="str">
        <f>+'[1]Test order'!B254</f>
        <v>CITY ROUTE</v>
      </c>
      <c r="C254" s="33" t="str">
        <f>+'[1]Test order'!C254</f>
        <v>2050 Fuel Cell 800 kW</v>
      </c>
      <c r="D254" s="33" t="str">
        <f>+'[1]Test order'!D254</f>
        <v>Hydrogen</v>
      </c>
      <c r="E254" s="34">
        <f>+'[1]Test order'!E254</f>
        <v>4.4728319117575772</v>
      </c>
      <c r="F254" s="34">
        <f>+'[1]Test order'!F254</f>
        <v>0.82806998491287231</v>
      </c>
      <c r="G254" s="38">
        <f>+'[1]Test order'!G254</f>
        <v>0.18513326707765468</v>
      </c>
      <c r="H254" s="39">
        <f>+'[1]Test order'!H254</f>
        <v>26.560354232788086</v>
      </c>
      <c r="I254" s="33" t="str">
        <f>+'[1]Test order'!I254</f>
        <v>km/kg</v>
      </c>
      <c r="J254" s="33" t="str">
        <f>+'[1]Test order'!J254</f>
        <v>Hydrogen 2050 CITY BUS - EMPTY 2050 Fuel Cell 800 kW CITY ROUTE 10542 kg 3.8 kg /100km 19%</v>
      </c>
      <c r="K254" s="33">
        <f>+'[1]Test order'!K254</f>
        <v>0</v>
      </c>
      <c r="L254" s="33" t="str">
        <f t="shared" si="38"/>
        <v>2050</v>
      </c>
      <c r="M254" s="33" t="str">
        <f t="shared" si="39"/>
        <v>EMPTY</v>
      </c>
      <c r="N254" s="33" t="str">
        <f t="shared" si="40"/>
        <v xml:space="preserve">CITY BUS </v>
      </c>
      <c r="O254" s="33" t="str">
        <f t="shared" si="41"/>
        <v>Hydrogen km/kg</v>
      </c>
      <c r="P254" s="41">
        <f>+'FCV B1'!$F$71</f>
        <v>214137.93103448278</v>
      </c>
      <c r="Q254" s="41">
        <f t="shared" si="42"/>
        <v>108245.93103448278</v>
      </c>
      <c r="R254" s="41">
        <f>+'FCV B1'!$F$73</f>
        <v>45000</v>
      </c>
      <c r="S254" s="41">
        <f>+'FCV B1'!$F$72</f>
        <v>60892</v>
      </c>
      <c r="T254" s="37">
        <f>'[1]Test order'!M254</f>
        <v>10542</v>
      </c>
      <c r="U254" s="33">
        <v>0</v>
      </c>
      <c r="V254" s="33">
        <v>0</v>
      </c>
      <c r="W254" s="34" t="e">
        <f t="shared" si="44"/>
        <v>#N/A</v>
      </c>
      <c r="X254" s="34" t="str">
        <f t="shared" si="43"/>
        <v/>
      </c>
      <c r="Y254" s="42"/>
      <c r="Z254" s="34"/>
    </row>
    <row r="255" spans="1:26" x14ac:dyDescent="0.3">
      <c r="A255" s="33" t="str">
        <f>+'[1]Test order'!A255</f>
        <v>2050 CITY BUS - EMPTY</v>
      </c>
      <c r="B255" s="33" t="str">
        <f>+'[1]Test order'!B255</f>
        <v>RURAL ROUTE</v>
      </c>
      <c r="C255" s="33" t="str">
        <f>+'[1]Test order'!C255</f>
        <v>2050 Fuel Cell 800 kW</v>
      </c>
      <c r="D255" s="33" t="str">
        <f>+'[1]Test order'!D255</f>
        <v>Hydrogen</v>
      </c>
      <c r="E255" s="34">
        <f>+'[1]Test order'!E255</f>
        <v>3.7035530445042997</v>
      </c>
      <c r="F255" s="34">
        <f>+'[1]Test order'!F255</f>
        <v>1.4547807574272156</v>
      </c>
      <c r="G255" s="38">
        <f>+'[1]Test order'!G255</f>
        <v>0.39280678309332279</v>
      </c>
      <c r="H255" s="39">
        <f>+'[1]Test order'!H255</f>
        <v>32.077304840087891</v>
      </c>
      <c r="I255" s="33" t="str">
        <f>+'[1]Test order'!I255</f>
        <v>km/kg</v>
      </c>
      <c r="J255" s="33" t="str">
        <f>+'[1]Test order'!J255</f>
        <v>Hydrogen 2050 CITY BUS - EMPTY 2050 Fuel Cell 800 kW RURAL ROUTE 10542 kg 3.1 kg /100km 39%</v>
      </c>
      <c r="K255" s="33">
        <f>+'[1]Test order'!K255</f>
        <v>0</v>
      </c>
      <c r="L255" s="33" t="str">
        <f t="shared" si="38"/>
        <v>2050</v>
      </c>
      <c r="M255" s="33" t="str">
        <f t="shared" si="39"/>
        <v>EMPTY</v>
      </c>
      <c r="N255" s="33" t="str">
        <f t="shared" si="40"/>
        <v xml:space="preserve">CITY BUS </v>
      </c>
      <c r="O255" s="33" t="str">
        <f t="shared" si="41"/>
        <v>Hydrogen km/kg</v>
      </c>
      <c r="P255" s="41">
        <f>+'FCV B1'!$F$71</f>
        <v>214137.93103448278</v>
      </c>
      <c r="Q255" s="41">
        <f t="shared" si="42"/>
        <v>108245.93103448278</v>
      </c>
      <c r="R255" s="41">
        <f>+'FCV B1'!$F$73</f>
        <v>45000</v>
      </c>
      <c r="S255" s="41">
        <f>+'FCV B1'!$F$72</f>
        <v>60892</v>
      </c>
      <c r="T255" s="37">
        <f>'[1]Test order'!M255</f>
        <v>10542</v>
      </c>
      <c r="U255" s="33">
        <v>0</v>
      </c>
      <c r="V255" s="33">
        <v>0</v>
      </c>
      <c r="W255" s="34" t="e">
        <f t="shared" si="44"/>
        <v>#N/A</v>
      </c>
      <c r="X255" s="34" t="str">
        <f t="shared" si="43"/>
        <v/>
      </c>
      <c r="Y255" s="42"/>
      <c r="Z255" s="34"/>
    </row>
    <row r="256" spans="1:26" x14ac:dyDescent="0.3">
      <c r="A256" s="33" t="str">
        <f>+'[1]Test order'!A256</f>
        <v>2050 CITY BUS - EMPTY</v>
      </c>
      <c r="B256" s="33" t="str">
        <f>+'[1]Test order'!B256</f>
        <v>MOTORWAY</v>
      </c>
      <c r="C256" s="33" t="str">
        <f>+'[1]Test order'!C256</f>
        <v>2050 Fuel Cell 800 kW</v>
      </c>
      <c r="D256" s="33" t="str">
        <f>+'[1]Test order'!D256</f>
        <v>Hydrogen</v>
      </c>
      <c r="E256" s="34">
        <f>+'[1]Test order'!E256</f>
        <v>3.9777910898583317</v>
      </c>
      <c r="F256" s="34">
        <f>+'[1]Test order'!F256</f>
        <v>1.7962645888328552</v>
      </c>
      <c r="G256" s="38">
        <f>+'[1]Test order'!G256</f>
        <v>0.45157338539285352</v>
      </c>
      <c r="H256" s="39">
        <f>+'[1]Test order'!H256</f>
        <v>29.865821838378906</v>
      </c>
      <c r="I256" s="33" t="str">
        <f>+'[1]Test order'!I256</f>
        <v>km/kg</v>
      </c>
      <c r="J256" s="33" t="str">
        <f>+'[1]Test order'!J256</f>
        <v>Hydrogen 2050 CITY BUS - EMPTY 2050 Fuel Cell 800 kW MOTORWAY 10542 kg 3.3 kg /100km 45%</v>
      </c>
      <c r="K256" s="33">
        <f>+'[1]Test order'!K256</f>
        <v>0</v>
      </c>
      <c r="L256" s="33" t="str">
        <f t="shared" si="38"/>
        <v>2050</v>
      </c>
      <c r="M256" s="33" t="str">
        <f t="shared" si="39"/>
        <v>EMPTY</v>
      </c>
      <c r="N256" s="33" t="str">
        <f t="shared" si="40"/>
        <v xml:space="preserve">CITY BUS </v>
      </c>
      <c r="O256" s="33" t="str">
        <f t="shared" si="41"/>
        <v>Hydrogen km/kg</v>
      </c>
      <c r="P256" s="41">
        <f>+'FCV B1'!$F$71</f>
        <v>214137.93103448278</v>
      </c>
      <c r="Q256" s="41">
        <f t="shared" si="42"/>
        <v>108245.93103448278</v>
      </c>
      <c r="R256" s="41">
        <f>+'FCV B1'!$F$73</f>
        <v>45000</v>
      </c>
      <c r="S256" s="41">
        <f>+'FCV B1'!$F$72</f>
        <v>60892</v>
      </c>
      <c r="T256" s="37">
        <f>'[1]Test order'!M256</f>
        <v>10542</v>
      </c>
      <c r="U256" s="33">
        <v>0</v>
      </c>
      <c r="V256" s="33">
        <v>0</v>
      </c>
      <c r="W256" s="34" t="e">
        <f t="shared" si="44"/>
        <v>#N/A</v>
      </c>
      <c r="X256" s="34" t="str">
        <f t="shared" si="43"/>
        <v/>
      </c>
      <c r="Y256" s="42"/>
      <c r="Z256" s="34"/>
    </row>
    <row r="257" spans="1:26" x14ac:dyDescent="0.3">
      <c r="A257" s="33" t="str">
        <f>+'[1]Test order'!A257</f>
        <v>2050 CITY BUS - TYPICAL</v>
      </c>
      <c r="B257" s="33" t="str">
        <f>+'[1]Test order'!B257</f>
        <v>CITY ROUTE</v>
      </c>
      <c r="C257" s="33" t="str">
        <f>+'[1]Test order'!C257</f>
        <v>2050 Fuel Cell 800 kW</v>
      </c>
      <c r="D257" s="33" t="str">
        <f>+'[1]Test order'!D257</f>
        <v>Hydrogen</v>
      </c>
      <c r="E257" s="34">
        <f>+'[1]Test order'!E257</f>
        <v>4.7375601860479266</v>
      </c>
      <c r="F257" s="34">
        <f>+'[1]Test order'!F257</f>
        <v>0.86101850867271423</v>
      </c>
      <c r="G257" s="38">
        <f>+'[1]Test order'!G257</f>
        <v>0.18174302275006579</v>
      </c>
      <c r="H257" s="39">
        <f>+'[1]Test order'!H257</f>
        <v>25.076198577880859</v>
      </c>
      <c r="I257" s="33" t="str">
        <f>+'[1]Test order'!I257</f>
        <v>km/kg</v>
      </c>
      <c r="J257" s="33" t="str">
        <f>+'[1]Test order'!J257</f>
        <v>Hydrogen 2050 CITY BUS - TYPICAL 2050 Fuel Cell 800 kW CITY ROUTE 11382 kg 4.0 kg /100km 18%</v>
      </c>
      <c r="K257" s="33">
        <f>+'[1]Test order'!K257</f>
        <v>0</v>
      </c>
      <c r="L257" s="33" t="str">
        <f t="shared" si="38"/>
        <v>2050</v>
      </c>
      <c r="M257" s="33" t="str">
        <f t="shared" si="39"/>
        <v>TYPICAL</v>
      </c>
      <c r="N257" s="33" t="str">
        <f t="shared" si="40"/>
        <v xml:space="preserve">CITY BUS </v>
      </c>
      <c r="O257" s="33" t="str">
        <f t="shared" si="41"/>
        <v>Hydrogen km/kg</v>
      </c>
      <c r="P257" s="41">
        <f>+'FCV B1'!$F$71</f>
        <v>214137.93103448278</v>
      </c>
      <c r="Q257" s="41">
        <f t="shared" si="42"/>
        <v>108245.93103448278</v>
      </c>
      <c r="R257" s="41">
        <f>+'FCV B1'!$F$73</f>
        <v>45000</v>
      </c>
      <c r="S257" s="41">
        <f>+'FCV B1'!$F$72</f>
        <v>60892</v>
      </c>
      <c r="T257" s="37">
        <f>'[1]Test order'!M257</f>
        <v>11382</v>
      </c>
      <c r="U257" s="37">
        <f>+T257-T254</f>
        <v>840</v>
      </c>
      <c r="V257" s="37">
        <f>+'FCV B1'!$F$7</f>
        <v>12</v>
      </c>
      <c r="W257" s="34">
        <f t="shared" si="44"/>
        <v>5.639952602438008</v>
      </c>
      <c r="X257" s="34">
        <f t="shared" si="43"/>
        <v>0.39479668217066055</v>
      </c>
      <c r="Y257" s="42"/>
      <c r="Z257" s="34"/>
    </row>
    <row r="258" spans="1:26" x14ac:dyDescent="0.3">
      <c r="A258" s="33" t="str">
        <f>+'[1]Test order'!A258</f>
        <v>2050 CITY BUS - TYPICAL</v>
      </c>
      <c r="B258" s="33" t="str">
        <f>+'[1]Test order'!B258</f>
        <v>RURAL ROUTE</v>
      </c>
      <c r="C258" s="33" t="str">
        <f>+'[1]Test order'!C258</f>
        <v>2050 Fuel Cell 800 kW</v>
      </c>
      <c r="D258" s="33" t="str">
        <f>+'[1]Test order'!D258</f>
        <v>Hydrogen</v>
      </c>
      <c r="E258" s="34">
        <f>+'[1]Test order'!E258</f>
        <v>3.8121938223101677</v>
      </c>
      <c r="F258" s="34">
        <f>+'[1]Test order'!F258</f>
        <v>1.4877432882785797</v>
      </c>
      <c r="G258" s="38">
        <f>+'[1]Test order'!G258</f>
        <v>0.39025908902423428</v>
      </c>
      <c r="H258" s="39">
        <f>+'[1]Test order'!H258</f>
        <v>31.163158416748047</v>
      </c>
      <c r="I258" s="33" t="str">
        <f>+'[1]Test order'!I258</f>
        <v>km/kg</v>
      </c>
      <c r="J258" s="33" t="str">
        <f>+'[1]Test order'!J258</f>
        <v>Hydrogen 2050 CITY BUS - TYPICAL 2050 Fuel Cell 800 kW RURAL ROUTE 11382 kg 3.2 kg /100km 39%</v>
      </c>
      <c r="K258" s="33">
        <f>+'[1]Test order'!K258</f>
        <v>0</v>
      </c>
      <c r="L258" s="33" t="str">
        <f t="shared" ref="L258:L271" si="49">LEFT(A258,4)</f>
        <v>2050</v>
      </c>
      <c r="M258" s="33" t="str">
        <f t="shared" ref="M258:M271" si="50">RIGHT(A258,LEN(A258)-FIND("-",A258)-1)</f>
        <v>TYPICAL</v>
      </c>
      <c r="N258" s="33" t="str">
        <f t="shared" ref="N258:N271" si="51">MID(LEFT(A258,FIND("-",A258)-1),6,20)</f>
        <v xml:space="preserve">CITY BUS </v>
      </c>
      <c r="O258" s="33" t="str">
        <f t="shared" ref="O258:O271" si="52">_xlfn.TEXTJOIN(" ",FALSE,D258,I258)</f>
        <v>Hydrogen km/kg</v>
      </c>
      <c r="P258" s="41">
        <f>+'FCV B1'!$F$71</f>
        <v>214137.93103448278</v>
      </c>
      <c r="Q258" s="41">
        <f t="shared" ref="Q258:Q271" si="53">+P258-R258-S258</f>
        <v>108245.93103448278</v>
      </c>
      <c r="R258" s="41">
        <f>+'FCV B1'!$F$73</f>
        <v>45000</v>
      </c>
      <c r="S258" s="41">
        <f>+'FCV B1'!$F$72</f>
        <v>60892</v>
      </c>
      <c r="T258" s="37">
        <f>'[1]Test order'!M258</f>
        <v>11382</v>
      </c>
      <c r="U258" s="37">
        <f t="shared" ref="U258:U259" si="54">+T258-T255</f>
        <v>840</v>
      </c>
      <c r="V258" s="37">
        <f>+'FCV B1'!$F$7</f>
        <v>12</v>
      </c>
      <c r="W258" s="34">
        <f t="shared" si="44"/>
        <v>4.5383259789406765</v>
      </c>
      <c r="X258" s="34">
        <f t="shared" ref="X258:X271" si="55">IF(V258&gt;0,E258/V258,"")</f>
        <v>0.31768281852584729</v>
      </c>
      <c r="Y258" s="42"/>
      <c r="Z258" s="34"/>
    </row>
    <row r="259" spans="1:26" x14ac:dyDescent="0.3">
      <c r="A259" s="33" t="str">
        <f>+'[1]Test order'!A259</f>
        <v>2050 CITY BUS - TYPICAL</v>
      </c>
      <c r="B259" s="33" t="str">
        <f>+'[1]Test order'!B259</f>
        <v>MOTORWAY</v>
      </c>
      <c r="C259" s="33" t="str">
        <f>+'[1]Test order'!C259</f>
        <v>2050 Fuel Cell 800 kW</v>
      </c>
      <c r="D259" s="33" t="str">
        <f>+'[1]Test order'!D259</f>
        <v>Hydrogen</v>
      </c>
      <c r="E259" s="34">
        <f>+'[1]Test order'!E259</f>
        <v>4.0469350640338666</v>
      </c>
      <c r="F259" s="34">
        <f>+'[1]Test order'!F259</f>
        <v>1.8292281925678253</v>
      </c>
      <c r="G259" s="38">
        <f>+'[1]Test order'!G259</f>
        <v>0.45200334663746844</v>
      </c>
      <c r="H259" s="39">
        <f>+'[1]Test order'!H259</f>
        <v>29.355548858642578</v>
      </c>
      <c r="I259" s="33" t="str">
        <f>+'[1]Test order'!I259</f>
        <v>km/kg</v>
      </c>
      <c r="J259" s="33" t="str">
        <f>+'[1]Test order'!J259</f>
        <v>Hydrogen 2050 CITY BUS - TYPICAL 2050 Fuel Cell 800 kW MOTORWAY 11382 kg 3.4 kg /100km 45%</v>
      </c>
      <c r="K259" s="33">
        <f>+'[1]Test order'!K259</f>
        <v>0</v>
      </c>
      <c r="L259" s="33" t="str">
        <f t="shared" si="49"/>
        <v>2050</v>
      </c>
      <c r="M259" s="33" t="str">
        <f t="shared" si="50"/>
        <v>TYPICAL</v>
      </c>
      <c r="N259" s="33" t="str">
        <f t="shared" si="51"/>
        <v xml:space="preserve">CITY BUS </v>
      </c>
      <c r="O259" s="33" t="str">
        <f t="shared" si="52"/>
        <v>Hydrogen km/kg</v>
      </c>
      <c r="P259" s="41">
        <f>+'FCV B1'!$F$71</f>
        <v>214137.93103448278</v>
      </c>
      <c r="Q259" s="41">
        <f t="shared" si="53"/>
        <v>108245.93103448278</v>
      </c>
      <c r="R259" s="41">
        <f>+'FCV B1'!$F$73</f>
        <v>45000</v>
      </c>
      <c r="S259" s="41">
        <f>+'FCV B1'!$F$72</f>
        <v>60892</v>
      </c>
      <c r="T259" s="37">
        <f>'[1]Test order'!M259</f>
        <v>11382</v>
      </c>
      <c r="U259" s="37">
        <f t="shared" si="54"/>
        <v>840</v>
      </c>
      <c r="V259" s="37">
        <f>+'FCV B1'!$F$7</f>
        <v>12</v>
      </c>
      <c r="W259" s="34">
        <f t="shared" ref="W259:W271" si="56">IF(U259&gt;0,E259/U259*1000,NA())</f>
        <v>4.8177798381355554</v>
      </c>
      <c r="X259" s="34">
        <f t="shared" si="55"/>
        <v>0.33724458866948887</v>
      </c>
      <c r="Y259" s="42"/>
      <c r="Z259" s="34"/>
    </row>
    <row r="260" spans="1:26" x14ac:dyDescent="0.3">
      <c r="A260" s="33" t="str">
        <f>+'[1]Test order'!A260</f>
        <v>2050 CITY BUS - FULL</v>
      </c>
      <c r="B260" s="33" t="str">
        <f>+'[1]Test order'!B260</f>
        <v>CITY ROUTE</v>
      </c>
      <c r="C260" s="33" t="str">
        <f>+'[1]Test order'!C260</f>
        <v>2050 Fuel Cell 800 kW</v>
      </c>
      <c r="D260" s="33" t="str">
        <f>+'[1]Test order'!D260</f>
        <v>Hydrogen</v>
      </c>
      <c r="E260" s="34">
        <f>+'[1]Test order'!E260</f>
        <v>6.9213875620098193</v>
      </c>
      <c r="F260" s="34">
        <f>+'[1]Test order'!F260</f>
        <v>1.1203869581222534</v>
      </c>
      <c r="G260" s="38">
        <f>+'[1]Test order'!G260</f>
        <v>0.16187317182927952</v>
      </c>
      <c r="H260" s="39">
        <f>+'[1]Test order'!H260</f>
        <v>17.164188385009766</v>
      </c>
      <c r="I260" s="33" t="str">
        <f>+'[1]Test order'!I260</f>
        <v>km/kg</v>
      </c>
      <c r="J260" s="33" t="str">
        <f>+'[1]Test order'!J260</f>
        <v>Hydrogen 2050 CITY BUS - FULL 2050 Fuel Cell 800 kW CITY ROUTE 18000 kg 5.8 kg /100km 16%</v>
      </c>
      <c r="K260" s="33">
        <f>+'[1]Test order'!K260</f>
        <v>0</v>
      </c>
      <c r="L260" s="33" t="str">
        <f t="shared" si="49"/>
        <v>2050</v>
      </c>
      <c r="M260" s="33" t="str">
        <f t="shared" si="50"/>
        <v>FULL</v>
      </c>
      <c r="N260" s="33" t="str">
        <f t="shared" si="51"/>
        <v xml:space="preserve">CITY BUS </v>
      </c>
      <c r="O260" s="33" t="str">
        <f t="shared" si="52"/>
        <v>Hydrogen km/kg</v>
      </c>
      <c r="P260" s="41">
        <f>+'FCV B1'!$F$71</f>
        <v>214137.93103448278</v>
      </c>
      <c r="Q260" s="41">
        <f t="shared" si="53"/>
        <v>108245.93103448278</v>
      </c>
      <c r="R260" s="41">
        <f>+'FCV B1'!$F$73</f>
        <v>45000</v>
      </c>
      <c r="S260" s="41">
        <f>+'FCV B1'!$F$72</f>
        <v>60892</v>
      </c>
      <c r="T260" s="37">
        <f>'[1]Test order'!M260</f>
        <v>18000</v>
      </c>
      <c r="U260" s="37">
        <f>+T260-T254</f>
        <v>7458</v>
      </c>
      <c r="V260" s="33">
        <f>+'FCV B1'!$F$4</f>
        <v>63</v>
      </c>
      <c r="W260" s="34">
        <f t="shared" si="56"/>
        <v>0.9280487479230114</v>
      </c>
      <c r="X260" s="34">
        <f t="shared" si="55"/>
        <v>0.10986329463507649</v>
      </c>
      <c r="Y260" s="42"/>
      <c r="Z260" s="34"/>
    </row>
    <row r="261" spans="1:26" x14ac:dyDescent="0.3">
      <c r="A261" s="33" t="str">
        <f>+'[1]Test order'!A261</f>
        <v>2050 CITY BUS - FULL</v>
      </c>
      <c r="B261" s="33" t="str">
        <f>+'[1]Test order'!B261</f>
        <v>RURAL ROUTE</v>
      </c>
      <c r="C261" s="33" t="str">
        <f>+'[1]Test order'!C261</f>
        <v>2050 Fuel Cell 800 kW</v>
      </c>
      <c r="D261" s="33" t="str">
        <f>+'[1]Test order'!D261</f>
        <v>Hydrogen</v>
      </c>
      <c r="E261" s="34">
        <f>+'[1]Test order'!E261</f>
        <v>4.7132003844087444</v>
      </c>
      <c r="F261" s="34">
        <f>+'[1]Test order'!F261</f>
        <v>1.7474362850189209</v>
      </c>
      <c r="G261" s="38">
        <f>+'[1]Test order'!G261</f>
        <v>0.37075365834209723</v>
      </c>
      <c r="H261" s="39">
        <f>+'[1]Test order'!H261</f>
        <v>25.205802917480469</v>
      </c>
      <c r="I261" s="33" t="str">
        <f>+'[1]Test order'!I261</f>
        <v>km/kg</v>
      </c>
      <c r="J261" s="33" t="str">
        <f>+'[1]Test order'!J261</f>
        <v>Hydrogen 2050 CITY BUS - FULL 2050 Fuel Cell 800 kW RURAL ROUTE 18000 kg 4.0 kg /100km 37%</v>
      </c>
      <c r="K261" s="33">
        <f>+'[1]Test order'!K261</f>
        <v>0</v>
      </c>
      <c r="L261" s="33" t="str">
        <f t="shared" si="49"/>
        <v>2050</v>
      </c>
      <c r="M261" s="33" t="str">
        <f t="shared" si="50"/>
        <v>FULL</v>
      </c>
      <c r="N261" s="33" t="str">
        <f t="shared" si="51"/>
        <v xml:space="preserve">CITY BUS </v>
      </c>
      <c r="O261" s="33" t="str">
        <f t="shared" si="52"/>
        <v>Hydrogen km/kg</v>
      </c>
      <c r="P261" s="41">
        <f>+'FCV B1'!$F$71</f>
        <v>214137.93103448278</v>
      </c>
      <c r="Q261" s="41">
        <f t="shared" si="53"/>
        <v>108245.93103448278</v>
      </c>
      <c r="R261" s="41">
        <f>+'FCV B1'!$F$73</f>
        <v>45000</v>
      </c>
      <c r="S261" s="41">
        <f>+'FCV B1'!$F$72</f>
        <v>60892</v>
      </c>
      <c r="T261" s="37">
        <f>'[1]Test order'!M261</f>
        <v>18000</v>
      </c>
      <c r="U261" s="37">
        <f t="shared" ref="U261:U262" si="57">+T261-T255</f>
        <v>7458</v>
      </c>
      <c r="V261" s="33">
        <f>+'FCV B1'!$F$4</f>
        <v>63</v>
      </c>
      <c r="W261" s="34">
        <f t="shared" si="56"/>
        <v>0.63196572598669143</v>
      </c>
      <c r="X261" s="34">
        <f t="shared" si="55"/>
        <v>7.4812704514424511E-2</v>
      </c>
      <c r="Y261" s="42"/>
      <c r="Z261" s="34"/>
    </row>
    <row r="262" spans="1:26" x14ac:dyDescent="0.3">
      <c r="A262" s="33" t="str">
        <f>+'[1]Test order'!A262</f>
        <v>2050 CITY BUS - FULL</v>
      </c>
      <c r="B262" s="33" t="str">
        <f>+'[1]Test order'!B262</f>
        <v>MOTORWAY</v>
      </c>
      <c r="C262" s="33" t="str">
        <f>+'[1]Test order'!C262</f>
        <v>2050 Fuel Cell 800 kW</v>
      </c>
      <c r="D262" s="33" t="str">
        <f>+'[1]Test order'!D262</f>
        <v>Hydrogen</v>
      </c>
      <c r="E262" s="34">
        <f>+'[1]Test order'!E262</f>
        <v>4.6366124763164729</v>
      </c>
      <c r="F262" s="34">
        <f>+'[1]Test order'!F262</f>
        <v>2.0889230370521545</v>
      </c>
      <c r="G262" s="38">
        <f>+'[1]Test order'!G262</f>
        <v>0.45052784715613892</v>
      </c>
      <c r="H262" s="39">
        <f>+'[1]Test order'!H262</f>
        <v>25.622154235839844</v>
      </c>
      <c r="I262" s="33" t="str">
        <f>+'[1]Test order'!I262</f>
        <v>km/kg</v>
      </c>
      <c r="J262" s="33" t="str">
        <f>+'[1]Test order'!J262</f>
        <v>Hydrogen 2050 CITY BUS - FULL 2050 Fuel Cell 800 kW MOTORWAY 18000 kg 3.9 kg /100km 45%</v>
      </c>
      <c r="K262" s="33">
        <f>+'[1]Test order'!K262</f>
        <v>0</v>
      </c>
      <c r="L262" s="33" t="str">
        <f t="shared" si="49"/>
        <v>2050</v>
      </c>
      <c r="M262" s="33" t="str">
        <f t="shared" si="50"/>
        <v>FULL</v>
      </c>
      <c r="N262" s="33" t="str">
        <f t="shared" si="51"/>
        <v xml:space="preserve">CITY BUS </v>
      </c>
      <c r="O262" s="33" t="str">
        <f t="shared" si="52"/>
        <v>Hydrogen km/kg</v>
      </c>
      <c r="P262" s="41">
        <f>+'FCV B1'!$F$71</f>
        <v>214137.93103448278</v>
      </c>
      <c r="Q262" s="41">
        <f t="shared" si="53"/>
        <v>108245.93103448278</v>
      </c>
      <c r="R262" s="41">
        <f>+'FCV B1'!$F$73</f>
        <v>45000</v>
      </c>
      <c r="S262" s="41">
        <f>+'FCV B1'!$F$72</f>
        <v>60892</v>
      </c>
      <c r="T262" s="37">
        <f>'[1]Test order'!M262</f>
        <v>18000</v>
      </c>
      <c r="U262" s="37">
        <f t="shared" si="57"/>
        <v>7458</v>
      </c>
      <c r="V262" s="33">
        <f>+'FCV B1'!$F$4</f>
        <v>63</v>
      </c>
      <c r="W262" s="34">
        <f t="shared" si="56"/>
        <v>0.62169649722666565</v>
      </c>
      <c r="X262" s="34">
        <f t="shared" si="55"/>
        <v>7.359702343359481E-2</v>
      </c>
      <c r="Y262" s="42"/>
      <c r="Z262" s="34"/>
    </row>
    <row r="263" spans="1:26" x14ac:dyDescent="0.3">
      <c r="A263" s="33" t="str">
        <f>+'[1]Test order'!A263</f>
        <v>2050 TOURIST BUS - EMPTY</v>
      </c>
      <c r="B263" s="33" t="str">
        <f>+'[1]Test order'!B263</f>
        <v>CITY ROUTE</v>
      </c>
      <c r="C263" s="33" t="str">
        <f>+'[1]Test order'!C263</f>
        <v>2050 Fuel Cell 800 kW</v>
      </c>
      <c r="D263" s="33" t="str">
        <f>+'[1]Test order'!D263</f>
        <v>Hydrogen</v>
      </c>
      <c r="E263" s="34">
        <f>+'[1]Test order'!E263</f>
        <v>4.5192237072320012</v>
      </c>
      <c r="F263" s="34">
        <f>+'[1]Test order'!F263</f>
        <v>0.76164537668228149</v>
      </c>
      <c r="G263" s="38">
        <f>+'[1]Test order'!G263</f>
        <v>0.16853455947831025</v>
      </c>
      <c r="H263" s="39">
        <f>+'[1]Test order'!H263</f>
        <v>26.287700653076172</v>
      </c>
      <c r="I263" s="33" t="str">
        <f>+'[1]Test order'!I263</f>
        <v>km/kg</v>
      </c>
      <c r="J263" s="33" t="str">
        <f>+'[1]Test order'!J263</f>
        <v>Hydrogen 2050 TOURIST BUS - EMPTY 2050 Fuel Cell 800 kW CITY ROUTE 11200 kg 3.8 kg /100km 17%</v>
      </c>
      <c r="K263" s="33">
        <f>+'[1]Test order'!K263</f>
        <v>0</v>
      </c>
      <c r="L263" s="33" t="str">
        <f t="shared" si="49"/>
        <v>2050</v>
      </c>
      <c r="M263" s="33" t="str">
        <f t="shared" si="50"/>
        <v>EMPTY</v>
      </c>
      <c r="N263" s="33" t="str">
        <f t="shared" si="51"/>
        <v xml:space="preserve">TOURIST BUS </v>
      </c>
      <c r="O263" s="33" t="str">
        <f t="shared" si="52"/>
        <v>Hydrogen km/kg</v>
      </c>
      <c r="P263" s="41">
        <f>+'FCV B2'!$F$71</f>
        <v>400969.8825931598</v>
      </c>
      <c r="Q263" s="41">
        <f t="shared" si="53"/>
        <v>295077.8825931598</v>
      </c>
      <c r="R263" s="41">
        <f>+'FCV B2'!$F$73</f>
        <v>45000</v>
      </c>
      <c r="S263" s="41">
        <f>+'FCV B2'!$F$72</f>
        <v>60892</v>
      </c>
      <c r="T263" s="37">
        <f>'[1]Test order'!M263</f>
        <v>11200</v>
      </c>
      <c r="U263" s="33">
        <v>0</v>
      </c>
      <c r="V263" s="33">
        <v>0</v>
      </c>
      <c r="W263" s="34" t="e">
        <f t="shared" si="56"/>
        <v>#N/A</v>
      </c>
      <c r="X263" s="34" t="str">
        <f t="shared" si="55"/>
        <v/>
      </c>
      <c r="Y263" s="42"/>
      <c r="Z263" s="34"/>
    </row>
    <row r="264" spans="1:26" x14ac:dyDescent="0.3">
      <c r="A264" s="33" t="str">
        <f>+'[1]Test order'!A264</f>
        <v>2050 TOURIST BUS - EMPTY</v>
      </c>
      <c r="B264" s="33" t="str">
        <f>+'[1]Test order'!B264</f>
        <v>RURAL ROUTE</v>
      </c>
      <c r="C264" s="33" t="str">
        <f>+'[1]Test order'!C264</f>
        <v>2050 Fuel Cell 800 kW</v>
      </c>
      <c r="D264" s="33" t="str">
        <f>+'[1]Test order'!D264</f>
        <v>Hydrogen</v>
      </c>
      <c r="E264" s="34">
        <f>+'[1]Test order'!E264</f>
        <v>3.3486169822702165</v>
      </c>
      <c r="F264" s="34">
        <f>+'[1]Test order'!F264</f>
        <v>1.2492440342903137</v>
      </c>
      <c r="G264" s="38">
        <f>+'[1]Test order'!G264</f>
        <v>0.37306268256555897</v>
      </c>
      <c r="H264" s="39">
        <f>+'[1]Test order'!H264</f>
        <v>35.477333068847656</v>
      </c>
      <c r="I264" s="33" t="str">
        <f>+'[1]Test order'!I264</f>
        <v>km/kg</v>
      </c>
      <c r="J264" s="33" t="str">
        <f>+'[1]Test order'!J264</f>
        <v>Hydrogen 2050 TOURIST BUS - EMPTY 2050 Fuel Cell 800 kW RURAL ROUTE 11200 kg 2.8 kg /100km 37%</v>
      </c>
      <c r="K264" s="33">
        <f>+'[1]Test order'!K264</f>
        <v>0</v>
      </c>
      <c r="L264" s="33" t="str">
        <f t="shared" si="49"/>
        <v>2050</v>
      </c>
      <c r="M264" s="33" t="str">
        <f t="shared" si="50"/>
        <v>EMPTY</v>
      </c>
      <c r="N264" s="33" t="str">
        <f t="shared" si="51"/>
        <v xml:space="preserve">TOURIST BUS </v>
      </c>
      <c r="O264" s="33" t="str">
        <f t="shared" si="52"/>
        <v>Hydrogen km/kg</v>
      </c>
      <c r="P264" s="41">
        <f>+'FCV B2'!$F$71</f>
        <v>400969.8825931598</v>
      </c>
      <c r="Q264" s="41">
        <f t="shared" si="53"/>
        <v>295077.8825931598</v>
      </c>
      <c r="R264" s="41">
        <f>+'FCV B2'!$F$73</f>
        <v>45000</v>
      </c>
      <c r="S264" s="41">
        <f>+'FCV B2'!$F$72</f>
        <v>60892</v>
      </c>
      <c r="T264" s="37">
        <f>'[1]Test order'!M264</f>
        <v>11200</v>
      </c>
      <c r="U264" s="33">
        <v>0</v>
      </c>
      <c r="V264" s="33">
        <v>0</v>
      </c>
      <c r="W264" s="34" t="e">
        <f t="shared" si="56"/>
        <v>#N/A</v>
      </c>
      <c r="X264" s="34" t="str">
        <f t="shared" si="55"/>
        <v/>
      </c>
      <c r="Y264" s="42"/>
      <c r="Z264" s="34"/>
    </row>
    <row r="265" spans="1:26" x14ac:dyDescent="0.3">
      <c r="A265" s="33" t="str">
        <f>+'[1]Test order'!A265</f>
        <v>2050 TOURIST BUS - EMPTY</v>
      </c>
      <c r="B265" s="33" t="str">
        <f>+'[1]Test order'!B265</f>
        <v>MOTORWAY</v>
      </c>
      <c r="C265" s="33" t="str">
        <f>+'[1]Test order'!C265</f>
        <v>2050 Fuel Cell 800 kW</v>
      </c>
      <c r="D265" s="33" t="str">
        <f>+'[1]Test order'!D265</f>
        <v>Hydrogen</v>
      </c>
      <c r="E265" s="34">
        <f>+'[1]Test order'!E265</f>
        <v>3.4340656828714233</v>
      </c>
      <c r="F265" s="34">
        <f>+'[1]Test order'!F265</f>
        <v>1.5148454010486603</v>
      </c>
      <c r="G265" s="38">
        <f>+'[1]Test order'!G265</f>
        <v>0.44112301305256613</v>
      </c>
      <c r="H265" s="39">
        <f>+'[1]Test order'!H265</f>
        <v>34.594562530517578</v>
      </c>
      <c r="I265" s="33" t="str">
        <f>+'[1]Test order'!I265</f>
        <v>km/kg</v>
      </c>
      <c r="J265" s="33" t="str">
        <f>+'[1]Test order'!J265</f>
        <v>Hydrogen 2050 TOURIST BUS - EMPTY 2050 Fuel Cell 800 kW MOTORWAY 11200 kg 2.9 kg /100km 44%</v>
      </c>
      <c r="K265" s="33">
        <f>+'[1]Test order'!K265</f>
        <v>0</v>
      </c>
      <c r="L265" s="33" t="str">
        <f t="shared" si="49"/>
        <v>2050</v>
      </c>
      <c r="M265" s="33" t="str">
        <f t="shared" si="50"/>
        <v>EMPTY</v>
      </c>
      <c r="N265" s="33" t="str">
        <f t="shared" si="51"/>
        <v xml:space="preserve">TOURIST BUS </v>
      </c>
      <c r="O265" s="33" t="str">
        <f t="shared" si="52"/>
        <v>Hydrogen km/kg</v>
      </c>
      <c r="P265" s="41">
        <f>+'FCV B2'!$F$71</f>
        <v>400969.8825931598</v>
      </c>
      <c r="Q265" s="41">
        <f t="shared" si="53"/>
        <v>295077.8825931598</v>
      </c>
      <c r="R265" s="41">
        <f>+'FCV B2'!$F$73</f>
        <v>45000</v>
      </c>
      <c r="S265" s="41">
        <f>+'FCV B2'!$F$72</f>
        <v>60892</v>
      </c>
      <c r="T265" s="37">
        <f>'[1]Test order'!M265</f>
        <v>11200</v>
      </c>
      <c r="U265" s="33">
        <v>0</v>
      </c>
      <c r="V265" s="33">
        <v>0</v>
      </c>
      <c r="W265" s="34" t="e">
        <f t="shared" si="56"/>
        <v>#N/A</v>
      </c>
      <c r="X265" s="34" t="str">
        <f t="shared" si="55"/>
        <v/>
      </c>
      <c r="Y265" s="42"/>
      <c r="Z265" s="34"/>
    </row>
    <row r="266" spans="1:26" x14ac:dyDescent="0.3">
      <c r="A266" s="33" t="str">
        <f>+'[1]Test order'!A266</f>
        <v>2050 TOURIST BUS - TYPICAL</v>
      </c>
      <c r="B266" s="33" t="str">
        <f>+'[1]Test order'!B266</f>
        <v>CITY ROUTE</v>
      </c>
      <c r="C266" s="33" t="str">
        <f>+'[1]Test order'!C266</f>
        <v>2050 Fuel Cell 800 kW</v>
      </c>
      <c r="D266" s="33" t="str">
        <f>+'[1]Test order'!D266</f>
        <v>Hydrogen</v>
      </c>
      <c r="E266" s="34">
        <f>+'[1]Test order'!E266</f>
        <v>5.0791670727010434</v>
      </c>
      <c r="F266" s="34">
        <f>+'[1]Test order'!F266</f>
        <v>0.83028307557106018</v>
      </c>
      <c r="G266" s="38">
        <f>+'[1]Test order'!G266</f>
        <v>0.16346835291825221</v>
      </c>
      <c r="H266" s="39">
        <f>+'[1]Test order'!H266</f>
        <v>23.38966178894043</v>
      </c>
      <c r="I266" s="33" t="str">
        <f>+'[1]Test order'!I266</f>
        <v>km/kg</v>
      </c>
      <c r="J266" s="33" t="str">
        <f>+'[1]Test order'!J266</f>
        <v>Hydrogen 2050 TOURIST BUS - TYPICAL 2050 Fuel Cell 800 kW CITY ROUTE 12950 kg 4.3 kg /100km 16%</v>
      </c>
      <c r="K266" s="33">
        <f>+'[1]Test order'!K266</f>
        <v>0</v>
      </c>
      <c r="L266" s="33" t="str">
        <f t="shared" si="49"/>
        <v>2050</v>
      </c>
      <c r="M266" s="33" t="str">
        <f t="shared" si="50"/>
        <v>TYPICAL</v>
      </c>
      <c r="N266" s="33" t="str">
        <f t="shared" si="51"/>
        <v xml:space="preserve">TOURIST BUS </v>
      </c>
      <c r="O266" s="33" t="str">
        <f t="shared" si="52"/>
        <v>Hydrogen km/kg</v>
      </c>
      <c r="P266" s="41">
        <f>+'FCV B2'!$F$71</f>
        <v>400969.8825931598</v>
      </c>
      <c r="Q266" s="41">
        <f t="shared" si="53"/>
        <v>295077.8825931598</v>
      </c>
      <c r="R266" s="41">
        <f>+'FCV B2'!$F$73</f>
        <v>45000</v>
      </c>
      <c r="S266" s="41">
        <f>+'FCV B2'!$F$72</f>
        <v>60892</v>
      </c>
      <c r="T266" s="37">
        <f>'[1]Test order'!M266</f>
        <v>12950</v>
      </c>
      <c r="U266" s="37">
        <f>+T266-T263</f>
        <v>1750</v>
      </c>
      <c r="V266" s="37">
        <f>+'FCV B2'!$F$7</f>
        <v>25</v>
      </c>
      <c r="W266" s="34">
        <f t="shared" si="56"/>
        <v>2.9023811844005962</v>
      </c>
      <c r="X266" s="34">
        <f t="shared" si="55"/>
        <v>0.20316668290804174</v>
      </c>
      <c r="Y266" s="42"/>
      <c r="Z266" s="34"/>
    </row>
    <row r="267" spans="1:26" x14ac:dyDescent="0.3">
      <c r="A267" s="33" t="str">
        <f>+'[1]Test order'!A267</f>
        <v>2050 TOURIST BUS - TYPICAL</v>
      </c>
      <c r="B267" s="33" t="str">
        <f>+'[1]Test order'!B267</f>
        <v>RURAL ROUTE</v>
      </c>
      <c r="C267" s="33" t="str">
        <f>+'[1]Test order'!C267</f>
        <v>2050 Fuel Cell 800 kW</v>
      </c>
      <c r="D267" s="33" t="str">
        <f>+'[1]Test order'!D267</f>
        <v>Hydrogen</v>
      </c>
      <c r="E267" s="34">
        <f>+'[1]Test order'!E267</f>
        <v>3.5850922856533716</v>
      </c>
      <c r="F267" s="34">
        <f>+'[1]Test order'!F267</f>
        <v>1.3179149627685547</v>
      </c>
      <c r="G267" s="38">
        <f>+'[1]Test order'!G267</f>
        <v>0.36760977340597772</v>
      </c>
      <c r="H267" s="39">
        <f>+'[1]Test order'!H267</f>
        <v>33.137222290039063</v>
      </c>
      <c r="I267" s="33" t="str">
        <f>+'[1]Test order'!I267</f>
        <v>km/kg</v>
      </c>
      <c r="J267" s="33" t="str">
        <f>+'[1]Test order'!J267</f>
        <v>Hydrogen 2050 TOURIST BUS - TYPICAL 2050 Fuel Cell 800 kW RURAL ROUTE 12950 kg 3.0 kg /100km 37%</v>
      </c>
      <c r="K267" s="33">
        <f>+'[1]Test order'!K267</f>
        <v>0</v>
      </c>
      <c r="L267" s="33" t="str">
        <f t="shared" si="49"/>
        <v>2050</v>
      </c>
      <c r="M267" s="33" t="str">
        <f t="shared" si="50"/>
        <v>TYPICAL</v>
      </c>
      <c r="N267" s="33" t="str">
        <f t="shared" si="51"/>
        <v xml:space="preserve">TOURIST BUS </v>
      </c>
      <c r="O267" s="33" t="str">
        <f t="shared" si="52"/>
        <v>Hydrogen km/kg</v>
      </c>
      <c r="P267" s="41">
        <f>+'FCV B2'!$F$71</f>
        <v>400969.8825931598</v>
      </c>
      <c r="Q267" s="41">
        <f t="shared" si="53"/>
        <v>295077.8825931598</v>
      </c>
      <c r="R267" s="41">
        <f>+'FCV B2'!$F$73</f>
        <v>45000</v>
      </c>
      <c r="S267" s="41">
        <f>+'FCV B2'!$F$72</f>
        <v>60892</v>
      </c>
      <c r="T267" s="37">
        <f>'[1]Test order'!M267</f>
        <v>12950</v>
      </c>
      <c r="U267" s="37">
        <f t="shared" ref="U267:U268" si="58">+T267-T264</f>
        <v>1750</v>
      </c>
      <c r="V267" s="37">
        <f>+'FCV B2'!$F$7</f>
        <v>25</v>
      </c>
      <c r="W267" s="34">
        <f t="shared" si="56"/>
        <v>2.0486241632304978</v>
      </c>
      <c r="X267" s="34">
        <f t="shared" si="55"/>
        <v>0.14340369142613485</v>
      </c>
      <c r="Y267" s="42"/>
      <c r="Z267" s="34"/>
    </row>
    <row r="268" spans="1:26" x14ac:dyDescent="0.3">
      <c r="A268" s="33" t="str">
        <f>+'[1]Test order'!A268</f>
        <v>2050 TOURIST BUS - TYPICAL</v>
      </c>
      <c r="B268" s="33" t="str">
        <f>+'[1]Test order'!B268</f>
        <v>MOTORWAY</v>
      </c>
      <c r="C268" s="33" t="str">
        <f>+'[1]Test order'!C268</f>
        <v>2050 Fuel Cell 800 kW</v>
      </c>
      <c r="D268" s="33" t="str">
        <f>+'[1]Test order'!D268</f>
        <v>Hydrogen</v>
      </c>
      <c r="E268" s="34">
        <f>+'[1]Test order'!E268</f>
        <v>3.5910484811669683</v>
      </c>
      <c r="F268" s="34">
        <f>+'[1]Test order'!F268</f>
        <v>1.5835158824920654</v>
      </c>
      <c r="G268" s="38">
        <f>+'[1]Test order'!G268</f>
        <v>0.44096198945703924</v>
      </c>
      <c r="H268" s="39">
        <f>+'[1]Test order'!H268</f>
        <v>33.082260131835938</v>
      </c>
      <c r="I268" s="33" t="str">
        <f>+'[1]Test order'!I268</f>
        <v>km/kg</v>
      </c>
      <c r="J268" s="33" t="str">
        <f>+'[1]Test order'!J268</f>
        <v>Hydrogen 2050 TOURIST BUS - TYPICAL 2050 Fuel Cell 800 kW MOTORWAY 12950 kg 3.0 kg /100km 44%</v>
      </c>
      <c r="K268" s="33">
        <f>+'[1]Test order'!K268</f>
        <v>0</v>
      </c>
      <c r="L268" s="33" t="str">
        <f t="shared" si="49"/>
        <v>2050</v>
      </c>
      <c r="M268" s="33" t="str">
        <f t="shared" si="50"/>
        <v>TYPICAL</v>
      </c>
      <c r="N268" s="33" t="str">
        <f t="shared" si="51"/>
        <v xml:space="preserve">TOURIST BUS </v>
      </c>
      <c r="O268" s="33" t="str">
        <f t="shared" si="52"/>
        <v>Hydrogen km/kg</v>
      </c>
      <c r="P268" s="41">
        <f>+'FCV B2'!$F$71</f>
        <v>400969.8825931598</v>
      </c>
      <c r="Q268" s="41">
        <f t="shared" si="53"/>
        <v>295077.8825931598</v>
      </c>
      <c r="R268" s="41">
        <f>+'FCV B2'!$F$73</f>
        <v>45000</v>
      </c>
      <c r="S268" s="41">
        <f>+'FCV B2'!$F$72</f>
        <v>60892</v>
      </c>
      <c r="T268" s="37">
        <f>'[1]Test order'!M268</f>
        <v>12950</v>
      </c>
      <c r="U268" s="37">
        <f t="shared" si="58"/>
        <v>1750</v>
      </c>
      <c r="V268" s="37">
        <f>+'FCV B2'!$F$7</f>
        <v>25</v>
      </c>
      <c r="W268" s="34">
        <f t="shared" si="56"/>
        <v>2.052027703523982</v>
      </c>
      <c r="X268" s="34">
        <f t="shared" si="55"/>
        <v>0.14364193924667873</v>
      </c>
      <c r="Y268" s="42"/>
      <c r="Z268" s="34"/>
    </row>
    <row r="269" spans="1:26" x14ac:dyDescent="0.3">
      <c r="A269" s="33" t="str">
        <f>+'[1]Test order'!A269</f>
        <v>2050 TOURIST BUS - FULL</v>
      </c>
      <c r="B269" s="33" t="str">
        <f>+'[1]Test order'!B269</f>
        <v>CITY ROUTE</v>
      </c>
      <c r="C269" s="33" t="str">
        <f>+'[1]Test order'!C269</f>
        <v>2050 Fuel Cell 800 kW</v>
      </c>
      <c r="D269" s="33" t="str">
        <f>+'[1]Test order'!D269</f>
        <v>Hydrogen</v>
      </c>
      <c r="E269" s="34">
        <f>+'[1]Test order'!E269</f>
        <v>7.2786207815306456</v>
      </c>
      <c r="F269" s="34">
        <f>+'[1]Test order'!F269</f>
        <v>1.0869237780570984</v>
      </c>
      <c r="G269" s="38">
        <f>+'[1]Test order'!G269</f>
        <v>0.14933100798645063</v>
      </c>
      <c r="H269" s="39">
        <f>+'[1]Test order'!H269</f>
        <v>16.321773529052734</v>
      </c>
      <c r="I269" s="33" t="str">
        <f>+'[1]Test order'!I269</f>
        <v>km/kg</v>
      </c>
      <c r="J269" s="33" t="str">
        <f>+'[1]Test order'!J269</f>
        <v>Hydrogen 2050 TOURIST BUS - FULL 2050 Fuel Cell 800 kW CITY ROUTE 19500 kg 6.1 kg /100km 15%</v>
      </c>
      <c r="K269" s="33">
        <f>+'[1]Test order'!K269</f>
        <v>0</v>
      </c>
      <c r="L269" s="33" t="str">
        <f t="shared" si="49"/>
        <v>2050</v>
      </c>
      <c r="M269" s="33" t="str">
        <f t="shared" si="50"/>
        <v>FULL</v>
      </c>
      <c r="N269" s="33" t="str">
        <f t="shared" si="51"/>
        <v xml:space="preserve">TOURIST BUS </v>
      </c>
      <c r="O269" s="33" t="str">
        <f t="shared" si="52"/>
        <v>Hydrogen km/kg</v>
      </c>
      <c r="P269" s="41">
        <f>+'FCV B2'!$F$71</f>
        <v>400969.8825931598</v>
      </c>
      <c r="Q269" s="41">
        <f t="shared" si="53"/>
        <v>295077.8825931598</v>
      </c>
      <c r="R269" s="41">
        <f>+'FCV B2'!$F$73</f>
        <v>45000</v>
      </c>
      <c r="S269" s="41">
        <f>+'FCV B2'!$F$72</f>
        <v>60892</v>
      </c>
      <c r="T269" s="37">
        <f>'[1]Test order'!M269</f>
        <v>19500</v>
      </c>
      <c r="U269" s="37">
        <f>+T269-T263</f>
        <v>8300</v>
      </c>
      <c r="V269" s="33">
        <f>+'FCV B2'!$F$4</f>
        <v>55</v>
      </c>
      <c r="W269" s="34">
        <f t="shared" si="56"/>
        <v>0.87694226283501753</v>
      </c>
      <c r="X269" s="34">
        <f t="shared" si="55"/>
        <v>0.13233855966419356</v>
      </c>
      <c r="Y269" s="42"/>
      <c r="Z269" s="34"/>
    </row>
    <row r="270" spans="1:26" x14ac:dyDescent="0.3">
      <c r="A270" s="33" t="str">
        <f>+'[1]Test order'!A270</f>
        <v>2050 TOURIST BUS - FULL</v>
      </c>
      <c r="B270" s="33" t="str">
        <f>+'[1]Test order'!B270</f>
        <v>RURAL ROUTE</v>
      </c>
      <c r="C270" s="33" t="str">
        <f>+'[1]Test order'!C270</f>
        <v>2050 Fuel Cell 800 kW</v>
      </c>
      <c r="D270" s="33" t="str">
        <f>+'[1]Test order'!D270</f>
        <v>Hydrogen</v>
      </c>
      <c r="E270" s="34">
        <f>+'[1]Test order'!E270</f>
        <v>4.500592504823735</v>
      </c>
      <c r="F270" s="34">
        <f>+'[1]Test order'!F270</f>
        <v>1.5749375224113464</v>
      </c>
      <c r="G270" s="38">
        <f>+'[1]Test order'!G270</f>
        <v>0.34994004027765863</v>
      </c>
      <c r="H270" s="39">
        <f>+'[1]Test order'!H270</f>
        <v>26.396524429321289</v>
      </c>
      <c r="I270" s="33" t="str">
        <f>+'[1]Test order'!I270</f>
        <v>km/kg</v>
      </c>
      <c r="J270" s="33" t="str">
        <f>+'[1]Test order'!J270</f>
        <v>Hydrogen 2050 TOURIST BUS - FULL 2050 Fuel Cell 800 kW RURAL ROUTE 19500 kg 3.8 kg /100km 35%</v>
      </c>
      <c r="K270" s="33">
        <f>+'[1]Test order'!K270</f>
        <v>0</v>
      </c>
      <c r="L270" s="33" t="str">
        <f t="shared" si="49"/>
        <v>2050</v>
      </c>
      <c r="M270" s="33" t="str">
        <f t="shared" si="50"/>
        <v>FULL</v>
      </c>
      <c r="N270" s="33" t="str">
        <f t="shared" si="51"/>
        <v xml:space="preserve">TOURIST BUS </v>
      </c>
      <c r="O270" s="33" t="str">
        <f t="shared" si="52"/>
        <v>Hydrogen km/kg</v>
      </c>
      <c r="P270" s="41">
        <f>+'FCV B2'!$F$71</f>
        <v>400969.8825931598</v>
      </c>
      <c r="Q270" s="41">
        <f t="shared" si="53"/>
        <v>295077.8825931598</v>
      </c>
      <c r="R270" s="41">
        <f>+'FCV B2'!$F$73</f>
        <v>45000</v>
      </c>
      <c r="S270" s="41">
        <f>+'FCV B2'!$F$72</f>
        <v>60892</v>
      </c>
      <c r="T270" s="37">
        <f>'[1]Test order'!M270</f>
        <v>19500</v>
      </c>
      <c r="U270" s="37">
        <f t="shared" ref="U270:U271" si="59">+T270-T264</f>
        <v>8300</v>
      </c>
      <c r="V270" s="33">
        <f>+'FCV B2'!$F$4</f>
        <v>55</v>
      </c>
      <c r="W270" s="34">
        <f t="shared" si="56"/>
        <v>0.54224006082213672</v>
      </c>
      <c r="X270" s="34">
        <f t="shared" si="55"/>
        <v>8.1828954633158812E-2</v>
      </c>
      <c r="Y270" s="42"/>
      <c r="Z270" s="34"/>
    </row>
    <row r="271" spans="1:26" x14ac:dyDescent="0.3">
      <c r="A271" s="33" t="str">
        <f>+'[1]Test order'!A271</f>
        <v>2050 TOURIST BUS - FULL</v>
      </c>
      <c r="B271" s="33" t="str">
        <f>+'[1]Test order'!B271</f>
        <v>MOTORWAY</v>
      </c>
      <c r="C271" s="33" t="str">
        <f>+'[1]Test order'!C271</f>
        <v>2050 Fuel Cell 800 kW</v>
      </c>
      <c r="D271" s="33" t="str">
        <f>+'[1]Test order'!D271</f>
        <v>Hydrogen</v>
      </c>
      <c r="E271" s="34">
        <f>+'[1]Test order'!E271</f>
        <v>4.2039964057200434</v>
      </c>
      <c r="F271" s="34">
        <f>+'[1]Test order'!F271</f>
        <v>1.8405410051345825</v>
      </c>
      <c r="G271" s="38">
        <f>+'[1]Test order'!G271</f>
        <v>0.43780746401930903</v>
      </c>
      <c r="H271" s="39">
        <f>+'[1]Test order'!H271</f>
        <v>28.258825302124023</v>
      </c>
      <c r="I271" s="33" t="str">
        <f>+'[1]Test order'!I271</f>
        <v>km/kg</v>
      </c>
      <c r="J271" s="33" t="str">
        <f>+'[1]Test order'!J271</f>
        <v>Hydrogen 2050 TOURIST BUS - FULL 2050 Fuel Cell 800 kW MOTORWAY 19500 kg 3.5 kg /100km 44%</v>
      </c>
      <c r="K271" s="33">
        <f>+'[1]Test order'!K271</f>
        <v>0</v>
      </c>
      <c r="L271" s="33" t="str">
        <f t="shared" si="49"/>
        <v>2050</v>
      </c>
      <c r="M271" s="33" t="str">
        <f t="shared" si="50"/>
        <v>FULL</v>
      </c>
      <c r="N271" s="33" t="str">
        <f t="shared" si="51"/>
        <v xml:space="preserve">TOURIST BUS </v>
      </c>
      <c r="O271" s="33" t="str">
        <f t="shared" si="52"/>
        <v>Hydrogen km/kg</v>
      </c>
      <c r="P271" s="41">
        <f>+'FCV B2'!$F$71</f>
        <v>400969.8825931598</v>
      </c>
      <c r="Q271" s="41">
        <f t="shared" si="53"/>
        <v>295077.8825931598</v>
      </c>
      <c r="R271" s="41">
        <f>+'FCV B2'!$F$73</f>
        <v>45000</v>
      </c>
      <c r="S271" s="41">
        <f>+'FCV B2'!$F$72</f>
        <v>60892</v>
      </c>
      <c r="T271" s="37">
        <f>'[1]Test order'!M271</f>
        <v>19500</v>
      </c>
      <c r="U271" s="37">
        <f t="shared" si="59"/>
        <v>8300</v>
      </c>
      <c r="V271" s="33">
        <f>+'FCV B2'!$F$4</f>
        <v>55</v>
      </c>
      <c r="W271" s="34">
        <f t="shared" si="56"/>
        <v>0.50650559105060766</v>
      </c>
      <c r="X271" s="34">
        <f t="shared" si="55"/>
        <v>7.6436298285818965E-2</v>
      </c>
      <c r="Y271" s="42"/>
      <c r="Z271" s="34"/>
    </row>
    <row r="272" spans="1:26" x14ac:dyDescent="0.3">
      <c r="E272" s="34"/>
      <c r="F272" s="35"/>
      <c r="G272" s="36"/>
      <c r="H272" s="37"/>
    </row>
  </sheetData>
  <sortState xmlns:xlrd2="http://schemas.microsoft.com/office/spreadsheetml/2017/richdata2" ref="AB2:AG16">
    <sortCondition ref="AB2:AB16"/>
  </sortState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/>
  <dimension ref="A1:B5"/>
  <sheetViews>
    <sheetView workbookViewId="0"/>
  </sheetViews>
  <sheetFormatPr defaultRowHeight="15" x14ac:dyDescent="0.3"/>
  <cols>
    <col min="1" max="1" width="10.28515625" bestFit="1" customWidth="1"/>
  </cols>
  <sheetData>
    <row r="1" spans="1:2" x14ac:dyDescent="0.3">
      <c r="A1" s="56" t="s">
        <v>108</v>
      </c>
    </row>
    <row r="2" spans="1:2" x14ac:dyDescent="0.3">
      <c r="A2" s="56">
        <v>1</v>
      </c>
      <c r="B2" t="s">
        <v>109</v>
      </c>
    </row>
    <row r="3" spans="1:2" x14ac:dyDescent="0.3">
      <c r="A3" s="56">
        <v>2</v>
      </c>
      <c r="B3" t="s">
        <v>110</v>
      </c>
    </row>
    <row r="4" spans="1:2" x14ac:dyDescent="0.3">
      <c r="A4" s="56">
        <v>3</v>
      </c>
      <c r="B4" t="s">
        <v>115</v>
      </c>
    </row>
    <row r="5" spans="1:2" x14ac:dyDescent="0.3">
      <c r="A5" s="56">
        <v>4</v>
      </c>
      <c r="B5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N94"/>
  <sheetViews>
    <sheetView tabSelected="1" topLeftCell="A32" zoomScaleNormal="100" workbookViewId="0">
      <selection activeCell="B48" sqref="B48"/>
    </sheetView>
  </sheetViews>
  <sheetFormatPr defaultRowHeight="15" x14ac:dyDescent="0.3"/>
  <cols>
    <col min="1" max="1" width="40.1406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  <col min="15" max="15" width="10.42578125" bestFit="1" customWidth="1"/>
    <col min="16" max="16" width="30.7109375" bestFit="1" customWidth="1"/>
    <col min="17" max="17" width="8.28515625" bestFit="1" customWidth="1"/>
  </cols>
  <sheetData>
    <row r="1" spans="1:14" ht="15.75" thickBot="1" x14ac:dyDescent="0.35">
      <c r="A1" s="54" t="s">
        <v>0</v>
      </c>
      <c r="B1" s="1"/>
      <c r="C1" s="76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7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44</v>
      </c>
      <c r="B4" s="3">
        <v>15000</v>
      </c>
      <c r="C4" s="14">
        <f>+C6-C5</f>
        <v>15242.758620689656</v>
      </c>
      <c r="D4" s="14">
        <f>+D6-D5</f>
        <v>15546.206896551725</v>
      </c>
      <c r="E4" s="14">
        <f>+E6-E5</f>
        <v>16153.103448275862</v>
      </c>
      <c r="F4" s="14">
        <f>+F6-F5</f>
        <v>16760</v>
      </c>
      <c r="G4" s="14">
        <v>11600</v>
      </c>
      <c r="H4" s="14">
        <v>15840</v>
      </c>
      <c r="I4" s="14">
        <f>+G4-C4+D4</f>
        <v>11903.448275862069</v>
      </c>
      <c r="J4" s="14">
        <f>+H4-C4+D4</f>
        <v>16143.448275862069</v>
      </c>
      <c r="K4" s="14">
        <f>+I4-D4+F4</f>
        <v>13117.241379310344</v>
      </c>
      <c r="L4" s="14">
        <f>+J4-D4+F4</f>
        <v>17357.241379310344</v>
      </c>
      <c r="M4" s="3"/>
      <c r="N4" s="14">
        <v>2</v>
      </c>
    </row>
    <row r="5" spans="1:14" ht="15.75" thickBot="1" x14ac:dyDescent="0.35">
      <c r="A5" s="5" t="s">
        <v>9</v>
      </c>
      <c r="B5" s="3">
        <f>+B6-B4</f>
        <v>11000</v>
      </c>
      <c r="C5" s="14">
        <f t="shared" ref="C5:E6" si="0">B5+(C$2-B$2)*($F5-$B5)/($F$2-$B$2)</f>
        <v>10757.241379310344</v>
      </c>
      <c r="D5" s="14">
        <f t="shared" si="0"/>
        <v>10453.793103448275</v>
      </c>
      <c r="E5" s="14">
        <f t="shared" si="0"/>
        <v>9846.8965517241377</v>
      </c>
      <c r="F5" s="3">
        <f>+B5*[1]Fremskrivninger!B47</f>
        <v>9240</v>
      </c>
      <c r="G5" s="14">
        <v>10160</v>
      </c>
      <c r="H5" s="14">
        <v>14040</v>
      </c>
      <c r="I5" s="14">
        <f>+G5-C5+D5</f>
        <v>9856.5517241379312</v>
      </c>
      <c r="J5" s="14">
        <f>+H5-C5+D5</f>
        <v>13736.551724137931</v>
      </c>
      <c r="K5" s="14">
        <f>+I5-D5+F5</f>
        <v>8642.7586206896558</v>
      </c>
      <c r="L5" s="14">
        <f>+J5-D5+F5</f>
        <v>12522.758620689656</v>
      </c>
      <c r="M5" s="3"/>
      <c r="N5" s="14">
        <v>2</v>
      </c>
    </row>
    <row r="6" spans="1:14" ht="15.75" thickBot="1" x14ac:dyDescent="0.35">
      <c r="A6" s="5" t="s">
        <v>10</v>
      </c>
      <c r="B6" s="3">
        <v>26000</v>
      </c>
      <c r="C6" s="14">
        <f t="shared" si="0"/>
        <v>26000</v>
      </c>
      <c r="D6" s="14">
        <f t="shared" si="0"/>
        <v>26000</v>
      </c>
      <c r="E6" s="14">
        <f t="shared" si="0"/>
        <v>26000</v>
      </c>
      <c r="F6" s="3">
        <v>26000</v>
      </c>
      <c r="G6" s="3">
        <v>25000</v>
      </c>
      <c r="H6" s="3">
        <v>32000</v>
      </c>
      <c r="I6" s="3">
        <v>25000</v>
      </c>
      <c r="J6" s="3">
        <v>32000</v>
      </c>
      <c r="K6" s="3">
        <v>25000</v>
      </c>
      <c r="L6" s="3">
        <v>32000</v>
      </c>
      <c r="M6" s="15"/>
      <c r="N6" s="14">
        <v>2</v>
      </c>
    </row>
    <row r="7" spans="1:14" ht="15.75" thickBot="1" x14ac:dyDescent="0.35">
      <c r="A7" s="5" t="s">
        <v>43</v>
      </c>
      <c r="B7" s="14">
        <f>[1]Fremskrivninger!$N$3*B4</f>
        <v>6645</v>
      </c>
      <c r="C7" s="14">
        <f>[1]Fremskrivninger!$N$3*C4</f>
        <v>6752.5420689655175</v>
      </c>
      <c r="D7" s="14">
        <f>[1]Fremskrivninger!$N$3*D4</f>
        <v>6886.9696551724137</v>
      </c>
      <c r="E7" s="14">
        <f>[1]Fremskrivninger!$N$3*E4</f>
        <v>7155.824827586207</v>
      </c>
      <c r="F7" s="14">
        <f>[1]Fremskrivninger!$N$3*F4</f>
        <v>7424.68</v>
      </c>
      <c r="G7" s="14">
        <f>+B7/H4*G4</f>
        <v>4866.287878787879</v>
      </c>
      <c r="H7" s="14">
        <f>+B7/G4*H4</f>
        <v>9073.8620689655181</v>
      </c>
      <c r="I7" s="14">
        <f>+D7/J4*I4</f>
        <v>5078.1397918778139</v>
      </c>
      <c r="J7" s="14">
        <f>+D7/I4*J4</f>
        <v>9340.10345818516</v>
      </c>
      <c r="K7" s="14">
        <f>+F7/L4*K4</f>
        <v>5610.9906865861412</v>
      </c>
      <c r="L7" s="14">
        <f>+F7/K4*L4</f>
        <v>9824.6238822292325</v>
      </c>
      <c r="M7" s="3"/>
      <c r="N7" s="14">
        <v>2</v>
      </c>
    </row>
    <row r="8" spans="1:14" ht="15.75" thickBot="1" x14ac:dyDescent="0.35">
      <c r="A8" s="5" t="s">
        <v>52</v>
      </c>
      <c r="B8" s="3">
        <v>440</v>
      </c>
      <c r="C8" s="14">
        <f t="shared" ref="C8:E9" si="1">B8+(C$2-B$2)*($F8-$B8)/($F$2-$B$2)</f>
        <v>423.44827586206895</v>
      </c>
      <c r="D8" s="14">
        <f t="shared" si="1"/>
        <v>402.75862068965517</v>
      </c>
      <c r="E8" s="14">
        <f t="shared" si="1"/>
        <v>361.37931034482756</v>
      </c>
      <c r="F8" s="3">
        <v>320</v>
      </c>
      <c r="G8" s="3">
        <f>+B8*0.5</f>
        <v>220</v>
      </c>
      <c r="H8" s="3">
        <f>+B8*1.5</f>
        <v>660</v>
      </c>
      <c r="I8" s="14">
        <f>+D8*0.5</f>
        <v>201.37931034482759</v>
      </c>
      <c r="J8" s="14">
        <f>+D8*1.5</f>
        <v>604.13793103448279</v>
      </c>
      <c r="K8" s="14">
        <f>+F8*0.5</f>
        <v>160</v>
      </c>
      <c r="L8" s="14">
        <f>+F8*1.5</f>
        <v>480</v>
      </c>
      <c r="M8" s="3"/>
      <c r="N8" s="14">
        <v>2</v>
      </c>
    </row>
    <row r="9" spans="1:14" ht="15.75" thickBot="1" x14ac:dyDescent="0.35">
      <c r="A9" s="5" t="s">
        <v>13</v>
      </c>
      <c r="B9" s="3">
        <v>56</v>
      </c>
      <c r="C9" s="14">
        <f>B9+(C$2-B$2)*($F9-$B9)/($F$2-$B$2)</f>
        <v>51.03448275862069</v>
      </c>
      <c r="D9" s="14">
        <f t="shared" si="1"/>
        <v>44.827586206896555</v>
      </c>
      <c r="E9" s="14">
        <f t="shared" si="1"/>
        <v>32.413793103448278</v>
      </c>
      <c r="F9" s="3">
        <v>20</v>
      </c>
      <c r="G9" s="3">
        <f>+B9*0.5</f>
        <v>28</v>
      </c>
      <c r="H9" s="3">
        <f>+B9*1.5</f>
        <v>84</v>
      </c>
      <c r="I9" s="14">
        <f>+D9*0.5</f>
        <v>22.413793103448278</v>
      </c>
      <c r="J9" s="14">
        <f>+D9*1.5</f>
        <v>67.241379310344826</v>
      </c>
      <c r="K9" s="14">
        <f>+F9*0.5</f>
        <v>10</v>
      </c>
      <c r="L9" s="14">
        <f>+F9*1.5</f>
        <v>30</v>
      </c>
      <c r="M9" s="15"/>
      <c r="N9" s="14">
        <v>2</v>
      </c>
    </row>
    <row r="10" spans="1:14" ht="15.75" thickBot="1" x14ac:dyDescent="0.35">
      <c r="A10" s="5" t="s">
        <v>105</v>
      </c>
      <c r="B10" s="14">
        <f>60*60*10</f>
        <v>36000</v>
      </c>
      <c r="C10" s="14">
        <f>60*60*10</f>
        <v>36000</v>
      </c>
      <c r="D10" s="14">
        <f>60*60*10</f>
        <v>36000</v>
      </c>
      <c r="E10" s="14">
        <f>60*60*10</f>
        <v>36000</v>
      </c>
      <c r="F10" s="14">
        <f>60*60*10</f>
        <v>36000</v>
      </c>
      <c r="G10" s="3">
        <f>35*60*10</f>
        <v>21000</v>
      </c>
      <c r="H10" s="3">
        <f>200*60*10</f>
        <v>120000</v>
      </c>
      <c r="I10" s="3">
        <f>35*60*10</f>
        <v>21000</v>
      </c>
      <c r="J10" s="3">
        <f>200*60*10</f>
        <v>120000</v>
      </c>
      <c r="K10" s="3">
        <f>35*60*10</f>
        <v>21000</v>
      </c>
      <c r="L10" s="3">
        <f>200*60*10</f>
        <v>120000</v>
      </c>
      <c r="M10" s="3"/>
      <c r="N10" s="14">
        <v>2</v>
      </c>
    </row>
    <row r="11" spans="1:14" ht="15.75" thickBot="1" x14ac:dyDescent="0.35">
      <c r="A11" s="5" t="s">
        <v>127</v>
      </c>
      <c r="B11" s="14">
        <f>B8*10/B10*60</f>
        <v>7.333333333333333</v>
      </c>
      <c r="C11" s="14">
        <f>C8*10/C10*60</f>
        <v>7.0574712643678161</v>
      </c>
      <c r="D11" s="14">
        <f>D8*10/D10*60</f>
        <v>6.7126436781609193</v>
      </c>
      <c r="E11" s="14">
        <f>E8*10/E10*60</f>
        <v>6.0229885057471257</v>
      </c>
      <c r="F11" s="14">
        <f>F8*10/F10*60</f>
        <v>5.3333333333333339</v>
      </c>
      <c r="G11" s="14">
        <f>G8*10/H10*60</f>
        <v>1.1000000000000001</v>
      </c>
      <c r="H11" s="14">
        <f>H8*10/G10*60</f>
        <v>18.857142857142858</v>
      </c>
      <c r="I11" s="14">
        <f>I8*10/J10*60</f>
        <v>1.0068965517241379</v>
      </c>
      <c r="J11" s="14">
        <f>J8*10/I10*60</f>
        <v>17.261083743842363</v>
      </c>
      <c r="K11" s="14">
        <f>K8*10/L10*60</f>
        <v>0.8</v>
      </c>
      <c r="L11" s="14">
        <f>L8*10/K10*60</f>
        <v>13.714285714285714</v>
      </c>
      <c r="M11" s="3"/>
      <c r="N11" s="14">
        <v>2</v>
      </c>
    </row>
    <row r="12" spans="1:14" ht="15.75" thickBot="1" x14ac:dyDescent="0.35">
      <c r="A12" s="5" t="s">
        <v>15</v>
      </c>
      <c r="B12" s="3">
        <v>4</v>
      </c>
      <c r="C12" s="3">
        <v>4</v>
      </c>
      <c r="D12" s="3">
        <v>4</v>
      </c>
      <c r="E12" s="3">
        <v>4</v>
      </c>
      <c r="F12" s="3">
        <v>4</v>
      </c>
      <c r="G12" s="3">
        <v>2</v>
      </c>
      <c r="H12" s="3">
        <v>4</v>
      </c>
      <c r="I12" s="3">
        <v>2</v>
      </c>
      <c r="J12" s="3">
        <v>4</v>
      </c>
      <c r="K12" s="3">
        <v>2</v>
      </c>
      <c r="L12" s="3">
        <v>4</v>
      </c>
      <c r="M12" s="3"/>
      <c r="N12" s="14">
        <v>2</v>
      </c>
    </row>
    <row r="13" spans="1:14" ht="15.75" thickBot="1" x14ac:dyDescent="0.35">
      <c r="A13" s="5" t="s">
        <v>16</v>
      </c>
      <c r="B13" s="3">
        <v>3</v>
      </c>
      <c r="C13" s="3">
        <v>3</v>
      </c>
      <c r="D13" s="3">
        <v>3</v>
      </c>
      <c r="E13" s="3">
        <v>3</v>
      </c>
      <c r="F13" s="3">
        <v>3</v>
      </c>
      <c r="G13" s="3">
        <v>3</v>
      </c>
      <c r="H13" s="3">
        <v>4</v>
      </c>
      <c r="I13" s="3">
        <v>3</v>
      </c>
      <c r="J13" s="3">
        <v>4</v>
      </c>
      <c r="K13" s="3">
        <v>3</v>
      </c>
      <c r="L13" s="3">
        <v>4</v>
      </c>
      <c r="M13" s="3"/>
      <c r="N13" s="14">
        <v>2</v>
      </c>
    </row>
    <row r="14" spans="1:14" ht="15.75" thickBot="1" x14ac:dyDescent="0.35">
      <c r="A14" s="5" t="s">
        <v>17</v>
      </c>
      <c r="B14" s="3">
        <v>220</v>
      </c>
      <c r="C14" s="14">
        <f>B14+(C$2-B$2)*($F14-$B14)/($F$2-$B$2)</f>
        <v>235.17241379310346</v>
      </c>
      <c r="D14" s="14">
        <f>C14+(D$2-C$2)*($F14-$B14)/($F$2-$B$2)</f>
        <v>254.13793103448276</v>
      </c>
      <c r="E14" s="14">
        <f>D14+(E$2-D$2)*($F14-$B14)/($F$2-$B$2)</f>
        <v>292.06896551724139</v>
      </c>
      <c r="F14" s="3">
        <v>330</v>
      </c>
      <c r="G14" s="3">
        <v>205</v>
      </c>
      <c r="H14" s="3">
        <v>330</v>
      </c>
      <c r="I14" s="14">
        <f>+G14-C14+D14</f>
        <v>223.9655172413793</v>
      </c>
      <c r="J14" s="14">
        <f>+H14-C14+D14</f>
        <v>348.9655172413793</v>
      </c>
      <c r="K14" s="14">
        <f>+I14-E14+F14</f>
        <v>261.89655172413791</v>
      </c>
      <c r="L14" s="14">
        <f>+J14-E14+F14</f>
        <v>386.89655172413791</v>
      </c>
      <c r="M14" s="3"/>
      <c r="N14" s="14">
        <v>2</v>
      </c>
    </row>
    <row r="15" spans="1:14" ht="15.75" thickBot="1" x14ac:dyDescent="0.35">
      <c r="A15" s="5" t="s">
        <v>106</v>
      </c>
      <c r="B15" s="3">
        <v>12</v>
      </c>
      <c r="C15" s="3">
        <v>12</v>
      </c>
      <c r="D15" s="3">
        <v>12</v>
      </c>
      <c r="E15" s="3">
        <v>12</v>
      </c>
      <c r="F15" s="3">
        <v>12</v>
      </c>
      <c r="G15" s="3">
        <v>12</v>
      </c>
      <c r="H15" s="3">
        <v>12</v>
      </c>
      <c r="I15" s="3">
        <v>12</v>
      </c>
      <c r="J15" s="3">
        <v>15</v>
      </c>
      <c r="K15" s="3">
        <v>12</v>
      </c>
      <c r="L15" s="3">
        <v>15</v>
      </c>
      <c r="M15" s="3"/>
      <c r="N15" s="14">
        <v>2</v>
      </c>
    </row>
    <row r="16" spans="1:14" ht="15.75" thickBot="1" x14ac:dyDescent="0.35">
      <c r="A16" s="5" t="s">
        <v>107</v>
      </c>
      <c r="B16" s="3">
        <v>10.5</v>
      </c>
      <c r="C16" s="14">
        <f>B16+(C$2-B$2)*($F16-$B16)/($F$2-$B$2)</f>
        <v>10.5</v>
      </c>
      <c r="D16" s="14">
        <f>C16+(D$2-C$2)*($F16-$B16)/($F$2-$B$2)</f>
        <v>10.5</v>
      </c>
      <c r="E16" s="14">
        <f>D16+(E$2-D$2)*($F16-$B16)/($F$2-$B$2)</f>
        <v>10.5</v>
      </c>
      <c r="F16" s="3">
        <v>10.5</v>
      </c>
      <c r="G16" s="3">
        <v>9</v>
      </c>
      <c r="H16" s="3">
        <v>12</v>
      </c>
      <c r="I16" s="3">
        <v>9</v>
      </c>
      <c r="J16" s="3">
        <v>15</v>
      </c>
      <c r="K16" s="3">
        <v>9</v>
      </c>
      <c r="L16" s="3">
        <v>15</v>
      </c>
      <c r="M16" s="3"/>
      <c r="N16" s="14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146</v>
      </c>
      <c r="B19" s="19">
        <f>+Simulations!G5</f>
        <v>0.14398896382304313</v>
      </c>
      <c r="C19" s="27">
        <f t="shared" ref="C19:E21" si="2">B19+(C$2-B$2)*($F19-$B19)/($F$2-$B$2)</f>
        <v>0.15064512600059904</v>
      </c>
      <c r="D19" s="27">
        <f t="shared" si="2"/>
        <v>0.15896532872254393</v>
      </c>
      <c r="E19" s="27">
        <f t="shared" si="2"/>
        <v>0.17560573416643371</v>
      </c>
      <c r="F19" s="19">
        <f>+Simulations!G140</f>
        <v>0.1922461396103235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12"/>
      <c r="N19" s="14">
        <v>1</v>
      </c>
    </row>
    <row r="20" spans="1:14" ht="15.75" thickBot="1" x14ac:dyDescent="0.35">
      <c r="A20" s="60" t="s">
        <v>147</v>
      </c>
      <c r="B20" s="19">
        <f>+Simulations!G6</f>
        <v>0.25965271186461081</v>
      </c>
      <c r="C20" s="27">
        <f t="shared" si="2"/>
        <v>0.26831647389127211</v>
      </c>
      <c r="D20" s="27">
        <f t="shared" si="2"/>
        <v>0.27914617642459877</v>
      </c>
      <c r="E20" s="27">
        <f t="shared" si="2"/>
        <v>0.30080558149125208</v>
      </c>
      <c r="F20" s="19">
        <f>+Simulations!G141</f>
        <v>0.32246498655790545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12"/>
      <c r="N20" s="14">
        <v>1</v>
      </c>
    </row>
    <row r="21" spans="1:14" ht="15.75" thickBot="1" x14ac:dyDescent="0.35">
      <c r="A21" s="60" t="s">
        <v>148</v>
      </c>
      <c r="B21" s="19">
        <f>+Simulations!G7</f>
        <v>0.33610529395381961</v>
      </c>
      <c r="C21" s="27">
        <f t="shared" si="2"/>
        <v>0.34733518262432972</v>
      </c>
      <c r="D21" s="27">
        <f t="shared" si="2"/>
        <v>0.36137254346246739</v>
      </c>
      <c r="E21" s="27">
        <f t="shared" si="2"/>
        <v>0.38944726513874267</v>
      </c>
      <c r="F21" s="19">
        <f>+Simulations!G142</f>
        <v>0.41752198681501795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12"/>
      <c r="N21" s="14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10"/>
    </row>
    <row r="23" spans="1:14" ht="15.75" thickBot="1" x14ac:dyDescent="0.35">
      <c r="A23" s="60" t="s">
        <v>146</v>
      </c>
      <c r="B23" s="13">
        <f>+Simulations!E2</f>
        <v>8.2516787263615647</v>
      </c>
      <c r="C23" s="13">
        <f t="shared" ref="C23:E25" si="3">B23+(C$2-B$2)*($F23-$B23)/($F$2-$B$2)</f>
        <v>7.6372442126431288</v>
      </c>
      <c r="D23" s="13">
        <f t="shared" si="3"/>
        <v>6.8692010704950839</v>
      </c>
      <c r="E23" s="13">
        <f t="shared" si="3"/>
        <v>5.333114786198994</v>
      </c>
      <c r="F23" s="13">
        <f>+Simulations!E137</f>
        <v>3.7970285019029033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12"/>
      <c r="N23" s="14">
        <v>1</v>
      </c>
    </row>
    <row r="24" spans="1:14" ht="15.75" thickBot="1" x14ac:dyDescent="0.35">
      <c r="A24" s="60" t="s">
        <v>147</v>
      </c>
      <c r="B24" s="13">
        <f>+Simulations!E3</f>
        <v>7.1227235414272885</v>
      </c>
      <c r="C24" s="13">
        <f t="shared" si="3"/>
        <v>6.6777917348665534</v>
      </c>
      <c r="D24" s="13">
        <f t="shared" si="3"/>
        <v>6.1216269766656346</v>
      </c>
      <c r="E24" s="13">
        <f t="shared" si="3"/>
        <v>5.0092974602637979</v>
      </c>
      <c r="F24" s="13">
        <f>+Simulations!E138</f>
        <v>3.8969679438619615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12"/>
      <c r="N24" s="14">
        <v>1</v>
      </c>
    </row>
    <row r="25" spans="1:14" ht="15.75" thickBot="1" x14ac:dyDescent="0.35">
      <c r="A25" s="60" t="s">
        <v>148</v>
      </c>
      <c r="B25" s="13">
        <f>+Simulations!E4</f>
        <v>7.0714803548634499</v>
      </c>
      <c r="C25" s="13">
        <f t="shared" si="3"/>
        <v>6.6526902173450084</v>
      </c>
      <c r="D25" s="13">
        <f t="shared" si="3"/>
        <v>6.1292025454469563</v>
      </c>
      <c r="E25" s="13">
        <f t="shared" si="3"/>
        <v>5.082227201650853</v>
      </c>
      <c r="F25" s="13">
        <f>+Simulations!E139</f>
        <v>4.0352518578547505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12"/>
      <c r="N25" s="14">
        <v>1</v>
      </c>
    </row>
    <row r="26" spans="1:14" ht="15.75" thickBot="1" x14ac:dyDescent="0.35">
      <c r="A26" s="5" t="s">
        <v>71</v>
      </c>
      <c r="B26" s="1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10"/>
    </row>
    <row r="27" spans="1:14" ht="15.75" thickBot="1" x14ac:dyDescent="0.35">
      <c r="A27" s="60" t="s">
        <v>146</v>
      </c>
      <c r="B27" s="13">
        <f>+Simulations!E8</f>
        <v>13.610932089811362</v>
      </c>
      <c r="C27" s="13">
        <f t="shared" ref="C27:E29" si="4">B27+(C$2-B$2)*($F27-$B27)/($F$2-$B$2)</f>
        <v>12.966802337975873</v>
      </c>
      <c r="D27" s="13">
        <f t="shared" si="4"/>
        <v>12.16164014818151</v>
      </c>
      <c r="E27" s="13">
        <f t="shared" si="4"/>
        <v>10.551315768592785</v>
      </c>
      <c r="F27" s="13">
        <f>+Simulations!E143</f>
        <v>8.9409913890040595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12"/>
      <c r="N27" s="14">
        <v>1</v>
      </c>
    </row>
    <row r="28" spans="1:14" ht="15.75" thickBot="1" x14ac:dyDescent="0.35">
      <c r="A28" s="60" t="s">
        <v>147</v>
      </c>
      <c r="B28" s="13">
        <f>+Simulations!E9</f>
        <v>10.268412645422764</v>
      </c>
      <c r="C28" s="13">
        <f t="shared" si="4"/>
        <v>9.8389385569220327</v>
      </c>
      <c r="D28" s="13">
        <f t="shared" si="4"/>
        <v>9.3020959462961184</v>
      </c>
      <c r="E28" s="13">
        <f t="shared" si="4"/>
        <v>8.2284107250442915</v>
      </c>
      <c r="F28" s="13">
        <f>+Simulations!E144</f>
        <v>7.1547255037924637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12"/>
      <c r="N28" s="14">
        <v>1</v>
      </c>
    </row>
    <row r="29" spans="1:14" ht="15.75" thickBot="1" x14ac:dyDescent="0.35">
      <c r="A29" s="60" t="s">
        <v>148</v>
      </c>
      <c r="B29" s="13">
        <f>+Simulations!E10</f>
        <v>9.0620562181980944</v>
      </c>
      <c r="C29" s="13">
        <f t="shared" si="4"/>
        <v>8.6464691402131635</v>
      </c>
      <c r="D29" s="13">
        <f t="shared" si="4"/>
        <v>8.1269852927319999</v>
      </c>
      <c r="E29" s="13">
        <f t="shared" si="4"/>
        <v>7.0880175977696709</v>
      </c>
      <c r="F29" s="13">
        <f>+Simulations!E145</f>
        <v>6.0490499028073419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12"/>
      <c r="N29" s="14">
        <v>1</v>
      </c>
    </row>
    <row r="30" spans="1:14" ht="15.75" thickBot="1" x14ac:dyDescent="0.35">
      <c r="A30" s="5" t="s">
        <v>72</v>
      </c>
      <c r="B30" s="1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10"/>
    </row>
    <row r="31" spans="1:14" ht="15.75" thickBot="1" x14ac:dyDescent="0.35">
      <c r="A31" s="60" t="s">
        <v>146</v>
      </c>
      <c r="B31" s="13">
        <f>+Simulations!E5</f>
        <v>10.579715959447361</v>
      </c>
      <c r="C31" s="13">
        <f t="shared" ref="C31:E33" si="5">B31+(C$2-B$2)*($F31-$B31)/($F$2-$B$2)</f>
        <v>9.9558425510033075</v>
      </c>
      <c r="D31" s="13">
        <f t="shared" si="5"/>
        <v>9.1760007904482404</v>
      </c>
      <c r="E31" s="13">
        <f t="shared" si="5"/>
        <v>7.6163172693381069</v>
      </c>
      <c r="F31" s="13">
        <f>+Simulations!E140</f>
        <v>6.0566337482279744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12"/>
      <c r="N31" s="14">
        <v>1</v>
      </c>
    </row>
    <row r="32" spans="1:14" ht="15.75" thickBot="1" x14ac:dyDescent="0.35">
      <c r="A32" s="60" t="s">
        <v>147</v>
      </c>
      <c r="B32" s="13">
        <f>+Simulations!E6</f>
        <v>8.5012256250158345</v>
      </c>
      <c r="C32" s="13">
        <f t="shared" si="5"/>
        <v>8.0536879387470215</v>
      </c>
      <c r="D32" s="13">
        <f t="shared" si="5"/>
        <v>7.4942658309110053</v>
      </c>
      <c r="E32" s="13">
        <f t="shared" si="5"/>
        <v>6.3754216152389738</v>
      </c>
      <c r="F32" s="13">
        <f>+Simulations!E141</f>
        <v>5.2565773995669414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12"/>
      <c r="N32" s="14">
        <v>1</v>
      </c>
    </row>
    <row r="33" spans="1:14" ht="15.75" thickBot="1" x14ac:dyDescent="0.35">
      <c r="A33" s="60" t="s">
        <v>148</v>
      </c>
      <c r="B33" s="13">
        <f>+Simulations!E7</f>
        <v>7.8769592375098538</v>
      </c>
      <c r="C33" s="13">
        <f t="shared" si="5"/>
        <v>7.4632671103939909</v>
      </c>
      <c r="D33" s="13">
        <f t="shared" si="5"/>
        <v>6.9461519514991616</v>
      </c>
      <c r="E33" s="13">
        <f t="shared" si="5"/>
        <v>5.9119216337095031</v>
      </c>
      <c r="F33" s="13">
        <f>+Simulations!E142</f>
        <v>4.8776913159198445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12"/>
      <c r="N33" s="14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10"/>
    </row>
    <row r="35" spans="1:14" ht="15.75" thickBot="1" x14ac:dyDescent="0.35">
      <c r="A35" s="60" t="s">
        <v>146</v>
      </c>
      <c r="B35" s="14">
        <f>+B$8*[1]Fremskrivninger!$S$6/B23</f>
        <v>1919.6093940734863</v>
      </c>
      <c r="C35" s="14">
        <f>+C$8*[1]Fremskrivninger!$S$6/C23</f>
        <v>1996.0259887720322</v>
      </c>
      <c r="D35" s="14">
        <f>+D$8*[1]Fremskrivninger!$S$6/D23</f>
        <v>2110.7709901091275</v>
      </c>
      <c r="E35" s="14">
        <f>+E$8*[1]Fremskrivninger!$S$6/E23</f>
        <v>2439.4103059773074</v>
      </c>
      <c r="F35" s="14">
        <f>+F$8*[1]Fremskrivninger!$S$6/F23</f>
        <v>3033.951416015625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12"/>
      <c r="N35" s="14">
        <v>1</v>
      </c>
    </row>
    <row r="36" spans="1:14" ht="15.75" thickBot="1" x14ac:dyDescent="0.35">
      <c r="A36" s="60" t="s">
        <v>147</v>
      </c>
      <c r="B36" s="14">
        <f>+B$8*[1]Fremskrivninger!$S$6/B24</f>
        <v>2223.8684272766113</v>
      </c>
      <c r="C36" s="14">
        <f>+C$8*[1]Fremskrivninger!$S$6/C24</f>
        <v>2282.8112250702161</v>
      </c>
      <c r="D36" s="14">
        <f>+D$8*[1]Fremskrivninger!$S$6/D24</f>
        <v>2368.5386907918328</v>
      </c>
      <c r="E36" s="14">
        <f>+E$8*[1]Fremskrivninger!$S$6/E24</f>
        <v>2597.101744428785</v>
      </c>
      <c r="F36" s="14">
        <f>+F$8*[1]Fremskrivninger!$S$6/F24</f>
        <v>2956.1444091796875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12"/>
      <c r="N36" s="14">
        <v>1</v>
      </c>
    </row>
    <row r="37" spans="1:14" ht="15.75" thickBot="1" x14ac:dyDescent="0.35">
      <c r="A37" s="60" t="s">
        <v>148</v>
      </c>
      <c r="B37" s="14">
        <f>+B$8*[1]Fremskrivninger!$S$6/B25</f>
        <v>2239.9835968017578</v>
      </c>
      <c r="C37" s="14">
        <f>+C$8*[1]Fremskrivninger!$S$6/C25</f>
        <v>2291.4245865965177</v>
      </c>
      <c r="D37" s="14">
        <f>+D$8*[1]Fremskrivninger!$S$6/D25</f>
        <v>2365.6112254926734</v>
      </c>
      <c r="E37" s="14">
        <f>+E$8*[1]Fremskrivninger!$S$6/E25</f>
        <v>2559.833446286676</v>
      </c>
      <c r="F37" s="14">
        <f>+F$8*[1]Fremskrivninger!$S$6/F25</f>
        <v>2854.8403930664058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12"/>
      <c r="N37" s="14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10"/>
    </row>
    <row r="39" spans="1:14" ht="15.75" thickBot="1" x14ac:dyDescent="0.35">
      <c r="A39" s="60" t="s">
        <v>146</v>
      </c>
      <c r="B39" s="14">
        <f>+B$8*[1]Fremskrivninger!$S$6/B27</f>
        <v>1163.7704086303711</v>
      </c>
      <c r="C39" s="14">
        <f>+C$8*[1]Fremskrivninger!$S$6/C27</f>
        <v>1175.6281567113101</v>
      </c>
      <c r="D39" s="14">
        <f>+D$8*[1]Fremskrivninger!$S$6/D27</f>
        <v>1192.2166885521292</v>
      </c>
      <c r="E39" s="14">
        <f>+E$8*[1]Fremskrivninger!$S$6/E27</f>
        <v>1232.9888951990745</v>
      </c>
      <c r="F39" s="14">
        <f>+F$8*[1]Fremskrivninger!$S$6/F27</f>
        <v>1288.4477233886719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12"/>
      <c r="N39" s="14">
        <v>1</v>
      </c>
    </row>
    <row r="40" spans="1:14" ht="15.75" thickBot="1" x14ac:dyDescent="0.35">
      <c r="A40" s="60" t="s">
        <v>147</v>
      </c>
      <c r="B40" s="14">
        <f>+B$8*[1]Fremskrivninger!$S$6/B28</f>
        <v>1542.5948047637937</v>
      </c>
      <c r="C40" s="14">
        <f>+C$8*[1]Fremskrivninger!$S$6/C28</f>
        <v>1549.3681399514082</v>
      </c>
      <c r="D40" s="14">
        <f>+D$8*[1]Fremskrivninger!$S$6/D28</f>
        <v>1558.7143401375988</v>
      </c>
      <c r="E40" s="14">
        <f>+E$8*[1]Fremskrivninger!$S$6/E28</f>
        <v>1581.0653608742609</v>
      </c>
      <c r="F40" s="14">
        <f>+F$8*[1]Fremskrivninger!$S$6/F28</f>
        <v>1610.1246643066404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12"/>
      <c r="N40" s="14">
        <v>1</v>
      </c>
    </row>
    <row r="41" spans="1:14" ht="15.75" thickBot="1" x14ac:dyDescent="0.35">
      <c r="A41" s="60" t="s">
        <v>148</v>
      </c>
      <c r="B41" s="14">
        <f>+B$8*[1]Fremskrivninger!$S$6/B29</f>
        <v>1747.9476642608643</v>
      </c>
      <c r="C41" s="14">
        <f>+C$8*[1]Fremskrivninger!$S$6/C29</f>
        <v>1763.0477462918077</v>
      </c>
      <c r="D41" s="14">
        <f>+D$8*[1]Fremskrivninger!$S$6/D29</f>
        <v>1784.0945716727686</v>
      </c>
      <c r="E41" s="14">
        <f>+E$8*[1]Fremskrivninger!$S$6/E29</f>
        <v>1835.4434075484569</v>
      </c>
      <c r="F41" s="14">
        <f>+F$8*[1]Fremskrivninger!$S$6/F29</f>
        <v>1904.4313049316406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12"/>
      <c r="N41" s="14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10"/>
    </row>
    <row r="43" spans="1:14" ht="15.75" thickBot="1" x14ac:dyDescent="0.35">
      <c r="A43" s="60" t="s">
        <v>146</v>
      </c>
      <c r="B43" s="14">
        <f>+B$8*[1]Fremskrivninger!$S$6/B31</f>
        <v>1497.2046566009521</v>
      </c>
      <c r="C43" s="14">
        <f>+C$8*[1]Fremskrivninger!$S$6/C31</f>
        <v>1531.1750716164393</v>
      </c>
      <c r="D43" s="14">
        <f>+D$8*[1]Fremskrivninger!$S$6/D31</f>
        <v>1580.1339467974597</v>
      </c>
      <c r="E43" s="14">
        <f>+E$8*[1]Fremskrivninger!$S$6/E31</f>
        <v>1708.1293638840746</v>
      </c>
      <c r="F43" s="14">
        <f>+F$8*[1]Fremskrivninger!$S$6/F31</f>
        <v>1902.0466613769531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12"/>
      <c r="N43" s="14">
        <v>1</v>
      </c>
    </row>
    <row r="44" spans="1:14" ht="15.75" thickBot="1" x14ac:dyDescent="0.35">
      <c r="A44" s="60" t="s">
        <v>147</v>
      </c>
      <c r="B44" s="14">
        <f>+B$8*[1]Fremskrivninger!$S$6/B32</f>
        <v>1863.2607460021973</v>
      </c>
      <c r="C44" s="14">
        <f>+C$8*[1]Fremskrivninger!$S$6/C32</f>
        <v>1892.8145772439921</v>
      </c>
      <c r="D44" s="14">
        <f>+D$8*[1]Fremskrivninger!$S$6/D32</f>
        <v>1934.7205813040991</v>
      </c>
      <c r="E44" s="14">
        <f>+E$8*[1]Fremskrivninger!$S$6/E32</f>
        <v>2040.5952668788545</v>
      </c>
      <c r="F44" s="14">
        <f>+F$8*[1]Fremskrivninger!$S$6/F32</f>
        <v>2191.5400695800781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12"/>
      <c r="N44" s="14">
        <v>1</v>
      </c>
    </row>
    <row r="45" spans="1:14" ht="15.75" thickBot="1" x14ac:dyDescent="0.35">
      <c r="A45" s="60" t="s">
        <v>148</v>
      </c>
      <c r="B45" s="14">
        <f>+B$8*[1]Fremskrivninger!$S$6/B33</f>
        <v>2010.9282684326174</v>
      </c>
      <c r="C45" s="14">
        <f>+C$8*[1]Fremskrivninger!$S$6/C33</f>
        <v>2042.555586655096</v>
      </c>
      <c r="D45" s="14">
        <f>+D$8*[1]Fremskrivninger!$S$6/D33</f>
        <v>2087.3874407107169</v>
      </c>
      <c r="E45" s="14">
        <f>+E$8*[1]Fremskrivninger!$S$6/E33</f>
        <v>2200.5797739661061</v>
      </c>
      <c r="F45" s="14">
        <f>+F$8*[1]Fremskrivninger!$S$6/F33</f>
        <v>2361.7730712890625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12"/>
      <c r="N45" s="14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14">
        <f>B31*[1]Fremskrivninger!$S$10</f>
        <v>788.18883897882836</v>
      </c>
      <c r="C48" s="14">
        <f>C31*[1]Fremskrivninger!$S$10</f>
        <v>741.71027004974644</v>
      </c>
      <c r="D48" s="14">
        <f>D31*[1]Fremskrivninger!$S$10</f>
        <v>683.6120588883939</v>
      </c>
      <c r="E48" s="14">
        <f>E31*[1]Fremskrivninger!$S$10</f>
        <v>567.41563656568894</v>
      </c>
      <c r="F48" s="14">
        <f>F31*[1]Fremskrivninger!$S$10</f>
        <v>451.21921424298409</v>
      </c>
      <c r="G48" s="57" t="s">
        <v>111</v>
      </c>
      <c r="H48" s="57" t="s">
        <v>111</v>
      </c>
      <c r="I48" s="57" t="s">
        <v>111</v>
      </c>
      <c r="J48" s="57" t="s">
        <v>111</v>
      </c>
      <c r="K48" s="57" t="s">
        <v>111</v>
      </c>
      <c r="L48" s="57" t="s">
        <v>111</v>
      </c>
      <c r="M48" s="3"/>
      <c r="N48" s="14">
        <v>3</v>
      </c>
    </row>
    <row r="49" spans="1:14" ht="15.75" thickBot="1" x14ac:dyDescent="0.35">
      <c r="A49" s="5" t="s">
        <v>23</v>
      </c>
      <c r="B49" s="16">
        <f>0.014/[1]Fremskrivninger!$S$7</f>
        <v>8.6991966913226755E-3</v>
      </c>
      <c r="C49" s="16">
        <f t="shared" ref="C49:E52" si="6">B49+(C$2-B$2)*($F49-$B49)/($F$2-$B$2)</f>
        <v>8.6134903199795946E-3</v>
      </c>
      <c r="D49" s="16">
        <f t="shared" si="6"/>
        <v>8.5063573558007439E-3</v>
      </c>
      <c r="E49" s="16">
        <f t="shared" si="6"/>
        <v>8.2920914274430425E-3</v>
      </c>
      <c r="F49" s="16">
        <f>0.013/[1]Fremskrivninger!$S$7</f>
        <v>8.077825499085341E-3</v>
      </c>
      <c r="G49" s="57" t="s">
        <v>111</v>
      </c>
      <c r="H49" s="57" t="s">
        <v>111</v>
      </c>
      <c r="I49" s="57" t="s">
        <v>111</v>
      </c>
      <c r="J49" s="57" t="s">
        <v>111</v>
      </c>
      <c r="K49" s="57" t="s">
        <v>111</v>
      </c>
      <c r="L49" s="57" t="s">
        <v>111</v>
      </c>
      <c r="M49" s="15"/>
      <c r="N49" s="14">
        <v>3</v>
      </c>
    </row>
    <row r="50" spans="1:14" ht="15.75" thickBot="1" x14ac:dyDescent="0.35">
      <c r="A50" s="5" t="s">
        <v>24</v>
      </c>
      <c r="B50" s="13">
        <f>1*B31*0.31/3.6</f>
        <v>0.91103109650796721</v>
      </c>
      <c r="C50" s="13">
        <f t="shared" si="6"/>
        <v>0.82134014951741752</v>
      </c>
      <c r="D50" s="13">
        <f t="shared" si="6"/>
        <v>0.70922646577923043</v>
      </c>
      <c r="E50" s="13">
        <f t="shared" si="6"/>
        <v>0.48499909830285626</v>
      </c>
      <c r="F50" s="13">
        <f>0.5*F31*0.31/3.6</f>
        <v>0.2607717308264822</v>
      </c>
      <c r="G50" s="50">
        <v>0.05</v>
      </c>
      <c r="H50" s="58">
        <v>2</v>
      </c>
      <c r="I50" s="57" t="s">
        <v>111</v>
      </c>
      <c r="J50" s="57" t="s">
        <v>111</v>
      </c>
      <c r="K50" s="57" t="s">
        <v>111</v>
      </c>
      <c r="L50" s="57" t="s">
        <v>111</v>
      </c>
      <c r="M50" s="15"/>
      <c r="N50" s="10"/>
    </row>
    <row r="51" spans="1:14" ht="15.75" thickBot="1" x14ac:dyDescent="0.35">
      <c r="A51" s="5" t="s">
        <v>25</v>
      </c>
      <c r="B51" s="16">
        <f>0.00094*B7/1000</f>
        <v>6.2462999999999998E-3</v>
      </c>
      <c r="C51" s="16">
        <f t="shared" si="6"/>
        <v>5.8779630346125428E-3</v>
      </c>
      <c r="D51" s="16">
        <f t="shared" si="6"/>
        <v>5.4175418278782214E-3</v>
      </c>
      <c r="E51" s="16">
        <f t="shared" si="6"/>
        <v>4.4966994144095785E-3</v>
      </c>
      <c r="F51" s="16">
        <f>+B51*F48/B48</f>
        <v>3.5758570009409361E-3</v>
      </c>
      <c r="G51" s="57" t="s">
        <v>111</v>
      </c>
      <c r="H51" s="57" t="s">
        <v>111</v>
      </c>
      <c r="I51" s="57" t="s">
        <v>111</v>
      </c>
      <c r="J51" s="57" t="s">
        <v>111</v>
      </c>
      <c r="K51" s="57" t="s">
        <v>111</v>
      </c>
      <c r="L51" s="57" t="s">
        <v>111</v>
      </c>
      <c r="M51" s="15"/>
      <c r="N51" s="14">
        <v>3</v>
      </c>
    </row>
    <row r="52" spans="1:14" ht="15.75" thickBot="1" x14ac:dyDescent="0.35">
      <c r="A52" s="5" t="s">
        <v>26</v>
      </c>
      <c r="B52" s="16">
        <f>0.0019*B7/1000</f>
        <v>1.2625500000000001E-2</v>
      </c>
      <c r="C52" s="16">
        <f t="shared" si="6"/>
        <v>1.1880989112514716E-2</v>
      </c>
      <c r="D52" s="16">
        <f t="shared" si="6"/>
        <v>1.0950350503158108E-2</v>
      </c>
      <c r="E52" s="16">
        <f t="shared" si="6"/>
        <v>9.0890732844448943E-3</v>
      </c>
      <c r="F52" s="16">
        <f>+B52*F48/B48</f>
        <v>7.2277960657316795E-3</v>
      </c>
      <c r="G52" s="59" t="s">
        <v>111</v>
      </c>
      <c r="H52" s="59" t="s">
        <v>111</v>
      </c>
      <c r="I52" s="59" t="s">
        <v>111</v>
      </c>
      <c r="J52" s="59" t="s">
        <v>111</v>
      </c>
      <c r="K52" s="59" t="s">
        <v>111</v>
      </c>
      <c r="L52" s="59" t="s">
        <v>111</v>
      </c>
      <c r="M52" s="15"/>
      <c r="N52" s="14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0"/>
    </row>
    <row r="54" spans="1:14" ht="15.75" thickBot="1" x14ac:dyDescent="0.35">
      <c r="A54" s="5" t="s">
        <v>28</v>
      </c>
      <c r="B54" s="14">
        <f>B32*[1]Fremskrivninger!$S$10</f>
        <v>633.34130906367966</v>
      </c>
      <c r="C54" s="14">
        <f>C32*[1]Fremskrivninger!$S$10</f>
        <v>599.99975143665313</v>
      </c>
      <c r="D54" s="14">
        <f>D32*[1]Fremskrivninger!$S$10</f>
        <v>558.32280440286991</v>
      </c>
      <c r="E54" s="14">
        <f>E32*[1]Fremskrivninger!$S$10</f>
        <v>474.96891033530352</v>
      </c>
      <c r="F54" s="14">
        <f>F32*[1]Fremskrivninger!$S$10</f>
        <v>391.61501626773713</v>
      </c>
      <c r="G54" s="57" t="s">
        <v>111</v>
      </c>
      <c r="H54" s="57" t="s">
        <v>111</v>
      </c>
      <c r="I54" s="57" t="s">
        <v>111</v>
      </c>
      <c r="J54" s="57" t="s">
        <v>111</v>
      </c>
      <c r="K54" s="57" t="s">
        <v>111</v>
      </c>
      <c r="L54" s="57" t="s">
        <v>111</v>
      </c>
      <c r="M54" s="3"/>
      <c r="N54" s="14">
        <v>3</v>
      </c>
    </row>
    <row r="55" spans="1:14" ht="15.75" thickBot="1" x14ac:dyDescent="0.35">
      <c r="A55" s="5" t="s">
        <v>23</v>
      </c>
      <c r="B55" s="16">
        <f>0.002*B32</f>
        <v>1.7002451250031671E-2</v>
      </c>
      <c r="C55" s="16">
        <f t="shared" ref="C55:E58" si="7">B55+(C$2-B$2)*($F55-$B55)/($F$2-$B$2)</f>
        <v>1.6107375877494046E-2</v>
      </c>
      <c r="D55" s="16">
        <f t="shared" si="7"/>
        <v>1.4988531661822015E-2</v>
      </c>
      <c r="E55" s="16">
        <f t="shared" si="7"/>
        <v>1.2750843230477951E-2</v>
      </c>
      <c r="F55" s="16">
        <f>+B55*F54/B54</f>
        <v>1.0513154799133884E-2</v>
      </c>
      <c r="G55" s="57" t="s">
        <v>111</v>
      </c>
      <c r="H55" s="57" t="s">
        <v>111</v>
      </c>
      <c r="I55" s="57" t="s">
        <v>111</v>
      </c>
      <c r="J55" s="57" t="s">
        <v>111</v>
      </c>
      <c r="K55" s="57" t="s">
        <v>111</v>
      </c>
      <c r="L55" s="57" t="s">
        <v>111</v>
      </c>
      <c r="M55" s="15"/>
      <c r="N55" s="14">
        <v>3</v>
      </c>
    </row>
    <row r="56" spans="1:14" ht="15.75" thickBot="1" x14ac:dyDescent="0.35">
      <c r="A56" s="5" t="s">
        <v>24</v>
      </c>
      <c r="B56" s="20">
        <f>0.5*B32/3.6*B19/100</f>
        <v>1.7001148180165724E-3</v>
      </c>
      <c r="C56" s="20">
        <f t="shared" si="7"/>
        <v>1.6106141406310051E-3</v>
      </c>
      <c r="D56" s="20">
        <f t="shared" si="7"/>
        <v>1.4987382938990458E-3</v>
      </c>
      <c r="E56" s="20">
        <f t="shared" si="7"/>
        <v>1.2749866004351275E-3</v>
      </c>
      <c r="F56" s="20">
        <f>+B56*F54/B54</f>
        <v>1.0512349069712089E-3</v>
      </c>
      <c r="G56" s="57" t="s">
        <v>111</v>
      </c>
      <c r="H56" s="57" t="s">
        <v>111</v>
      </c>
      <c r="I56" s="57" t="s">
        <v>111</v>
      </c>
      <c r="J56" s="57" t="s">
        <v>111</v>
      </c>
      <c r="K56" s="57" t="s">
        <v>111</v>
      </c>
      <c r="L56" s="57" t="s">
        <v>111</v>
      </c>
      <c r="M56" s="15"/>
      <c r="N56" s="14">
        <v>3</v>
      </c>
    </row>
    <row r="57" spans="1:14" ht="15.75" thickBot="1" x14ac:dyDescent="0.35">
      <c r="A57" s="5" t="s">
        <v>25</v>
      </c>
      <c r="B57" s="20">
        <f>0.000252*B32</f>
        <v>2.1423088575039904E-3</v>
      </c>
      <c r="C57" s="20">
        <f t="shared" si="7"/>
        <v>2.0295293605642494E-3</v>
      </c>
      <c r="D57" s="20">
        <f t="shared" si="7"/>
        <v>1.8885549893895733E-3</v>
      </c>
      <c r="E57" s="20">
        <f t="shared" si="7"/>
        <v>1.6066062470402212E-3</v>
      </c>
      <c r="F57" s="20">
        <f>+B57*F54/B54</f>
        <v>1.3246575046908693E-3</v>
      </c>
      <c r="G57" s="57" t="s">
        <v>111</v>
      </c>
      <c r="H57" s="57" t="s">
        <v>111</v>
      </c>
      <c r="I57" s="57" t="s">
        <v>111</v>
      </c>
      <c r="J57" s="57" t="s">
        <v>111</v>
      </c>
      <c r="K57" s="57" t="s">
        <v>111</v>
      </c>
      <c r="L57" s="57" t="s">
        <v>111</v>
      </c>
      <c r="M57" s="15"/>
      <c r="N57" s="14">
        <v>3</v>
      </c>
    </row>
    <row r="58" spans="1:14" ht="15.75" thickBot="1" x14ac:dyDescent="0.35">
      <c r="A58" s="5" t="s">
        <v>29</v>
      </c>
      <c r="B58" s="16">
        <f>0.00052*B32</f>
        <v>4.4206373250082337E-3</v>
      </c>
      <c r="C58" s="13">
        <f t="shared" si="7"/>
        <v>4.1879177281484515E-3</v>
      </c>
      <c r="D58" s="13">
        <f t="shared" si="7"/>
        <v>3.897018232073723E-3</v>
      </c>
      <c r="E58" s="13">
        <f t="shared" si="7"/>
        <v>3.3152192399242665E-3</v>
      </c>
      <c r="F58" s="16">
        <f>+B58*F54/B54</f>
        <v>2.7334202477748096E-3</v>
      </c>
      <c r="G58" s="59" t="s">
        <v>111</v>
      </c>
      <c r="H58" s="59" t="s">
        <v>111</v>
      </c>
      <c r="I58" s="59" t="s">
        <v>111</v>
      </c>
      <c r="J58" s="59" t="s">
        <v>111</v>
      </c>
      <c r="K58" s="59" t="s">
        <v>111</v>
      </c>
      <c r="L58" s="59" t="s">
        <v>111</v>
      </c>
      <c r="M58" s="15"/>
      <c r="N58" s="14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0"/>
    </row>
    <row r="60" spans="1:14" ht="15.75" thickBot="1" x14ac:dyDescent="0.35">
      <c r="A60" s="8" t="s">
        <v>31</v>
      </c>
      <c r="B60" s="14">
        <f>B33*[1]Fremskrivninger!$S$10</f>
        <v>586.83346319448412</v>
      </c>
      <c r="C60" s="14">
        <f>C33*[1]Fremskrivninger!$S$10</f>
        <v>556.01339972435233</v>
      </c>
      <c r="D60" s="14">
        <f>D33*[1]Fremskrivninger!$S$10</f>
        <v>517.48832038668752</v>
      </c>
      <c r="E60" s="14">
        <f>E33*[1]Fremskrivninger!$S$10</f>
        <v>440.43816171135796</v>
      </c>
      <c r="F60" s="14">
        <f>F33*[1]Fremskrivninger!$S$10</f>
        <v>363.38800303602841</v>
      </c>
      <c r="G60" s="57" t="s">
        <v>111</v>
      </c>
      <c r="H60" s="57" t="s">
        <v>111</v>
      </c>
      <c r="I60" s="57" t="s">
        <v>111</v>
      </c>
      <c r="J60" s="57" t="s">
        <v>111</v>
      </c>
      <c r="K60" s="57" t="s">
        <v>111</v>
      </c>
      <c r="L60" s="57" t="s">
        <v>111</v>
      </c>
      <c r="M60" s="3"/>
      <c r="N60" s="14">
        <v>3</v>
      </c>
    </row>
    <row r="61" spans="1:14" ht="15.75" thickBot="1" x14ac:dyDescent="0.35">
      <c r="A61" s="8" t="s">
        <v>32</v>
      </c>
      <c r="B61" s="16">
        <f>0.049/[1]Fremskrivninger!S7</f>
        <v>3.0447188419629363E-2</v>
      </c>
      <c r="C61" s="16">
        <f t="shared" ref="C61:E64" si="8">B61+(C$2-B$2)*($F61-$B61)/($F$2-$B$2)</f>
        <v>2.8848124394766406E-2</v>
      </c>
      <c r="D61" s="16">
        <f t="shared" si="8"/>
        <v>2.6849294363687711E-2</v>
      </c>
      <c r="E61" s="16">
        <f t="shared" si="8"/>
        <v>2.2851634301530317E-2</v>
      </c>
      <c r="F61" s="16">
        <f>+B61*F60/B60</f>
        <v>1.8853974239372927E-2</v>
      </c>
      <c r="G61" s="57" t="s">
        <v>111</v>
      </c>
      <c r="H61" s="57" t="s">
        <v>111</v>
      </c>
      <c r="I61" s="57" t="s">
        <v>111</v>
      </c>
      <c r="J61" s="57" t="s">
        <v>111</v>
      </c>
      <c r="K61" s="57" t="s">
        <v>111</v>
      </c>
      <c r="L61" s="57" t="s">
        <v>111</v>
      </c>
      <c r="M61" s="15"/>
      <c r="N61" s="14">
        <v>3</v>
      </c>
    </row>
    <row r="62" spans="1:14" ht="15.75" thickBot="1" x14ac:dyDescent="0.35">
      <c r="A62" s="8" t="s">
        <v>33</v>
      </c>
      <c r="B62" s="20">
        <f>0.2*B33/[1]Fremskrivninger!S9*B19/100</f>
        <v>6.3010844371410646E-4</v>
      </c>
      <c r="C62" s="20">
        <f t="shared" si="8"/>
        <v>5.9701560997790434E-4</v>
      </c>
      <c r="D62" s="20">
        <f t="shared" si="8"/>
        <v>5.5564956780765166E-4</v>
      </c>
      <c r="E62" s="20">
        <f t="shared" si="8"/>
        <v>4.7291748346714642E-4</v>
      </c>
      <c r="F62" s="20">
        <f>+B62*F61/B61</f>
        <v>3.9018539912664117E-4</v>
      </c>
      <c r="G62" s="57" t="s">
        <v>111</v>
      </c>
      <c r="H62" s="57" t="s">
        <v>111</v>
      </c>
      <c r="I62" s="57" t="s">
        <v>111</v>
      </c>
      <c r="J62" s="57" t="s">
        <v>111</v>
      </c>
      <c r="K62" s="57" t="s">
        <v>111</v>
      </c>
      <c r="L62" s="57" t="s">
        <v>111</v>
      </c>
      <c r="M62" s="15"/>
      <c r="N62" s="14">
        <v>3</v>
      </c>
    </row>
    <row r="63" spans="1:14" ht="15.75" thickBot="1" x14ac:dyDescent="0.35">
      <c r="A63" s="8" t="s">
        <v>34</v>
      </c>
      <c r="B63" s="20">
        <f>0.0053/[1]Fremskrivninger!S7</f>
        <v>3.2932673188578697E-3</v>
      </c>
      <c r="C63" s="20">
        <f t="shared" si="8"/>
        <v>3.1203073324951418E-3</v>
      </c>
      <c r="D63" s="20">
        <f t="shared" si="8"/>
        <v>2.9041073495417319E-3</v>
      </c>
      <c r="E63" s="20">
        <f t="shared" si="8"/>
        <v>2.4717073836349121E-3</v>
      </c>
      <c r="F63" s="20">
        <f>+B63*F62/B62</f>
        <v>2.0393074177280923E-3</v>
      </c>
      <c r="G63" s="57" t="s">
        <v>111</v>
      </c>
      <c r="H63" s="57" t="s">
        <v>111</v>
      </c>
      <c r="I63" s="57" t="s">
        <v>111</v>
      </c>
      <c r="J63" s="57" t="s">
        <v>111</v>
      </c>
      <c r="K63" s="57" t="s">
        <v>111</v>
      </c>
      <c r="L63" s="57" t="s">
        <v>111</v>
      </c>
      <c r="M63" s="15"/>
      <c r="N63" s="14">
        <v>3</v>
      </c>
    </row>
    <row r="64" spans="1:14" ht="15.75" thickBot="1" x14ac:dyDescent="0.35">
      <c r="A64" s="8" t="s">
        <v>35</v>
      </c>
      <c r="B64" s="16">
        <f>0.016/[1]Fremskrivninger!S7</f>
        <v>9.9419390757973427E-3</v>
      </c>
      <c r="C64" s="16">
        <f t="shared" si="8"/>
        <v>9.4197957207400509E-3</v>
      </c>
      <c r="D64" s="16">
        <f t="shared" si="8"/>
        <v>8.7671165269184361E-3</v>
      </c>
      <c r="E64" s="16">
        <f t="shared" si="8"/>
        <v>7.4617581392752066E-3</v>
      </c>
      <c r="F64" s="16">
        <f>+B64*F63/B63</f>
        <v>6.156399751631977E-3</v>
      </c>
      <c r="G64" s="57" t="s">
        <v>111</v>
      </c>
      <c r="H64" s="57" t="s">
        <v>111</v>
      </c>
      <c r="I64" s="57" t="s">
        <v>111</v>
      </c>
      <c r="J64" s="57" t="s">
        <v>111</v>
      </c>
      <c r="K64" s="57" t="s">
        <v>111</v>
      </c>
      <c r="L64" s="57" t="s">
        <v>111</v>
      </c>
      <c r="M64" s="15"/>
      <c r="N64" s="14">
        <v>3</v>
      </c>
    </row>
    <row r="65" spans="1:14" ht="15.75" thickBot="1" x14ac:dyDescent="0.35">
      <c r="A65" s="5" t="s">
        <v>53</v>
      </c>
      <c r="B65" s="3">
        <v>27.09</v>
      </c>
      <c r="C65" s="3">
        <v>27.09</v>
      </c>
      <c r="D65" s="3">
        <v>27.09</v>
      </c>
      <c r="E65" s="3">
        <v>27.09</v>
      </c>
      <c r="F65" s="3">
        <v>27.09</v>
      </c>
      <c r="G65" s="57" t="s">
        <v>111</v>
      </c>
      <c r="H65" s="57" t="s">
        <v>111</v>
      </c>
      <c r="I65" s="57" t="s">
        <v>111</v>
      </c>
      <c r="J65" s="57" t="s">
        <v>111</v>
      </c>
      <c r="K65" s="57" t="s">
        <v>111</v>
      </c>
      <c r="L65" s="57" t="s">
        <v>111</v>
      </c>
      <c r="M65" s="15"/>
      <c r="N65" s="14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v>13.8</v>
      </c>
      <c r="C67" s="3">
        <v>13.8</v>
      </c>
      <c r="D67" s="3">
        <v>13.8</v>
      </c>
      <c r="E67" s="3">
        <v>13.8</v>
      </c>
      <c r="F67" s="3">
        <v>13.8</v>
      </c>
      <c r="G67" s="3">
        <v>7</v>
      </c>
      <c r="H67" s="3">
        <v>20</v>
      </c>
      <c r="I67" s="57" t="s">
        <v>111</v>
      </c>
      <c r="J67" s="57" t="s">
        <v>111</v>
      </c>
      <c r="K67" s="57" t="s">
        <v>111</v>
      </c>
      <c r="L67" s="57" t="s">
        <v>111</v>
      </c>
      <c r="M67" s="3"/>
      <c r="N67" s="14">
        <v>4</v>
      </c>
    </row>
    <row r="68" spans="1:14" ht="15.75" thickBot="1" x14ac:dyDescent="0.35">
      <c r="A68" s="5" t="s">
        <v>38</v>
      </c>
      <c r="B68" s="3">
        <v>2</v>
      </c>
      <c r="C68" s="3">
        <v>2</v>
      </c>
      <c r="D68" s="3">
        <v>2</v>
      </c>
      <c r="E68" s="3">
        <v>2</v>
      </c>
      <c r="F68" s="3">
        <v>2</v>
      </c>
      <c r="G68" s="3">
        <v>1</v>
      </c>
      <c r="H68" s="3">
        <v>6</v>
      </c>
      <c r="I68" s="57" t="s">
        <v>111</v>
      </c>
      <c r="J68" s="57" t="s">
        <v>111</v>
      </c>
      <c r="K68" s="57" t="s">
        <v>111</v>
      </c>
      <c r="L68" s="57" t="s">
        <v>111</v>
      </c>
      <c r="M68" s="3"/>
      <c r="N68" s="14">
        <v>4</v>
      </c>
    </row>
    <row r="69" spans="1:14" ht="15.75" thickBot="1" x14ac:dyDescent="0.35">
      <c r="A69" s="5" t="s">
        <v>39</v>
      </c>
      <c r="B69" s="3">
        <v>469562</v>
      </c>
      <c r="C69" s="3">
        <v>469562</v>
      </c>
      <c r="D69" s="3">
        <v>469562</v>
      </c>
      <c r="E69" s="3">
        <v>469562</v>
      </c>
      <c r="F69" s="3">
        <v>469562</v>
      </c>
      <c r="G69" s="14">
        <v>400000</v>
      </c>
      <c r="H69" s="14">
        <v>1500000</v>
      </c>
      <c r="I69" s="57" t="s">
        <v>111</v>
      </c>
      <c r="J69" s="57" t="s">
        <v>111</v>
      </c>
      <c r="K69" s="57" t="s">
        <v>111</v>
      </c>
      <c r="L69" s="57" t="s">
        <v>111</v>
      </c>
      <c r="M69" s="3"/>
      <c r="N69" s="14">
        <v>4</v>
      </c>
    </row>
    <row r="70" spans="1:14" ht="15.75" thickBot="1" x14ac:dyDescent="0.35">
      <c r="A70" s="5" t="s">
        <v>40</v>
      </c>
      <c r="B70" s="14">
        <f>B69/7</f>
        <v>67080.28571428571</v>
      </c>
      <c r="C70" s="14">
        <f>C69/7</f>
        <v>67080.28571428571</v>
      </c>
      <c r="D70" s="14">
        <f>D69/7</f>
        <v>67080.28571428571</v>
      </c>
      <c r="E70" s="14">
        <f>E69/7</f>
        <v>67080.28571428571</v>
      </c>
      <c r="F70" s="14">
        <f>F69/7</f>
        <v>67080.28571428571</v>
      </c>
      <c r="G70" s="14">
        <f>+B70*0.6</f>
        <v>40248.171428571426</v>
      </c>
      <c r="H70" s="14">
        <f>+B70*1.4</f>
        <v>93912.4</v>
      </c>
      <c r="I70" s="57" t="s">
        <v>111</v>
      </c>
      <c r="J70" s="57" t="s">
        <v>111</v>
      </c>
      <c r="K70" s="57" t="s">
        <v>111</v>
      </c>
      <c r="L70" s="57" t="s">
        <v>111</v>
      </c>
      <c r="M70" s="3"/>
      <c r="N70" s="14">
        <v>4</v>
      </c>
    </row>
    <row r="71" spans="1:14" ht="15.75" thickBot="1" x14ac:dyDescent="0.35">
      <c r="A71" s="5" t="s">
        <v>41</v>
      </c>
      <c r="B71" s="14">
        <f>1313500/[1]Fremskrivninger!$S$8</f>
        <v>174667.55319148937</v>
      </c>
      <c r="C71" s="14">
        <f>1313500/[1]Fremskrivninger!$S$8</f>
        <v>174667.55319148937</v>
      </c>
      <c r="D71" s="14">
        <f>1313500/[1]Fremskrivninger!$S$8</f>
        <v>174667.55319148937</v>
      </c>
      <c r="E71" s="14">
        <f>1313500/[1]Fremskrivninger!$S$8</f>
        <v>174667.55319148937</v>
      </c>
      <c r="F71" s="14">
        <f>1313500/[1]Fremskrivninger!$S$8</f>
        <v>174667.55319148937</v>
      </c>
      <c r="G71" s="3">
        <v>90000</v>
      </c>
      <c r="H71" s="3">
        <v>200000</v>
      </c>
      <c r="I71" s="57" t="s">
        <v>111</v>
      </c>
      <c r="J71" s="57" t="s">
        <v>111</v>
      </c>
      <c r="K71" s="57" t="s">
        <v>111</v>
      </c>
      <c r="L71" s="57" t="s">
        <v>111</v>
      </c>
      <c r="M71" s="3"/>
      <c r="N71" s="14">
        <v>4</v>
      </c>
    </row>
    <row r="72" spans="1:14" ht="15.75" thickBot="1" x14ac:dyDescent="0.35">
      <c r="A72" s="60" t="s">
        <v>118</v>
      </c>
      <c r="B72" s="3">
        <v>300</v>
      </c>
      <c r="C72" s="3">
        <v>300</v>
      </c>
      <c r="D72" s="3">
        <v>300</v>
      </c>
      <c r="E72" s="3">
        <v>300</v>
      </c>
      <c r="F72" s="3">
        <v>300</v>
      </c>
      <c r="G72" s="57" t="s">
        <v>111</v>
      </c>
      <c r="H72" s="57" t="s">
        <v>111</v>
      </c>
      <c r="I72" s="57" t="s">
        <v>111</v>
      </c>
      <c r="J72" s="57" t="s">
        <v>111</v>
      </c>
      <c r="K72" s="57" t="s">
        <v>111</v>
      </c>
      <c r="L72" s="57" t="s">
        <v>111</v>
      </c>
      <c r="M72" s="3"/>
      <c r="N72" s="14">
        <v>4</v>
      </c>
    </row>
    <row r="73" spans="1:14" ht="15.75" thickBot="1" x14ac:dyDescent="0.35">
      <c r="A73" s="5" t="s">
        <v>137</v>
      </c>
      <c r="B73" s="3">
        <v>33000</v>
      </c>
      <c r="C73" s="3">
        <v>33000</v>
      </c>
      <c r="D73" s="3">
        <v>33000</v>
      </c>
      <c r="E73" s="3">
        <v>33000</v>
      </c>
      <c r="F73" s="3">
        <v>33000</v>
      </c>
      <c r="G73" s="57" t="s">
        <v>111</v>
      </c>
      <c r="H73" s="57" t="s">
        <v>111</v>
      </c>
      <c r="I73" s="57" t="s">
        <v>111</v>
      </c>
      <c r="J73" s="57" t="s">
        <v>111</v>
      </c>
      <c r="K73" s="57" t="s">
        <v>111</v>
      </c>
      <c r="L73" s="57" t="s">
        <v>111</v>
      </c>
      <c r="M73" s="15"/>
      <c r="N73" s="14">
        <v>4</v>
      </c>
    </row>
    <row r="74" spans="1:14" ht="15.75" thickBot="1" x14ac:dyDescent="0.35">
      <c r="A74" s="5" t="s">
        <v>113</v>
      </c>
      <c r="B74" s="14">
        <v>7200</v>
      </c>
      <c r="C74" s="14">
        <v>7200</v>
      </c>
      <c r="D74" s="14">
        <v>7200</v>
      </c>
      <c r="E74" s="14">
        <v>7200</v>
      </c>
      <c r="F74" s="14">
        <v>7200</v>
      </c>
      <c r="G74" s="57" t="s">
        <v>111</v>
      </c>
      <c r="H74" s="57" t="s">
        <v>111</v>
      </c>
      <c r="I74" s="57" t="s">
        <v>111</v>
      </c>
      <c r="J74" s="57" t="s">
        <v>111</v>
      </c>
      <c r="K74" s="57" t="s">
        <v>111</v>
      </c>
      <c r="L74" s="57" t="s">
        <v>111</v>
      </c>
      <c r="M74" s="3"/>
      <c r="N74" s="14">
        <v>4</v>
      </c>
    </row>
    <row r="75" spans="1:14" ht="15.75" thickBot="1" x14ac:dyDescent="0.35">
      <c r="A75" s="5" t="s">
        <v>112</v>
      </c>
      <c r="B75" s="13">
        <v>0.12</v>
      </c>
      <c r="C75" s="13">
        <v>0.12</v>
      </c>
      <c r="D75" s="13">
        <v>0.12</v>
      </c>
      <c r="E75" s="13">
        <v>0.12</v>
      </c>
      <c r="F75" s="13">
        <v>0.12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15"/>
      <c r="N75" s="14">
        <v>4</v>
      </c>
    </row>
    <row r="91" spans="1:1" x14ac:dyDescent="0.3">
      <c r="A91" s="56"/>
    </row>
    <row r="92" spans="1:1" x14ac:dyDescent="0.3">
      <c r="A92" s="56"/>
    </row>
    <row r="93" spans="1:1" x14ac:dyDescent="0.3">
      <c r="A93" s="56"/>
    </row>
    <row r="94" spans="1:1" x14ac:dyDescent="0.3">
      <c r="A94" s="56"/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O71" r:id="rId1" display="https://www.statista.com/statistics/1230087/heavy-duty-truck-purchase-costs-by-fuel-type/" xr:uid="{00000000-0004-0000-0400-000000000000}"/>
    <hyperlink ref="A1" location="'START PAGE'!A1" display="Vehicle segment &amp; subcategory" xr:uid="{00000000-0004-0000-0400-000001000000}"/>
    <hyperlink ref="R15" r:id="rId2" display="EU" xr:uid="{00000000-0004-0000-0400-000002000000}"/>
    <hyperlink ref="N2" location="References!A1" display="Ref" xr:uid="{1A0D2DF2-B4B8-4DA0-AA0A-7BEDC06735F3}"/>
  </hyperlinks>
  <pageMargins left="0.7" right="0.7" top="0.75" bottom="0.75" header="0.3" footer="0.3"/>
  <pageSetup paperSize="9" scale="37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A1:N75"/>
  <sheetViews>
    <sheetView topLeftCell="A38" workbookViewId="0">
      <selection activeCell="B61" sqref="B61"/>
    </sheetView>
  </sheetViews>
  <sheetFormatPr defaultRowHeight="15" x14ac:dyDescent="0.3"/>
  <cols>
    <col min="1" max="1" width="40.1406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">
        <v>120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44</v>
      </c>
      <c r="B4" s="14">
        <f>+B6-B5</f>
        <v>40203.260687250004</v>
      </c>
      <c r="C4" s="14">
        <f>+C6-C5</f>
        <v>41103.602520358967</v>
      </c>
      <c r="D4" s="14">
        <f>+D6-D5</f>
        <v>42229.029811745175</v>
      </c>
      <c r="E4" s="14">
        <f>+E6-E5</f>
        <v>44479.88439451759</v>
      </c>
      <c r="F4" s="14">
        <f>+F6-F5</f>
        <v>46730.738977289999</v>
      </c>
      <c r="G4" s="14">
        <f>+G6-H5</f>
        <v>20860</v>
      </c>
      <c r="H4" s="14">
        <f>+H6-G5</f>
        <v>39440</v>
      </c>
      <c r="I4" s="14">
        <f>+G4-C4+D4</f>
        <v>21985.427291386208</v>
      </c>
      <c r="J4" s="14">
        <f>+H4-C4+D4</f>
        <v>40565.427291386208</v>
      </c>
      <c r="K4" s="14">
        <f>+I4-D4+F4</f>
        <v>26487.136456931032</v>
      </c>
      <c r="L4" s="14">
        <f>+J4-D4+F4</f>
        <v>45067.136456931032</v>
      </c>
      <c r="M4" s="3"/>
      <c r="N4" s="3">
        <v>2</v>
      </c>
    </row>
    <row r="5" spans="1:14" ht="15.75" thickBot="1" x14ac:dyDescent="0.35">
      <c r="A5" s="5" t="s">
        <v>9</v>
      </c>
      <c r="B5" s="14">
        <f>+'Diesel L1'!B5+10575*0.45359237</f>
        <v>15796.73931275</v>
      </c>
      <c r="C5" s="14">
        <f t="shared" ref="C5:E6" si="0">B5+(C$2-B$2)*($F5-$B5)/($F$2-$B$2)</f>
        <v>15448.121617572069</v>
      </c>
      <c r="D5" s="14">
        <f t="shared" si="0"/>
        <v>15012.349498599655</v>
      </c>
      <c r="E5" s="14">
        <f t="shared" si="0"/>
        <v>14140.805260654826</v>
      </c>
      <c r="F5" s="14">
        <f>+B5*[1]Fremskrivninger!B47</f>
        <v>13269.261022709999</v>
      </c>
      <c r="G5" s="14">
        <f>+'Diesel L1'!G5+3400</f>
        <v>13560</v>
      </c>
      <c r="H5" s="14">
        <f>+'Diesel L1'!H5+5100</f>
        <v>19140</v>
      </c>
      <c r="I5" s="14">
        <f>+G5-C5+D5</f>
        <v>13124.227881027586</v>
      </c>
      <c r="J5" s="14">
        <f>+H5-C5+D5</f>
        <v>18704.227881027586</v>
      </c>
      <c r="K5" s="14">
        <f>+I5-D5+F5</f>
        <v>11381.13940513793</v>
      </c>
      <c r="L5" s="14">
        <f>+J5-D5+F5</f>
        <v>16961.139405137932</v>
      </c>
      <c r="M5" s="15"/>
      <c r="N5" s="3">
        <v>2</v>
      </c>
    </row>
    <row r="6" spans="1:14" ht="15.75" thickBot="1" x14ac:dyDescent="0.35">
      <c r="A6" s="5" t="s">
        <v>10</v>
      </c>
      <c r="B6" s="3">
        <v>56000</v>
      </c>
      <c r="C6" s="14">
        <f t="shared" si="0"/>
        <v>56551.724137931036</v>
      </c>
      <c r="D6" s="14">
        <f t="shared" si="0"/>
        <v>57241.379310344826</v>
      </c>
      <c r="E6" s="14">
        <f t="shared" si="0"/>
        <v>58620.689655172413</v>
      </c>
      <c r="F6" s="3">
        <v>60000</v>
      </c>
      <c r="G6" s="3">
        <v>40000</v>
      </c>
      <c r="H6" s="3">
        <v>53000</v>
      </c>
      <c r="I6" s="3">
        <v>42000</v>
      </c>
      <c r="J6" s="3">
        <v>60000</v>
      </c>
      <c r="K6" s="3">
        <v>47000</v>
      </c>
      <c r="L6" s="3">
        <v>74000</v>
      </c>
      <c r="M6" s="15"/>
      <c r="N6" s="3">
        <v>2</v>
      </c>
    </row>
    <row r="7" spans="1:14" ht="15.75" thickBot="1" x14ac:dyDescent="0.35">
      <c r="A7" s="5" t="s">
        <v>11</v>
      </c>
      <c r="B7" s="14">
        <f>[1]Fremskrivninger!$O$3*B4</f>
        <v>17166.79231345575</v>
      </c>
      <c r="C7" s="14">
        <f>[1]Fremskrivninger!$O$3*C4</f>
        <v>17551.238276193279</v>
      </c>
      <c r="D7" s="14">
        <f>[1]Fremskrivninger!$O$3*D4</f>
        <v>18031.795729615191</v>
      </c>
      <c r="E7" s="14">
        <f>[1]Fremskrivninger!$O$3*E4</f>
        <v>18992.910636459012</v>
      </c>
      <c r="F7" s="14">
        <f>[1]Fremskrivninger!$O$3*F4</f>
        <v>19954.025543302829</v>
      </c>
      <c r="G7" s="14">
        <f>+B7/H4*G4</f>
        <v>9079.5965430701544</v>
      </c>
      <c r="H7" s="14">
        <f>+B7/G4*H4</f>
        <v>32457.25258114548</v>
      </c>
      <c r="I7" s="14">
        <f>+D7/J4*I4</f>
        <v>9772.77352704636</v>
      </c>
      <c r="J7" s="14">
        <f>+D7/I4*J4</f>
        <v>33270.560945132005</v>
      </c>
      <c r="K7" s="14">
        <f>+F7/L4*K4</f>
        <v>11727.50343114524</v>
      </c>
      <c r="L7" s="14">
        <f>+F7/K4*L4</f>
        <v>33951.227362284342</v>
      </c>
      <c r="M7" s="3"/>
      <c r="N7" s="3">
        <v>2</v>
      </c>
    </row>
    <row r="8" spans="1:14" ht="15.75" thickBot="1" x14ac:dyDescent="0.35">
      <c r="A8" s="5" t="str">
        <f>+'Diesel L1'!A8</f>
        <v>Fuel tank size (litres)</v>
      </c>
      <c r="B8" s="3">
        <f>+'Diesel L1'!B8</f>
        <v>440</v>
      </c>
      <c r="C8" s="14">
        <f>B8+(C$2-B$2)*($F8-$B8)/($F$2-$B$2)</f>
        <v>427.58620689655174</v>
      </c>
      <c r="D8" s="14">
        <f>C8+(D$2-C$2)*($F8-$B8)/($F$2-$B$2)</f>
        <v>412.06896551724139</v>
      </c>
      <c r="E8" s="14">
        <f>D8+(E$2-D$2)*($F8-$B8)/($F$2-$B$2)</f>
        <v>381.0344827586207</v>
      </c>
      <c r="F8" s="3">
        <v>350</v>
      </c>
      <c r="G8" s="3">
        <f>+B8*0.5</f>
        <v>220</v>
      </c>
      <c r="H8" s="3">
        <f>+B8*2.5</f>
        <v>1100</v>
      </c>
      <c r="I8" s="14">
        <f>+D8*0.5</f>
        <v>206.0344827586207</v>
      </c>
      <c r="J8" s="14">
        <f>+D8*2.5</f>
        <v>1030.1724137931035</v>
      </c>
      <c r="K8" s="14">
        <f>+F8*0.5</f>
        <v>175</v>
      </c>
      <c r="L8" s="14">
        <f>+F8*2.5</f>
        <v>875</v>
      </c>
      <c r="M8" s="3"/>
      <c r="N8" s="3">
        <v>2</v>
      </c>
    </row>
    <row r="9" spans="1:14" ht="15.75" thickBot="1" x14ac:dyDescent="0.35">
      <c r="A9" s="5" t="s">
        <v>13</v>
      </c>
      <c r="B9" s="14">
        <f>+'Diesel L1'!B9</f>
        <v>56</v>
      </c>
      <c r="C9" s="14">
        <f>+'Diesel L1'!C9</f>
        <v>51.03448275862069</v>
      </c>
      <c r="D9" s="14">
        <f>+'Diesel L1'!D9</f>
        <v>44.827586206896555</v>
      </c>
      <c r="E9" s="14">
        <f>+'Diesel L1'!E9</f>
        <v>32.413793103448278</v>
      </c>
      <c r="F9" s="14">
        <f>+'Diesel L1'!F9</f>
        <v>20</v>
      </c>
      <c r="G9" s="3">
        <f>+B9*0.5</f>
        <v>28</v>
      </c>
      <c r="H9" s="3">
        <f>+B9*1.5</f>
        <v>84</v>
      </c>
      <c r="I9" s="14">
        <f>+D9*0.5</f>
        <v>22.413793103448278</v>
      </c>
      <c r="J9" s="14">
        <f>+D9*1.5</f>
        <v>67.241379310344826</v>
      </c>
      <c r="K9" s="14">
        <f>+F9*0.5</f>
        <v>10</v>
      </c>
      <c r="L9" s="14">
        <f>+F9*1.5</f>
        <v>30</v>
      </c>
      <c r="M9" s="3"/>
      <c r="N9" s="3">
        <v>2</v>
      </c>
    </row>
    <row r="10" spans="1:14" ht="15.75" thickBot="1" x14ac:dyDescent="0.35">
      <c r="A10" s="5" t="s">
        <v>105</v>
      </c>
      <c r="B10" s="14">
        <f>+'Diesel L1'!B10</f>
        <v>36000</v>
      </c>
      <c r="C10" s="14">
        <f>+'Diesel L1'!C10</f>
        <v>36000</v>
      </c>
      <c r="D10" s="14">
        <f>+'Diesel L1'!D10</f>
        <v>36000</v>
      </c>
      <c r="E10" s="14">
        <f>+'Diesel L1'!E10</f>
        <v>36000</v>
      </c>
      <c r="F10" s="14">
        <f>+'Diesel L1'!F10</f>
        <v>36000</v>
      </c>
      <c r="G10" s="14">
        <f>+'Diesel L1'!G10</f>
        <v>21000</v>
      </c>
      <c r="H10" s="14">
        <f>+'Diesel L1'!H10</f>
        <v>120000</v>
      </c>
      <c r="I10" s="14">
        <f>+'Diesel L1'!I10</f>
        <v>21000</v>
      </c>
      <c r="J10" s="14">
        <f>+'Diesel L1'!J10</f>
        <v>120000</v>
      </c>
      <c r="K10" s="14">
        <f>+'Diesel L1'!K10</f>
        <v>21000</v>
      </c>
      <c r="L10" s="14">
        <f>+'Diesel L1'!L10</f>
        <v>120000</v>
      </c>
      <c r="M10" s="3"/>
      <c r="N10" s="3">
        <v>2</v>
      </c>
    </row>
    <row r="11" spans="1:14" ht="15.75" thickBot="1" x14ac:dyDescent="0.35">
      <c r="A11" s="5" t="s">
        <v>73</v>
      </c>
      <c r="B11" s="14">
        <f>B8*10/B10*60</f>
        <v>7.333333333333333</v>
      </c>
      <c r="C11" s="14">
        <f t="shared" ref="C11:F11" si="1">C8*10/C10*60</f>
        <v>7.1264367816091951</v>
      </c>
      <c r="D11" s="14">
        <f t="shared" si="1"/>
        <v>6.8678160919540234</v>
      </c>
      <c r="E11" s="14">
        <f t="shared" si="1"/>
        <v>6.3505747126436782</v>
      </c>
      <c r="F11" s="14">
        <f t="shared" si="1"/>
        <v>5.833333333333333</v>
      </c>
      <c r="G11" s="14">
        <f>G8*10/H10*60</f>
        <v>1.1000000000000001</v>
      </c>
      <c r="H11" s="14">
        <f>H8*10/G10*60</f>
        <v>31.428571428571431</v>
      </c>
      <c r="I11" s="14">
        <f>I8*10/J10*60</f>
        <v>1.0301724137931036</v>
      </c>
      <c r="J11" s="14">
        <f>J8*10/I10*60</f>
        <v>29.433497536945811</v>
      </c>
      <c r="K11" s="14">
        <f>K8*10/L10*60</f>
        <v>0.875</v>
      </c>
      <c r="L11" s="14">
        <f>L8*10/K10*60</f>
        <v>25</v>
      </c>
      <c r="M11" s="3"/>
      <c r="N11" s="3">
        <v>2</v>
      </c>
    </row>
    <row r="12" spans="1:14" ht="15.75" thickBot="1" x14ac:dyDescent="0.35">
      <c r="A12" s="5" t="s">
        <v>15</v>
      </c>
      <c r="B12" s="3">
        <v>6</v>
      </c>
      <c r="C12" s="3">
        <v>6</v>
      </c>
      <c r="D12" s="3">
        <v>6</v>
      </c>
      <c r="E12" s="3">
        <v>6</v>
      </c>
      <c r="F12" s="3">
        <v>8</v>
      </c>
      <c r="G12" s="3">
        <v>5</v>
      </c>
      <c r="H12" s="3">
        <v>7</v>
      </c>
      <c r="I12" s="3">
        <v>5</v>
      </c>
      <c r="J12" s="3">
        <v>11</v>
      </c>
      <c r="K12" s="3">
        <v>5</v>
      </c>
      <c r="L12" s="3">
        <v>11</v>
      </c>
      <c r="M12" s="3"/>
      <c r="N12" s="3">
        <v>2</v>
      </c>
    </row>
    <row r="13" spans="1:14" ht="15.75" thickBot="1" x14ac:dyDescent="0.35">
      <c r="A13" s="5" t="s">
        <v>16</v>
      </c>
      <c r="B13" s="3">
        <v>5</v>
      </c>
      <c r="C13" s="3">
        <v>5</v>
      </c>
      <c r="D13" s="3">
        <v>5</v>
      </c>
      <c r="E13" s="3">
        <v>5</v>
      </c>
      <c r="F13" s="3">
        <v>5</v>
      </c>
      <c r="G13" s="3">
        <v>4</v>
      </c>
      <c r="H13" s="3">
        <v>6</v>
      </c>
      <c r="I13" s="3">
        <v>4</v>
      </c>
      <c r="J13" s="3">
        <v>7</v>
      </c>
      <c r="K13" s="3">
        <v>4</v>
      </c>
      <c r="L13" s="3">
        <v>8</v>
      </c>
      <c r="M13" s="3"/>
      <c r="N13" s="3">
        <v>2</v>
      </c>
    </row>
    <row r="14" spans="1:14" ht="15.75" thickBot="1" x14ac:dyDescent="0.35">
      <c r="A14" s="5" t="s">
        <v>17</v>
      </c>
      <c r="B14" s="14">
        <f>520/1.36</f>
        <v>382.35294117647055</v>
      </c>
      <c r="C14" s="14">
        <f>520/1.36</f>
        <v>382.35294117647055</v>
      </c>
      <c r="D14" s="14">
        <f>520/1.36</f>
        <v>382.35294117647055</v>
      </c>
      <c r="E14" s="14">
        <f>520/1.36</f>
        <v>382.35294117647055</v>
      </c>
      <c r="F14" s="14">
        <f>520/1.36</f>
        <v>382.35294117647055</v>
      </c>
      <c r="G14" s="3">
        <v>320</v>
      </c>
      <c r="H14" s="3">
        <v>540</v>
      </c>
      <c r="I14" s="3">
        <v>320</v>
      </c>
      <c r="J14" s="3">
        <v>600</v>
      </c>
      <c r="K14" s="3">
        <v>320</v>
      </c>
      <c r="L14" s="3">
        <v>750</v>
      </c>
      <c r="M14" s="3"/>
      <c r="N14" s="3">
        <v>2</v>
      </c>
    </row>
    <row r="15" spans="1:14" ht="15.75" thickBot="1" x14ac:dyDescent="0.35">
      <c r="A15" s="5" t="s">
        <v>106</v>
      </c>
      <c r="B15" s="3">
        <v>25.25</v>
      </c>
      <c r="C15" s="13">
        <f t="shared" ref="C15:E16" si="2">B15+(C$2-B$2)*($F15-$B15)/($F$2-$B$2)</f>
        <v>25.25</v>
      </c>
      <c r="D15" s="13">
        <f t="shared" si="2"/>
        <v>25.25</v>
      </c>
      <c r="E15" s="13">
        <f t="shared" si="2"/>
        <v>25.25</v>
      </c>
      <c r="F15" s="3">
        <v>25.25</v>
      </c>
      <c r="G15" s="3">
        <v>18</v>
      </c>
      <c r="H15" s="3">
        <v>25.25</v>
      </c>
      <c r="I15" s="3">
        <v>18</v>
      </c>
      <c r="J15" s="3">
        <v>25.25</v>
      </c>
      <c r="K15" s="3">
        <v>18</v>
      </c>
      <c r="L15" s="3">
        <v>34.5</v>
      </c>
      <c r="M15" s="15"/>
      <c r="N15" s="3">
        <v>2</v>
      </c>
    </row>
    <row r="16" spans="1:14" ht="15.75" thickBot="1" x14ac:dyDescent="0.35">
      <c r="A16" s="5" t="s">
        <v>107</v>
      </c>
      <c r="B16" s="3">
        <v>18.75</v>
      </c>
      <c r="C16" s="13">
        <f t="shared" si="2"/>
        <v>19.646551724137932</v>
      </c>
      <c r="D16" s="13">
        <f t="shared" si="2"/>
        <v>20.767241379310345</v>
      </c>
      <c r="E16" s="13">
        <f t="shared" si="2"/>
        <v>23.008620689655174</v>
      </c>
      <c r="F16" s="3">
        <v>25.25</v>
      </c>
      <c r="G16" s="57" t="s">
        <v>111</v>
      </c>
      <c r="H16" s="57" t="s">
        <v>111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15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146</v>
      </c>
      <c r="B19" s="30">
        <f>+Simulations!G14</f>
        <v>0.15283675716652645</v>
      </c>
      <c r="C19" s="31">
        <f t="shared" ref="C19:E21" si="3">B19+(C$2-B$2)*($F19-$B19)/($F$2-$B$2)</f>
        <v>0.15512921790207229</v>
      </c>
      <c r="D19" s="31">
        <f t="shared" si="3"/>
        <v>0.15799479382150461</v>
      </c>
      <c r="E19" s="31">
        <f t="shared" si="3"/>
        <v>0.16372594566036924</v>
      </c>
      <c r="F19" s="31">
        <f>Simulations!G149</f>
        <v>0.16945709749923388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147</v>
      </c>
      <c r="B20" s="30">
        <f>+Simulations!G15</f>
        <v>0.26022630545088293</v>
      </c>
      <c r="C20" s="31">
        <f t="shared" si="3"/>
        <v>0.26373087551125257</v>
      </c>
      <c r="D20" s="31">
        <f t="shared" si="3"/>
        <v>0.26811158808671459</v>
      </c>
      <c r="E20" s="31">
        <f t="shared" si="3"/>
        <v>0.27687301323763863</v>
      </c>
      <c r="F20" s="31">
        <f>Simulations!G150</f>
        <v>0.28563443838856273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148</v>
      </c>
      <c r="B21" s="30">
        <f>+Simulations!G16</f>
        <v>0.34425744822015031</v>
      </c>
      <c r="C21" s="31">
        <f t="shared" si="3"/>
        <v>0.35144355775430081</v>
      </c>
      <c r="D21" s="31">
        <f t="shared" si="3"/>
        <v>0.36042619467198894</v>
      </c>
      <c r="E21" s="31">
        <f t="shared" si="3"/>
        <v>0.37839146850736521</v>
      </c>
      <c r="F21" s="31">
        <f>Simulations!G151</f>
        <v>0.39635674234274154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146</v>
      </c>
      <c r="B23" s="28">
        <f>Simulations!E11</f>
        <v>10.254203005790899</v>
      </c>
      <c r="C23" s="13">
        <f t="shared" ref="C23:E25" si="4">B23+(C$2-B$2)*($F23-$B23)/($F$2-$B$2)</f>
        <v>9.56159558848403</v>
      </c>
      <c r="D23" s="13">
        <f t="shared" si="4"/>
        <v>8.6958363168504427</v>
      </c>
      <c r="E23" s="13">
        <f t="shared" si="4"/>
        <v>6.9643177735832698</v>
      </c>
      <c r="F23" s="13">
        <f>+Simulations!E146</f>
        <v>5.2327992303160977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147</v>
      </c>
      <c r="B24" s="28">
        <f>Simulations!E12</f>
        <v>8.719593096669108</v>
      </c>
      <c r="C24" s="13">
        <f t="shared" si="4"/>
        <v>8.2212060726778766</v>
      </c>
      <c r="D24" s="13">
        <f t="shared" si="4"/>
        <v>7.5982222926888365</v>
      </c>
      <c r="E24" s="13">
        <f t="shared" si="4"/>
        <v>6.3522547327107564</v>
      </c>
      <c r="F24" s="13">
        <f>+Simulations!E147</f>
        <v>5.1062871727326762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148</v>
      </c>
      <c r="B25" s="28">
        <f>Simulations!E13</f>
        <v>8.4819385395005877</v>
      </c>
      <c r="C25" s="13">
        <f t="shared" si="4"/>
        <v>8.0174605322203032</v>
      </c>
      <c r="D25" s="13">
        <f t="shared" si="4"/>
        <v>7.4368630231199475</v>
      </c>
      <c r="E25" s="13">
        <f t="shared" si="4"/>
        <v>6.2756680049192353</v>
      </c>
      <c r="F25" s="13">
        <f>+Simulations!E148</f>
        <v>5.1144729867185221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146</v>
      </c>
      <c r="B27" s="28">
        <f>+Simulations!E17</f>
        <v>19.864838794724353</v>
      </c>
      <c r="C27" s="13">
        <f t="shared" ref="C27:E29" si="5">B27+(C$2-B$2)*($F27-$B27)/($F$2-$B$2)</f>
        <v>18.693748753455491</v>
      </c>
      <c r="D27" s="13">
        <f t="shared" si="5"/>
        <v>17.229886201869412</v>
      </c>
      <c r="E27" s="13">
        <f t="shared" si="5"/>
        <v>14.302161098697256</v>
      </c>
      <c r="F27" s="13">
        <f>Simulations!E149</f>
        <v>11.374435995525102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147</v>
      </c>
      <c r="B28" s="28">
        <f>+Simulations!E18</f>
        <v>16.395754204430194</v>
      </c>
      <c r="C28" s="13">
        <f t="shared" si="5"/>
        <v>15.378282238172282</v>
      </c>
      <c r="D28" s="13">
        <f t="shared" si="5"/>
        <v>14.106442280349894</v>
      </c>
      <c r="E28" s="13">
        <f t="shared" si="5"/>
        <v>11.562762364705115</v>
      </c>
      <c r="F28" s="13">
        <f>Simulations!E150</f>
        <v>9.0190824490603383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148</v>
      </c>
      <c r="B29" s="28">
        <f>+Simulations!E19</f>
        <v>13.547426687798968</v>
      </c>
      <c r="C29" s="13">
        <f t="shared" si="5"/>
        <v>12.720556621293163</v>
      </c>
      <c r="D29" s="13">
        <f t="shared" si="5"/>
        <v>11.686969038160907</v>
      </c>
      <c r="E29" s="13">
        <f t="shared" si="5"/>
        <v>9.6197938718963947</v>
      </c>
      <c r="F29" s="13">
        <f>Simulations!E151</f>
        <v>7.5526187056318816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146</v>
      </c>
      <c r="B31" s="28">
        <f>+Simulations!E14</f>
        <v>15.772049279799049</v>
      </c>
      <c r="C31" s="13">
        <f t="shared" ref="C31:E33" si="6">B31+(C$2-B$2)*($F31-$B31)/($F$2-$B$2)</f>
        <v>15.165481930244022</v>
      </c>
      <c r="D31" s="13">
        <f t="shared" si="6"/>
        <v>14.407272743300238</v>
      </c>
      <c r="E31" s="13">
        <f t="shared" si="6"/>
        <v>12.89085436941267</v>
      </c>
      <c r="F31" s="28">
        <f>Simulations!E149</f>
        <v>11.374435995525102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147</v>
      </c>
      <c r="B32" s="28">
        <f>+Simulations!E15</f>
        <v>12.434105802631525</v>
      </c>
      <c r="C32" s="13">
        <f t="shared" si="6"/>
        <v>11.963068098690671</v>
      </c>
      <c r="D32" s="13">
        <f t="shared" si="6"/>
        <v>11.374270968764606</v>
      </c>
      <c r="E32" s="13">
        <f t="shared" si="6"/>
        <v>10.196676708912472</v>
      </c>
      <c r="F32" s="28">
        <f>Simulations!E150</f>
        <v>9.0190824490603383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8">
        <f>+Simulations!E16</f>
        <v>10.944093307680292</v>
      </c>
      <c r="C33" s="13">
        <f t="shared" si="6"/>
        <v>10.476303707397753</v>
      </c>
      <c r="D33" s="13">
        <f t="shared" si="6"/>
        <v>9.8915667070445785</v>
      </c>
      <c r="E33" s="13">
        <f t="shared" si="6"/>
        <v>8.7220927063382305</v>
      </c>
      <c r="F33" s="28">
        <f>Simulations!E151</f>
        <v>7.5526187056318816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+B$8*[1]Fremskrivninger!$S$6/B23</f>
        <v>1544.7324371337891</v>
      </c>
      <c r="C35" s="14">
        <f>+C$8*[1]Fremskrivninger!$S$6/C23</f>
        <v>1609.8885699386085</v>
      </c>
      <c r="D35" s="14">
        <f>+D$8*[1]Fremskrivninger!$S$6/D23</f>
        <v>1705.9293917337227</v>
      </c>
      <c r="E35" s="14">
        <f>+E$8*[1]Fremskrivninger!$S$6/E23</f>
        <v>1969.6461053718649</v>
      </c>
      <c r="F35" s="14">
        <f>+F$8*[1]Fremskrivninger!$S$6/F23</f>
        <v>2407.8890562057495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+B$8*[1]Fremskrivninger!$S$6/B24</f>
        <v>1816.5985298156738</v>
      </c>
      <c r="C36" s="14">
        <f>+C$8*[1]Fremskrivninger!$S$6/C24</f>
        <v>1872.3656008858441</v>
      </c>
      <c r="D36" s="14">
        <f>+D$8*[1]Fremskrivninger!$S$6/D24</f>
        <v>1952.3623009680475</v>
      </c>
      <c r="E36" s="14">
        <f>+E$8*[1]Fremskrivninger!$S$6/E24</f>
        <v>2159.4287314508651</v>
      </c>
      <c r="F36" s="14">
        <f>+F$8*[1]Fremskrivninger!$S$6/F24</f>
        <v>2467.5462961196904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+B$8*[1]Fremskrivninger!$S$6/B25</f>
        <v>1867.4976158142088</v>
      </c>
      <c r="C37" s="14">
        <f>+C$8*[1]Fremskrivninger!$S$6/C25</f>
        <v>1919.9475178473997</v>
      </c>
      <c r="D37" s="14">
        <f>+D$8*[1]Fremskrivninger!$S$6/D25</f>
        <v>1994.7231396494458</v>
      </c>
      <c r="E37" s="14">
        <f>+E$8*[1]Fremskrivninger!$S$6/E25</f>
        <v>2185.7818751020559</v>
      </c>
      <c r="F37" s="14">
        <f>+F$8*[1]Fremskrivninger!$S$6/F25</f>
        <v>2463.5969400405884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+B$8*[1]Fremskrivninger!$S$6/B27</f>
        <v>797.38880157470703</v>
      </c>
      <c r="C39" s="14">
        <f>+C$8*[1]Fremskrivninger!$S$6/C27</f>
        <v>823.43587962422396</v>
      </c>
      <c r="D39" s="14">
        <f>+D$8*[1]Fremskrivninger!$S$6/D27</f>
        <v>860.97392546975584</v>
      </c>
      <c r="E39" s="14">
        <f>+E$8*[1]Fremskrivninger!$S$6/E27</f>
        <v>959.10270375571486</v>
      </c>
      <c r="F39" s="14">
        <f>+F$8*[1]Fremskrivninger!$S$6/F27</f>
        <v>1107.7472329139709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+B$8*[1]Fremskrivninger!$S$6/B28</f>
        <v>966.10377311706543</v>
      </c>
      <c r="C40" s="14">
        <f>+C$8*[1]Fremskrivninger!$S$6/C28</f>
        <v>1000.9637753992309</v>
      </c>
      <c r="D40" s="14">
        <f>+D$8*[1]Fremskrivninger!$S$6/D28</f>
        <v>1051.6104956729557</v>
      </c>
      <c r="E40" s="14">
        <f>+E$8*[1]Fremskrivninger!$S$6/E28</f>
        <v>1186.3290921883593</v>
      </c>
      <c r="F40" s="14">
        <f>+F$8*[1]Fremskrivninger!$S$6/F28</f>
        <v>1397.0378994941711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+B$8*[1]Fremskrivninger!$S$6/B29</f>
        <v>1169.2257404327393</v>
      </c>
      <c r="C41" s="14">
        <f>+C$8*[1]Fremskrivninger!$S$6/C29</f>
        <v>1210.0966888908836</v>
      </c>
      <c r="D41" s="14">
        <f>+D$8*[1]Fremskrivninger!$S$6/D29</f>
        <v>1269.318221874496</v>
      </c>
      <c r="E41" s="14">
        <f>+E$8*[1]Fremskrivninger!$S$6/E29</f>
        <v>1425.9392209415607</v>
      </c>
      <c r="F41" s="14">
        <f>+F$8*[1]Fremskrivninger!$S$6/F29</f>
        <v>1668.2955265045166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+B$8*[1]Fremskrivninger!$S$6/B31</f>
        <v>1004.3083000183104</v>
      </c>
      <c r="C43" s="14">
        <f>+C$8*[1]Fremskrivninger!$S$6/C31</f>
        <v>1015.0091846127159</v>
      </c>
      <c r="D43" s="14">
        <f>+D$8*[1]Fremskrivninger!$S$6/D31</f>
        <v>1029.6523861894068</v>
      </c>
      <c r="E43" s="14">
        <f>+E$8*[1]Fremskrivninger!$S$6/E31</f>
        <v>1064.106457664941</v>
      </c>
      <c r="F43" s="14">
        <f>+F$8*[1]Fremskrivninger!$S$6/F31</f>
        <v>1107.7472329139709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+B$8*[1]Fremskrivninger!$S$6/B32</f>
        <v>1273.915491104126</v>
      </c>
      <c r="C44" s="14">
        <f>+C$8*[1]Fremskrivninger!$S$6/C32</f>
        <v>1286.7187013639586</v>
      </c>
      <c r="D44" s="14">
        <f>+D$8*[1]Fremskrivninger!$S$6/D32</f>
        <v>1304.2139403358974</v>
      </c>
      <c r="E44" s="14">
        <f>+E$8*[1]Fremskrivninger!$S$6/E32</f>
        <v>1345.2658911232029</v>
      </c>
      <c r="F44" s="14">
        <f>+F$8*[1]Fremskrivninger!$S$6/F32</f>
        <v>1397.0378994941711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+B$8*[1]Fremskrivninger!$S$6/B33</f>
        <v>1447.3560810089111</v>
      </c>
      <c r="C45" s="14">
        <f>+C$8*[1]Fremskrivninger!$S$6/C33</f>
        <v>1469.3258116797581</v>
      </c>
      <c r="D45" s="14">
        <f>+D$8*[1]Fremskrivninger!$S$6/D33</f>
        <v>1499.7101266127906</v>
      </c>
      <c r="E45" s="14">
        <f>+E$8*[1]Fremskrivninger!$S$6/E33</f>
        <v>1572.7007085515388</v>
      </c>
      <c r="F45" s="14">
        <f>+F$8*[1]Fremskrivninger!$S$6/F33</f>
        <v>1668.2955265045166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14">
        <f>B31*[1]Fremskrivninger!$S$10</f>
        <v>1175.0176713450292</v>
      </c>
      <c r="C48" s="14">
        <f>C31*[1]Fremskrivninger!$S$10</f>
        <v>1129.8284038031798</v>
      </c>
      <c r="D48" s="14">
        <f>D31*[1]Fremskrivninger!$S$10</f>
        <v>1073.3418193758678</v>
      </c>
      <c r="E48" s="14">
        <f>E31*[1]Fremskrivninger!$S$10</f>
        <v>960.36865052124392</v>
      </c>
      <c r="F48" s="14">
        <f>F31*[1]Fremskrivninger!$S$10</f>
        <v>847.39548166662019</v>
      </c>
      <c r="G48" s="57" t="s">
        <v>111</v>
      </c>
      <c r="H48" s="57" t="s">
        <v>111</v>
      </c>
      <c r="I48" s="57" t="s">
        <v>111</v>
      </c>
      <c r="J48" s="57" t="s">
        <v>111</v>
      </c>
      <c r="K48" s="57" t="s">
        <v>111</v>
      </c>
      <c r="L48" s="57" t="s">
        <v>111</v>
      </c>
      <c r="M48" s="3"/>
      <c r="N48" s="15">
        <v>3</v>
      </c>
    </row>
    <row r="49" spans="1:14" ht="15.75" thickBot="1" x14ac:dyDescent="0.35">
      <c r="A49" s="5" t="s">
        <v>23</v>
      </c>
      <c r="B49" s="13">
        <f>0.0075*B7/1000</f>
        <v>0.12875094235091811</v>
      </c>
      <c r="C49" s="13">
        <f t="shared" ref="C49:E52" si="7">B49+(C$2-B$2)*($F49-$B49)/($F$2-$B$2)</f>
        <v>0.12379939062361438</v>
      </c>
      <c r="D49" s="13">
        <f t="shared" si="7"/>
        <v>0.11760995096448472</v>
      </c>
      <c r="E49" s="13">
        <f t="shared" si="7"/>
        <v>0.1052310716462254</v>
      </c>
      <c r="F49" s="16">
        <f>+B49*F48/B48</f>
        <v>9.2852192327966085E-2</v>
      </c>
      <c r="G49" s="57" t="s">
        <v>111</v>
      </c>
      <c r="H49" s="57" t="s">
        <v>111</v>
      </c>
      <c r="I49" s="57" t="s">
        <v>111</v>
      </c>
      <c r="J49" s="57" t="s">
        <v>111</v>
      </c>
      <c r="K49" s="57" t="s">
        <v>111</v>
      </c>
      <c r="L49" s="57" t="s">
        <v>111</v>
      </c>
      <c r="M49" s="3"/>
      <c r="N49" s="15">
        <v>3</v>
      </c>
    </row>
    <row r="50" spans="1:14" ht="15.75" thickBot="1" x14ac:dyDescent="0.35">
      <c r="A50" s="5" t="s">
        <v>24</v>
      </c>
      <c r="B50" s="13">
        <f>0.7*B31/3.6*B19</f>
        <v>0.46871783501572073</v>
      </c>
      <c r="C50" s="13">
        <f t="shared" si="7"/>
        <v>0.45069170982228751</v>
      </c>
      <c r="D50" s="13">
        <f t="shared" si="7"/>
        <v>0.42815905333049598</v>
      </c>
      <c r="E50" s="13">
        <f t="shared" si="7"/>
        <v>0.3830937403469129</v>
      </c>
      <c r="F50" s="13">
        <f>+B50*F48/B48</f>
        <v>0.33802842736332978</v>
      </c>
      <c r="G50" s="57" t="s">
        <v>111</v>
      </c>
      <c r="H50" s="57" t="s">
        <v>111</v>
      </c>
      <c r="I50" s="57" t="s">
        <v>111</v>
      </c>
      <c r="J50" s="57" t="s">
        <v>111</v>
      </c>
      <c r="K50" s="57" t="s">
        <v>111</v>
      </c>
      <c r="L50" s="57" t="s">
        <v>111</v>
      </c>
      <c r="M50" s="3"/>
      <c r="N50" s="15">
        <v>3</v>
      </c>
    </row>
    <row r="51" spans="1:14" ht="15.75" thickBot="1" x14ac:dyDescent="0.35">
      <c r="A51" s="5" t="s">
        <v>25</v>
      </c>
      <c r="B51" s="16">
        <f>0.00094*B7/1000</f>
        <v>1.6136784774648406E-2</v>
      </c>
      <c r="C51" s="16">
        <f t="shared" si="7"/>
        <v>1.5516190291493006E-2</v>
      </c>
      <c r="D51" s="16">
        <f t="shared" si="7"/>
        <v>1.4740447187548755E-2</v>
      </c>
      <c r="E51" s="16">
        <f t="shared" si="7"/>
        <v>1.3188960979660254E-2</v>
      </c>
      <c r="F51" s="16">
        <f>+B51*F48/B48</f>
        <v>1.1637474771771752E-2</v>
      </c>
      <c r="G51" s="57" t="s">
        <v>111</v>
      </c>
      <c r="H51" s="57" t="s">
        <v>111</v>
      </c>
      <c r="I51" s="57" t="s">
        <v>111</v>
      </c>
      <c r="J51" s="57" t="s">
        <v>111</v>
      </c>
      <c r="K51" s="57" t="s">
        <v>111</v>
      </c>
      <c r="L51" s="57" t="s">
        <v>111</v>
      </c>
      <c r="M51" s="3"/>
      <c r="N51" s="15">
        <v>3</v>
      </c>
    </row>
    <row r="52" spans="1:14" ht="15.75" thickBot="1" x14ac:dyDescent="0.35">
      <c r="A52" s="5" t="s">
        <v>26</v>
      </c>
      <c r="B52" s="16">
        <f>0.0019*B7/1000</f>
        <v>3.2616905395565922E-2</v>
      </c>
      <c r="C52" s="13">
        <f t="shared" si="7"/>
        <v>3.1362512291315647E-2</v>
      </c>
      <c r="D52" s="13">
        <f t="shared" si="7"/>
        <v>2.9794520911002802E-2</v>
      </c>
      <c r="E52" s="13">
        <f t="shared" si="7"/>
        <v>2.6658538150377109E-2</v>
      </c>
      <c r="F52" s="16">
        <f>+B52*F48/B48</f>
        <v>2.3522555389751412E-2</v>
      </c>
      <c r="G52" s="59" t="s">
        <v>111</v>
      </c>
      <c r="H52" s="59" t="s">
        <v>111</v>
      </c>
      <c r="I52" s="59" t="s">
        <v>111</v>
      </c>
      <c r="J52" s="59" t="s">
        <v>111</v>
      </c>
      <c r="K52" s="59" t="s">
        <v>111</v>
      </c>
      <c r="L52" s="59" t="s">
        <v>111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14">
        <f>B32*[1]Fremskrivninger!$S$10</f>
        <v>926.34088229604856</v>
      </c>
      <c r="C54" s="14">
        <f>C32*[1]Fremskrivninger!$S$10</f>
        <v>891.24857335245497</v>
      </c>
      <c r="D54" s="14">
        <f>D32*[1]Fremskrivninger!$S$10</f>
        <v>847.38318717296306</v>
      </c>
      <c r="E54" s="14">
        <f>E32*[1]Fremskrivninger!$S$10</f>
        <v>759.65241481397914</v>
      </c>
      <c r="F54" s="14">
        <f>F32*[1]Fremskrivninger!$S$10</f>
        <v>671.92164245499521</v>
      </c>
      <c r="G54" s="57" t="s">
        <v>111</v>
      </c>
      <c r="H54" s="57" t="s">
        <v>111</v>
      </c>
      <c r="I54" s="57" t="s">
        <v>111</v>
      </c>
      <c r="J54" s="57" t="s">
        <v>111</v>
      </c>
      <c r="K54" s="57" t="s">
        <v>111</v>
      </c>
      <c r="L54" s="57" t="s">
        <v>111</v>
      </c>
      <c r="M54" s="3"/>
      <c r="N54" s="15">
        <v>3</v>
      </c>
    </row>
    <row r="55" spans="1:14" ht="15.75" thickBot="1" x14ac:dyDescent="0.35">
      <c r="A55" s="5" t="s">
        <v>23</v>
      </c>
      <c r="B55" s="16">
        <f>0.002*B32</f>
        <v>2.4868211605263049E-2</v>
      </c>
      <c r="C55" s="13">
        <f t="shared" ref="C55:E58" si="8">B55+(C$2-B$2)*($F55-$B55)/($F$2-$B$2)</f>
        <v>2.3926136197381341E-2</v>
      </c>
      <c r="D55" s="13">
        <f t="shared" si="8"/>
        <v>2.2748541937529208E-2</v>
      </c>
      <c r="E55" s="13">
        <f t="shared" si="8"/>
        <v>2.0393353417824941E-2</v>
      </c>
      <c r="F55" s="16">
        <f>+B55*F54/B54</f>
        <v>1.8038164898120677E-2</v>
      </c>
      <c r="G55" s="57" t="s">
        <v>111</v>
      </c>
      <c r="H55" s="57" t="s">
        <v>111</v>
      </c>
      <c r="I55" s="57" t="s">
        <v>111</v>
      </c>
      <c r="J55" s="57" t="s">
        <v>111</v>
      </c>
      <c r="K55" s="57" t="s">
        <v>111</v>
      </c>
      <c r="L55" s="57" t="s">
        <v>111</v>
      </c>
      <c r="M55" s="3"/>
      <c r="N55" s="15">
        <v>3</v>
      </c>
    </row>
    <row r="56" spans="1:14" ht="15.75" thickBot="1" x14ac:dyDescent="0.35">
      <c r="A56" s="5" t="s">
        <v>24</v>
      </c>
      <c r="B56" s="20">
        <f>0.5*B32/3.6*B19/100</f>
        <v>2.6394283460273501E-3</v>
      </c>
      <c r="C56" s="13">
        <f t="shared" si="8"/>
        <v>2.5394396305086189E-3</v>
      </c>
      <c r="D56" s="13">
        <f t="shared" si="8"/>
        <v>2.4144537361102053E-3</v>
      </c>
      <c r="E56" s="13">
        <f t="shared" si="8"/>
        <v>2.1644819473133777E-3</v>
      </c>
      <c r="F56" s="20">
        <f>+B56*F55/B55</f>
        <v>1.9145101585165498E-3</v>
      </c>
      <c r="G56" s="57" t="s">
        <v>111</v>
      </c>
      <c r="H56" s="57" t="s">
        <v>111</v>
      </c>
      <c r="I56" s="57" t="s">
        <v>111</v>
      </c>
      <c r="J56" s="57" t="s">
        <v>111</v>
      </c>
      <c r="K56" s="57" t="s">
        <v>111</v>
      </c>
      <c r="L56" s="57" t="s">
        <v>111</v>
      </c>
      <c r="M56" s="3"/>
      <c r="N56" s="15">
        <v>3</v>
      </c>
    </row>
    <row r="57" spans="1:14" ht="15.75" thickBot="1" x14ac:dyDescent="0.35">
      <c r="A57" s="5" t="s">
        <v>25</v>
      </c>
      <c r="B57" s="16">
        <f>0.000252*B32</f>
        <v>3.1333946622631443E-3</v>
      </c>
      <c r="C57" s="13">
        <f t="shared" si="8"/>
        <v>3.0146931608700492E-3</v>
      </c>
      <c r="D57" s="13">
        <f t="shared" si="8"/>
        <v>2.8663162841286805E-3</v>
      </c>
      <c r="E57" s="13">
        <f t="shared" si="8"/>
        <v>2.569562530645943E-3</v>
      </c>
      <c r="F57" s="20">
        <f>+B57*F56/B56</f>
        <v>2.2728087771632056E-3</v>
      </c>
      <c r="G57" s="57" t="s">
        <v>111</v>
      </c>
      <c r="H57" s="57" t="s">
        <v>111</v>
      </c>
      <c r="I57" s="57" t="s">
        <v>111</v>
      </c>
      <c r="J57" s="57" t="s">
        <v>111</v>
      </c>
      <c r="K57" s="57" t="s">
        <v>111</v>
      </c>
      <c r="L57" s="57" t="s">
        <v>111</v>
      </c>
      <c r="M57" s="3"/>
      <c r="N57" s="15">
        <v>3</v>
      </c>
    </row>
    <row r="58" spans="1:14" ht="15.75" thickBot="1" x14ac:dyDescent="0.35">
      <c r="A58" s="5" t="s">
        <v>29</v>
      </c>
      <c r="B58" s="16">
        <f>0.00052*B32</f>
        <v>6.4657350173683925E-3</v>
      </c>
      <c r="C58" s="13">
        <f t="shared" si="8"/>
        <v>6.2207954113191492E-3</v>
      </c>
      <c r="D58" s="13">
        <f t="shared" si="8"/>
        <v>5.9146209037575946E-3</v>
      </c>
      <c r="E58" s="13">
        <f t="shared" si="8"/>
        <v>5.3022718886344853E-3</v>
      </c>
      <c r="F58" s="16">
        <f>+B58*F57/B57</f>
        <v>4.6899228735113761E-3</v>
      </c>
      <c r="G58" s="59" t="s">
        <v>111</v>
      </c>
      <c r="H58" s="59" t="s">
        <v>111</v>
      </c>
      <c r="I58" s="59" t="s">
        <v>111</v>
      </c>
      <c r="J58" s="59" t="s">
        <v>111</v>
      </c>
      <c r="K58" s="59" t="s">
        <v>111</v>
      </c>
      <c r="L58" s="59" t="s">
        <v>111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14">
        <f>B33*[1]Fremskrivninger!$S$10</f>
        <v>815.3349514221818</v>
      </c>
      <c r="C60" s="14">
        <f>C33*[1]Fremskrivninger!$S$10</f>
        <v>780.48462620113253</v>
      </c>
      <c r="D60" s="14">
        <f>D33*[1]Fremskrivninger!$S$10</f>
        <v>736.92171967482113</v>
      </c>
      <c r="E60" s="14">
        <f>E33*[1]Fremskrivninger!$S$10</f>
        <v>649.79590662219812</v>
      </c>
      <c r="F60" s="14">
        <f>F33*[1]Fremskrivninger!$S$10</f>
        <v>562.67009356957522</v>
      </c>
      <c r="G60" s="57" t="s">
        <v>111</v>
      </c>
      <c r="H60" s="57" t="s">
        <v>111</v>
      </c>
      <c r="I60" s="57" t="s">
        <v>111</v>
      </c>
      <c r="J60" s="57" t="s">
        <v>111</v>
      </c>
      <c r="K60" s="57" t="s">
        <v>111</v>
      </c>
      <c r="L60" s="57" t="s">
        <v>111</v>
      </c>
      <c r="M60" s="3"/>
      <c r="N60" s="15">
        <v>3</v>
      </c>
    </row>
    <row r="61" spans="1:14" ht="15.75" thickBot="1" x14ac:dyDescent="0.35">
      <c r="A61" s="8" t="s">
        <v>32</v>
      </c>
      <c r="B61" s="13">
        <f>0.049/[1]Fremskrivninger!S7</f>
        <v>3.0447188419629363E-2</v>
      </c>
      <c r="C61" s="13">
        <f t="shared" ref="C61:E64" si="9">B61+(C$2-B$2)*($F61-$B61)/($F$2-$B$2)</f>
        <v>2.9145766940469432E-2</v>
      </c>
      <c r="D61" s="13">
        <f t="shared" si="9"/>
        <v>2.7518990091519518E-2</v>
      </c>
      <c r="E61" s="13">
        <f t="shared" si="9"/>
        <v>2.426543639361969E-2</v>
      </c>
      <c r="F61" s="16">
        <f>+B61*F60/B60</f>
        <v>2.1011882695719866E-2</v>
      </c>
      <c r="G61" s="57" t="s">
        <v>111</v>
      </c>
      <c r="H61" s="57" t="s">
        <v>111</v>
      </c>
      <c r="I61" s="57" t="s">
        <v>111</v>
      </c>
      <c r="J61" s="57" t="s">
        <v>111</v>
      </c>
      <c r="K61" s="57" t="s">
        <v>111</v>
      </c>
      <c r="L61" s="57" t="s">
        <v>111</v>
      </c>
      <c r="M61" s="3"/>
      <c r="N61" s="15">
        <v>3</v>
      </c>
    </row>
    <row r="62" spans="1:14" ht="15.75" thickBot="1" x14ac:dyDescent="0.35">
      <c r="A62" s="8" t="s">
        <v>33</v>
      </c>
      <c r="B62" s="20">
        <f>0.2*B33/[1]Fremskrivninger!S9*B19/100</f>
        <v>9.2925540626318903E-4</v>
      </c>
      <c r="C62" s="20">
        <f t="shared" si="9"/>
        <v>8.8953571429462855E-4</v>
      </c>
      <c r="D62" s="20">
        <f t="shared" si="9"/>
        <v>8.3988609933392789E-4</v>
      </c>
      <c r="E62" s="20">
        <f t="shared" si="9"/>
        <v>7.4058686941252656E-4</v>
      </c>
      <c r="F62" s="20">
        <f>+B62*F61/B61</f>
        <v>6.4128763949112513E-4</v>
      </c>
      <c r="G62" s="57" t="s">
        <v>111</v>
      </c>
      <c r="H62" s="57" t="s">
        <v>111</v>
      </c>
      <c r="I62" s="57" t="s">
        <v>111</v>
      </c>
      <c r="J62" s="57" t="s">
        <v>111</v>
      </c>
      <c r="K62" s="57" t="s">
        <v>111</v>
      </c>
      <c r="L62" s="57" t="s">
        <v>111</v>
      </c>
      <c r="M62" s="3"/>
      <c r="N62" s="15">
        <v>3</v>
      </c>
    </row>
    <row r="63" spans="1:14" ht="15.75" thickBot="1" x14ac:dyDescent="0.35">
      <c r="A63" s="8" t="s">
        <v>34</v>
      </c>
      <c r="B63" s="16">
        <f>0.0053/[1]Fremskrivninger!S7</f>
        <v>3.2932673188578697E-3</v>
      </c>
      <c r="C63" s="16">
        <f t="shared" si="9"/>
        <v>3.1525013221324078E-3</v>
      </c>
      <c r="D63" s="16">
        <f t="shared" si="9"/>
        <v>2.9765438262255805E-3</v>
      </c>
      <c r="E63" s="16">
        <f t="shared" si="9"/>
        <v>2.6246288344119258E-3</v>
      </c>
      <c r="F63" s="20">
        <f>+B63*F62/B62</f>
        <v>2.2727138425982711E-3</v>
      </c>
      <c r="G63" s="57" t="s">
        <v>111</v>
      </c>
      <c r="H63" s="57" t="s">
        <v>111</v>
      </c>
      <c r="I63" s="57" t="s">
        <v>111</v>
      </c>
      <c r="J63" s="57" t="s">
        <v>111</v>
      </c>
      <c r="K63" s="57" t="s">
        <v>111</v>
      </c>
      <c r="L63" s="57" t="s">
        <v>111</v>
      </c>
      <c r="M63" s="3"/>
      <c r="N63" s="3">
        <v>3</v>
      </c>
    </row>
    <row r="64" spans="1:14" ht="15.75" thickBot="1" x14ac:dyDescent="0.35">
      <c r="A64" s="8" t="s">
        <v>35</v>
      </c>
      <c r="B64" s="13">
        <f>0.016/[1]Fremskrivninger!S7</f>
        <v>9.9419390757973427E-3</v>
      </c>
      <c r="C64" s="13">
        <f t="shared" si="9"/>
        <v>9.51698512341859E-3</v>
      </c>
      <c r="D64" s="13">
        <f t="shared" si="9"/>
        <v>8.9857926829451495E-3</v>
      </c>
      <c r="E64" s="13">
        <f t="shared" si="9"/>
        <v>7.9234078019982668E-3</v>
      </c>
      <c r="F64" s="16">
        <f>+B64*F63/B63</f>
        <v>6.8610229210513841E-3</v>
      </c>
      <c r="G64" s="59" t="s">
        <v>111</v>
      </c>
      <c r="H64" s="59" t="s">
        <v>111</v>
      </c>
      <c r="I64" s="59" t="s">
        <v>111</v>
      </c>
      <c r="J64" s="59" t="s">
        <v>111</v>
      </c>
      <c r="K64" s="59" t="s">
        <v>111</v>
      </c>
      <c r="L64" s="59" t="s">
        <v>111</v>
      </c>
      <c r="M64" s="3"/>
      <c r="N64" s="3">
        <v>3</v>
      </c>
    </row>
    <row r="65" spans="1:14" ht="15.75" thickBot="1" x14ac:dyDescent="0.35">
      <c r="A65" s="5" t="s">
        <v>53</v>
      </c>
      <c r="B65" s="46">
        <v>57.59</v>
      </c>
      <c r="C65" s="46">
        <v>57.59</v>
      </c>
      <c r="D65" s="46">
        <v>57.59</v>
      </c>
      <c r="E65" s="46">
        <v>57.59</v>
      </c>
      <c r="F65" s="46">
        <v>57.59</v>
      </c>
      <c r="G65" s="59" t="s">
        <v>111</v>
      </c>
      <c r="H65" s="59" t="s">
        <v>111</v>
      </c>
      <c r="I65" s="59" t="s">
        <v>111</v>
      </c>
      <c r="J65" s="59" t="s">
        <v>111</v>
      </c>
      <c r="K65" s="59" t="s">
        <v>111</v>
      </c>
      <c r="L65" s="59" t="s">
        <v>111</v>
      </c>
      <c r="M65" s="3"/>
      <c r="N65" s="3">
        <v>3</v>
      </c>
    </row>
    <row r="66" spans="1:14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4" ht="15.75" thickBot="1" x14ac:dyDescent="0.35">
      <c r="A67" s="5" t="s">
        <v>37</v>
      </c>
      <c r="B67" s="3">
        <v>13.8</v>
      </c>
      <c r="C67" s="3">
        <v>13.8</v>
      </c>
      <c r="D67" s="3">
        <v>13.8</v>
      </c>
      <c r="E67" s="3">
        <v>13.8</v>
      </c>
      <c r="F67" s="3">
        <v>13.8</v>
      </c>
      <c r="G67" s="3">
        <v>8</v>
      </c>
      <c r="H67" s="3">
        <v>20</v>
      </c>
      <c r="I67" s="57" t="s">
        <v>111</v>
      </c>
      <c r="J67" s="57" t="s">
        <v>111</v>
      </c>
      <c r="K67" s="57" t="s">
        <v>111</v>
      </c>
      <c r="L67" s="57" t="s">
        <v>111</v>
      </c>
      <c r="M67" s="3"/>
      <c r="N67" s="15">
        <v>4</v>
      </c>
    </row>
    <row r="68" spans="1:14" ht="15.75" thickBot="1" x14ac:dyDescent="0.35">
      <c r="A68" s="5" t="s">
        <v>38</v>
      </c>
      <c r="B68" s="3">
        <f>'Diesel L1'!B68</f>
        <v>2</v>
      </c>
      <c r="C68" s="3">
        <f>'Diesel L1'!C68</f>
        <v>2</v>
      </c>
      <c r="D68" s="3">
        <f>'Diesel L1'!D68</f>
        <v>2</v>
      </c>
      <c r="E68" s="3">
        <f>'Diesel L1'!E68</f>
        <v>2</v>
      </c>
      <c r="F68" s="3">
        <f>'Diesel L1'!F68</f>
        <v>2</v>
      </c>
      <c r="G68" s="3">
        <f>'Diesel L1'!G68</f>
        <v>1</v>
      </c>
      <c r="H68" s="3">
        <f>'Diesel L1'!H68</f>
        <v>6</v>
      </c>
      <c r="I68" s="57" t="s">
        <v>111</v>
      </c>
      <c r="J68" s="57" t="s">
        <v>111</v>
      </c>
      <c r="K68" s="57" t="s">
        <v>111</v>
      </c>
      <c r="L68" s="57" t="s">
        <v>111</v>
      </c>
      <c r="M68" s="3"/>
      <c r="N68" s="15">
        <v>4</v>
      </c>
    </row>
    <row r="69" spans="1:14" ht="15.75" thickBot="1" x14ac:dyDescent="0.35">
      <c r="A69" s="5" t="s">
        <v>39</v>
      </c>
      <c r="B69" s="3">
        <v>656856</v>
      </c>
      <c r="C69" s="3">
        <v>656856</v>
      </c>
      <c r="D69" s="3">
        <v>656856</v>
      </c>
      <c r="E69" s="3">
        <v>656856</v>
      </c>
      <c r="F69" s="3">
        <v>656856</v>
      </c>
      <c r="G69" s="3">
        <v>400000</v>
      </c>
      <c r="H69" s="3">
        <v>1500000</v>
      </c>
      <c r="I69" s="57" t="s">
        <v>111</v>
      </c>
      <c r="J69" s="57" t="s">
        <v>111</v>
      </c>
      <c r="K69" s="57" t="s">
        <v>111</v>
      </c>
      <c r="L69" s="57" t="s">
        <v>111</v>
      </c>
      <c r="M69" s="3"/>
      <c r="N69" s="15">
        <v>4</v>
      </c>
    </row>
    <row r="70" spans="1:14" ht="15.75" thickBot="1" x14ac:dyDescent="0.35">
      <c r="A70" s="5" t="s">
        <v>40</v>
      </c>
      <c r="B70" s="14">
        <f t="shared" ref="B70:H70" si="10">B69/7</f>
        <v>93836.571428571435</v>
      </c>
      <c r="C70" s="14">
        <f t="shared" si="10"/>
        <v>93836.571428571435</v>
      </c>
      <c r="D70" s="14">
        <f t="shared" si="10"/>
        <v>93836.571428571435</v>
      </c>
      <c r="E70" s="14">
        <f t="shared" si="10"/>
        <v>93836.571428571435</v>
      </c>
      <c r="F70" s="14">
        <f t="shared" si="10"/>
        <v>93836.571428571435</v>
      </c>
      <c r="G70" s="14">
        <f t="shared" si="10"/>
        <v>57142.857142857145</v>
      </c>
      <c r="H70" s="14">
        <f t="shared" si="10"/>
        <v>214285.71428571429</v>
      </c>
      <c r="I70" s="57" t="s">
        <v>111</v>
      </c>
      <c r="J70" s="57" t="s">
        <v>111</v>
      </c>
      <c r="K70" s="57" t="s">
        <v>111</v>
      </c>
      <c r="L70" s="57" t="s">
        <v>111</v>
      </c>
      <c r="M70" s="15"/>
      <c r="N70" s="15">
        <v>4</v>
      </c>
    </row>
    <row r="71" spans="1:14" ht="15.75" thickBot="1" x14ac:dyDescent="0.35">
      <c r="A71" s="5" t="s">
        <v>41</v>
      </c>
      <c r="B71" s="14">
        <f>1500000/7.52</f>
        <v>199468.08510638299</v>
      </c>
      <c r="C71" s="14">
        <f>1500000/7.52</f>
        <v>199468.08510638299</v>
      </c>
      <c r="D71" s="14">
        <f>1500000/7.52</f>
        <v>199468.08510638299</v>
      </c>
      <c r="E71" s="14">
        <f>1500000/7.52</f>
        <v>199468.08510638299</v>
      </c>
      <c r="F71" s="14">
        <f>1500000/7.52</f>
        <v>199468.08510638299</v>
      </c>
      <c r="G71" s="57" t="s">
        <v>111</v>
      </c>
      <c r="H71" s="57" t="s">
        <v>111</v>
      </c>
      <c r="I71" s="57" t="s">
        <v>111</v>
      </c>
      <c r="J71" s="57" t="s">
        <v>111</v>
      </c>
      <c r="K71" s="57" t="s">
        <v>111</v>
      </c>
      <c r="L71" s="57" t="s">
        <v>111</v>
      </c>
      <c r="M71" s="15"/>
      <c r="N71" s="15">
        <v>4</v>
      </c>
    </row>
    <row r="72" spans="1:14" ht="15.75" thickBot="1" x14ac:dyDescent="0.35">
      <c r="A72" s="60" t="str">
        <f>'Diesel L1'!A72</f>
        <v>-           Cost of 24V battery</v>
      </c>
      <c r="B72" s="3">
        <f>+'Diesel L1'!B72</f>
        <v>300</v>
      </c>
      <c r="C72" s="3">
        <f>+'Diesel L1'!C72</f>
        <v>300</v>
      </c>
      <c r="D72" s="3">
        <f>+'Diesel L1'!D72</f>
        <v>300</v>
      </c>
      <c r="E72" s="3">
        <f>+'Diesel L1'!E72</f>
        <v>300</v>
      </c>
      <c r="F72" s="3">
        <f>+'Diesel L1'!F72</f>
        <v>300</v>
      </c>
      <c r="G72" s="57" t="s">
        <v>111</v>
      </c>
      <c r="H72" s="57" t="s">
        <v>111</v>
      </c>
      <c r="I72" s="57" t="s">
        <v>111</v>
      </c>
      <c r="J72" s="57" t="s">
        <v>111</v>
      </c>
      <c r="K72" s="57" t="s">
        <v>111</v>
      </c>
      <c r="L72" s="57" t="s">
        <v>111</v>
      </c>
      <c r="M72" s="3"/>
      <c r="N72" s="15">
        <v>4</v>
      </c>
    </row>
    <row r="73" spans="1:14" ht="15.75" thickBot="1" x14ac:dyDescent="0.35">
      <c r="A73" s="5" t="s">
        <v>137</v>
      </c>
      <c r="B73" s="3">
        <f>+'Diesel L1'!B73</f>
        <v>33000</v>
      </c>
      <c r="C73" s="3">
        <f>+'Diesel L1'!C73</f>
        <v>33000</v>
      </c>
      <c r="D73" s="3">
        <f>+'Diesel L1'!D73</f>
        <v>33000</v>
      </c>
      <c r="E73" s="3">
        <f>+'Diesel L1'!E73</f>
        <v>33000</v>
      </c>
      <c r="F73" s="3">
        <f>+'Diesel L1'!F73</f>
        <v>33000</v>
      </c>
      <c r="G73" s="57" t="s">
        <v>111</v>
      </c>
      <c r="H73" s="57" t="s">
        <v>111</v>
      </c>
      <c r="I73" s="57" t="s">
        <v>111</v>
      </c>
      <c r="J73" s="57" t="s">
        <v>111</v>
      </c>
      <c r="K73" s="57" t="s">
        <v>111</v>
      </c>
      <c r="L73" s="57" t="s">
        <v>111</v>
      </c>
      <c r="M73" s="3"/>
      <c r="N73" s="15">
        <v>4</v>
      </c>
    </row>
    <row r="74" spans="1:14" ht="15.75" thickBot="1" x14ac:dyDescent="0.35">
      <c r="A74" s="5" t="s">
        <v>113</v>
      </c>
      <c r="B74" s="14">
        <v>7200</v>
      </c>
      <c r="C74" s="14">
        <v>7200</v>
      </c>
      <c r="D74" s="14">
        <v>7200</v>
      </c>
      <c r="E74" s="14">
        <v>7200</v>
      </c>
      <c r="F74" s="14">
        <v>7200</v>
      </c>
      <c r="G74" s="57" t="s">
        <v>111</v>
      </c>
      <c r="H74" s="57" t="s">
        <v>111</v>
      </c>
      <c r="I74" s="57" t="s">
        <v>111</v>
      </c>
      <c r="J74" s="57" t="s">
        <v>111</v>
      </c>
      <c r="K74" s="57" t="s">
        <v>111</v>
      </c>
      <c r="L74" s="57" t="s">
        <v>111</v>
      </c>
      <c r="M74" s="3"/>
      <c r="N74" s="15">
        <v>4</v>
      </c>
    </row>
    <row r="75" spans="1:14" ht="15.75" thickBot="1" x14ac:dyDescent="0.35">
      <c r="A75" s="5" t="s">
        <v>112</v>
      </c>
      <c r="B75" s="13">
        <v>0.12</v>
      </c>
      <c r="C75" s="13">
        <v>0.12</v>
      </c>
      <c r="D75" s="13">
        <v>0.12</v>
      </c>
      <c r="E75" s="13">
        <v>0.12</v>
      </c>
      <c r="F75" s="13">
        <v>0.12</v>
      </c>
      <c r="G75" s="59" t="s">
        <v>111</v>
      </c>
      <c r="H75" s="59" t="s">
        <v>111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500-000000000000}"/>
    <hyperlink ref="N2" location="References!A1" display="Ref" xr:uid="{B6D14B04-A943-4ED8-8238-596DB6CDE610}"/>
  </hyperlinks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pageSetUpPr fitToPage="1"/>
  </sheetPr>
  <dimension ref="A1:O80"/>
  <sheetViews>
    <sheetView topLeftCell="A40" zoomScaleNormal="100" workbookViewId="0">
      <selection activeCell="B60" sqref="B60:F60"/>
    </sheetView>
  </sheetViews>
  <sheetFormatPr defaultRowHeight="15" x14ac:dyDescent="0.3"/>
  <cols>
    <col min="1" max="1" width="40.42578125" bestFit="1" customWidth="1"/>
    <col min="2" max="7" width="7.85546875" bestFit="1" customWidth="1"/>
    <col min="8" max="8" width="9" bestFit="1" customWidth="1"/>
    <col min="9" max="9" width="7.5703125" bestFit="1" customWidth="1"/>
    <col min="10" max="10" width="7.85546875" bestFit="1" customWidth="1"/>
    <col min="11" max="11" width="7.5703125" bestFit="1" customWidth="1"/>
    <col min="12" max="12" width="7.85546875" bestFit="1" customWidth="1"/>
    <col min="13" max="13" width="4.85546875" bestFit="1" customWidth="1"/>
    <col min="14" max="14" width="3.140625" bestFit="1" customWidth="1"/>
    <col min="15" max="15" width="1.5703125" bestFit="1" customWidth="1"/>
  </cols>
  <sheetData>
    <row r="1" spans="1:15" ht="15.75" thickBot="1" x14ac:dyDescent="0.35">
      <c r="A1" s="54" t="s">
        <v>0</v>
      </c>
      <c r="B1" s="1"/>
      <c r="C1" s="76" t="s">
        <v>121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5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5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5" ht="15.75" thickBot="1" x14ac:dyDescent="0.35">
      <c r="A4" s="5" t="s">
        <v>44</v>
      </c>
      <c r="B4" s="3">
        <f>+B6-B5</f>
        <v>36000</v>
      </c>
      <c r="C4" s="14">
        <f>+C6-C5</f>
        <v>37688.275862068964</v>
      </c>
      <c r="D4" s="14">
        <f>+D6-D5</f>
        <v>39798.620689655174</v>
      </c>
      <c r="E4" s="14">
        <f>+E6-E5</f>
        <v>44019.310344827587</v>
      </c>
      <c r="F4" s="3">
        <f>+F6-F5</f>
        <v>48240</v>
      </c>
      <c r="G4" s="3">
        <f>+G6-H5</f>
        <v>17500</v>
      </c>
      <c r="H4" s="3">
        <f>+H6-G5</f>
        <v>35500</v>
      </c>
      <c r="I4" s="14">
        <f>+G4-C4+D4</f>
        <v>19610.34482758621</v>
      </c>
      <c r="J4" s="14">
        <f>+H4-C4+D4</f>
        <v>37610.34482758621</v>
      </c>
      <c r="K4" s="14">
        <f>+I4-D4+F4</f>
        <v>28051.724137931036</v>
      </c>
      <c r="L4" s="14">
        <f>+J4-D4+F4</f>
        <v>46051.724137931036</v>
      </c>
      <c r="M4" s="3"/>
      <c r="N4" s="3">
        <v>2</v>
      </c>
    </row>
    <row r="5" spans="1:15" ht="15.75" thickBot="1" x14ac:dyDescent="0.35">
      <c r="A5" s="5" t="s">
        <v>9</v>
      </c>
      <c r="B5" s="3">
        <f>8000+6000</f>
        <v>14000</v>
      </c>
      <c r="C5" s="14">
        <f t="shared" ref="C5:E6" si="0">B5+(C$2-B$2)*($F5-$B5)/($F$2-$B$2)</f>
        <v>13691.034482758621</v>
      </c>
      <c r="D5" s="14">
        <f t="shared" si="0"/>
        <v>13304.827586206897</v>
      </c>
      <c r="E5" s="14">
        <f t="shared" si="0"/>
        <v>12532.413793103449</v>
      </c>
      <c r="F5" s="14">
        <f>+B5*[1]Fremskrivninger!B47</f>
        <v>11760</v>
      </c>
      <c r="G5" s="3">
        <f>6000+5500</f>
        <v>11500</v>
      </c>
      <c r="H5" s="3">
        <f>9300+13200</f>
        <v>22500</v>
      </c>
      <c r="I5" s="14">
        <f>+G5-C5+D5</f>
        <v>11113.793103448275</v>
      </c>
      <c r="J5" s="14">
        <f>+H5-C5+D5</f>
        <v>22113.793103448275</v>
      </c>
      <c r="K5" s="14">
        <f>+I5-D5+F5</f>
        <v>9568.9655172413786</v>
      </c>
      <c r="L5" s="14">
        <f>+J5-D5+F5</f>
        <v>20568.965517241377</v>
      </c>
      <c r="M5" s="15"/>
      <c r="N5" s="3">
        <v>2</v>
      </c>
    </row>
    <row r="6" spans="1:15" ht="15.75" thickBot="1" x14ac:dyDescent="0.35">
      <c r="A6" s="5" t="s">
        <v>10</v>
      </c>
      <c r="B6" s="3">
        <v>50000</v>
      </c>
      <c r="C6" s="14">
        <f t="shared" si="0"/>
        <v>51379.310344827587</v>
      </c>
      <c r="D6" s="14">
        <f t="shared" si="0"/>
        <v>53103.448275862072</v>
      </c>
      <c r="E6" s="14">
        <f t="shared" si="0"/>
        <v>56551.724137931036</v>
      </c>
      <c r="F6" s="3">
        <v>60000</v>
      </c>
      <c r="G6" s="3">
        <v>40000</v>
      </c>
      <c r="H6" s="3">
        <v>47000</v>
      </c>
      <c r="I6" s="3">
        <v>42000</v>
      </c>
      <c r="J6" s="3">
        <v>60000</v>
      </c>
      <c r="K6" s="3">
        <v>44000</v>
      </c>
      <c r="L6" s="3">
        <v>74000</v>
      </c>
      <c r="M6" s="15"/>
      <c r="N6" s="3">
        <v>2</v>
      </c>
    </row>
    <row r="7" spans="1:15" ht="15.75" thickBot="1" x14ac:dyDescent="0.35">
      <c r="A7" s="5" t="s">
        <v>11</v>
      </c>
      <c r="B7" s="14">
        <f>[1]Fremskrivninger!$P$3*B4</f>
        <v>20339.999999999996</v>
      </c>
      <c r="C7" s="14">
        <f>[1]Fremskrivninger!$P$3*C4</f>
        <v>21293.875862068962</v>
      </c>
      <c r="D7" s="14">
        <f>[1]Fremskrivninger!$P$3*D4</f>
        <v>22486.220689655172</v>
      </c>
      <c r="E7" s="14">
        <f>[1]Fremskrivninger!$P$3*E4</f>
        <v>24870.910344827586</v>
      </c>
      <c r="F7" s="14">
        <f>[1]Fremskrivninger!$P$3*F4</f>
        <v>27255.599999999999</v>
      </c>
      <c r="G7" s="14">
        <f>+B7/H4*G4</f>
        <v>10026.76056338028</v>
      </c>
      <c r="H7" s="14">
        <f>+B7/G4*H4</f>
        <v>41261.142857142855</v>
      </c>
      <c r="I7" s="14">
        <f>+D7/J4*I4</f>
        <v>11724.50142679646</v>
      </c>
      <c r="J7" s="14">
        <f>+D7/I4*J4</f>
        <v>43125.93793952329</v>
      </c>
      <c r="K7" s="14">
        <f>+F7/L4*K4</f>
        <v>16602.344140771245</v>
      </c>
      <c r="L7" s="14">
        <f>+F7/K4*L4</f>
        <v>44744.749600491697</v>
      </c>
      <c r="M7" s="3"/>
      <c r="N7" s="3">
        <v>2</v>
      </c>
    </row>
    <row r="8" spans="1:15" ht="15.75" thickBot="1" x14ac:dyDescent="0.35">
      <c r="A8" s="5" t="str">
        <f>+'Diesel L1'!A8</f>
        <v>Fuel tank size (litres)</v>
      </c>
      <c r="B8" s="3">
        <v>1000</v>
      </c>
      <c r="C8" s="14">
        <f>B8+(C$2-B$2)*($F8-$B8)/($F$2-$B$2)</f>
        <v>972.41379310344826</v>
      </c>
      <c r="D8" s="14">
        <f>C8+(D$2-C$2)*($F8-$B8)/($F$2-$B$2)</f>
        <v>937.93103448275861</v>
      </c>
      <c r="E8" s="14">
        <f>D8+(E$2-D$2)*($F8-$B8)/($F$2-$B$2)</f>
        <v>868.9655172413793</v>
      </c>
      <c r="F8" s="3">
        <v>800</v>
      </c>
      <c r="G8" s="3">
        <f>+B8*0.5</f>
        <v>500</v>
      </c>
      <c r="H8" s="3">
        <f>+B8*1.5</f>
        <v>1500</v>
      </c>
      <c r="I8" s="14">
        <f>+D8*0.5</f>
        <v>468.9655172413793</v>
      </c>
      <c r="J8" s="14">
        <f>+D8*1.5</f>
        <v>1406.8965517241379</v>
      </c>
      <c r="K8" s="14">
        <f>+F8*0.5</f>
        <v>400</v>
      </c>
      <c r="L8" s="14">
        <f>+F8*1.5</f>
        <v>1200</v>
      </c>
      <c r="M8" s="3"/>
      <c r="N8" s="3">
        <v>2</v>
      </c>
    </row>
    <row r="9" spans="1:15" ht="15.75" thickBot="1" x14ac:dyDescent="0.35">
      <c r="A9" s="5" t="s">
        <v>13</v>
      </c>
      <c r="B9" s="3">
        <f>+'Diesel L1'!B9</f>
        <v>56</v>
      </c>
      <c r="C9" s="14">
        <f>+'Diesel L1'!C9</f>
        <v>51.03448275862069</v>
      </c>
      <c r="D9" s="14">
        <f>+'Diesel L1'!D9</f>
        <v>44.827586206896555</v>
      </c>
      <c r="E9" s="14">
        <f>+'Diesel L1'!E9</f>
        <v>32.413793103448278</v>
      </c>
      <c r="F9" s="3">
        <f>+'Diesel L1'!F9</f>
        <v>20</v>
      </c>
      <c r="G9" s="3">
        <f>+B9*0.5</f>
        <v>28</v>
      </c>
      <c r="H9" s="3">
        <f>+B9*1.5</f>
        <v>84</v>
      </c>
      <c r="I9" s="14">
        <f>+D9*0.5</f>
        <v>22.413793103448278</v>
      </c>
      <c r="J9" s="14">
        <f>+D9*1.5</f>
        <v>67.241379310344826</v>
      </c>
      <c r="K9" s="14">
        <f>+F9*0.5</f>
        <v>10</v>
      </c>
      <c r="L9" s="14">
        <f>+F9*1.5</f>
        <v>30</v>
      </c>
      <c r="M9" s="3"/>
      <c r="N9" s="3">
        <v>2</v>
      </c>
    </row>
    <row r="10" spans="1:15" ht="15.75" thickBot="1" x14ac:dyDescent="0.35">
      <c r="A10" s="5" t="s">
        <v>105</v>
      </c>
      <c r="B10" s="14">
        <f>+'Diesel L1'!B10</f>
        <v>36000</v>
      </c>
      <c r="C10" s="14">
        <f>+'Diesel L1'!C10</f>
        <v>36000</v>
      </c>
      <c r="D10" s="14">
        <f>+'Diesel L1'!D10</f>
        <v>36000</v>
      </c>
      <c r="E10" s="14">
        <f>+'Diesel L1'!E10</f>
        <v>36000</v>
      </c>
      <c r="F10" s="14">
        <f>+'Diesel L1'!F10</f>
        <v>36000</v>
      </c>
      <c r="G10" s="14">
        <f>+'Diesel L1'!G10</f>
        <v>21000</v>
      </c>
      <c r="H10" s="14">
        <f>+'Diesel L1'!H10</f>
        <v>120000</v>
      </c>
      <c r="I10" s="14">
        <f>+'Diesel L1'!I10</f>
        <v>21000</v>
      </c>
      <c r="J10" s="14">
        <f>+'Diesel L1'!J10</f>
        <v>120000</v>
      </c>
      <c r="K10" s="14">
        <f>+'Diesel L1'!K10</f>
        <v>21000</v>
      </c>
      <c r="L10" s="14">
        <f>+'Diesel L1'!L10</f>
        <v>120000</v>
      </c>
      <c r="M10" s="15"/>
      <c r="N10" s="3">
        <v>2</v>
      </c>
      <c r="O10" t="s">
        <v>100</v>
      </c>
    </row>
    <row r="11" spans="1:15" ht="15.75" thickBot="1" x14ac:dyDescent="0.35">
      <c r="A11" s="5" t="s">
        <v>73</v>
      </c>
      <c r="B11" s="14">
        <f>B8*10/B10*60</f>
        <v>16.666666666666668</v>
      </c>
      <c r="C11" s="14">
        <f t="shared" ref="C11:F11" si="1">C8*10/C10*60</f>
        <v>16.206896551724139</v>
      </c>
      <c r="D11" s="14">
        <f t="shared" si="1"/>
        <v>15.632183908045979</v>
      </c>
      <c r="E11" s="14">
        <f t="shared" si="1"/>
        <v>14.482758620689657</v>
      </c>
      <c r="F11" s="14">
        <f t="shared" si="1"/>
        <v>13.333333333333332</v>
      </c>
      <c r="G11" s="14">
        <f>G8*10/H10*60</f>
        <v>2.5</v>
      </c>
      <c r="H11" s="14">
        <f>H8*10/G10*60</f>
        <v>42.857142857142861</v>
      </c>
      <c r="I11" s="14">
        <f>I8*10/J10*60</f>
        <v>2.3448275862068968</v>
      </c>
      <c r="J11" s="14">
        <f>J8*10/I10*60</f>
        <v>40.197044334975367</v>
      </c>
      <c r="K11" s="14">
        <f>K8*10/L10*60</f>
        <v>2</v>
      </c>
      <c r="L11" s="14">
        <f>L8*10/K10*60</f>
        <v>34.285714285714285</v>
      </c>
      <c r="M11" s="15"/>
      <c r="N11" s="3">
        <v>2</v>
      </c>
    </row>
    <row r="12" spans="1:15" ht="15.75" thickBot="1" x14ac:dyDescent="0.35">
      <c r="A12" s="5" t="s">
        <v>15</v>
      </c>
      <c r="B12" s="3">
        <v>5</v>
      </c>
      <c r="C12" s="3">
        <v>5</v>
      </c>
      <c r="D12" s="3">
        <v>5</v>
      </c>
      <c r="E12" s="3">
        <v>5</v>
      </c>
      <c r="F12" s="3">
        <v>8</v>
      </c>
      <c r="G12" s="50">
        <v>3</v>
      </c>
      <c r="H12" s="50">
        <v>7</v>
      </c>
      <c r="I12" s="50">
        <v>3</v>
      </c>
      <c r="J12" s="50">
        <v>11</v>
      </c>
      <c r="K12" s="50">
        <v>3</v>
      </c>
      <c r="L12" s="50">
        <v>11</v>
      </c>
      <c r="M12" s="3"/>
      <c r="N12" s="3">
        <v>2</v>
      </c>
    </row>
    <row r="13" spans="1:15" ht="15.75" thickBot="1" x14ac:dyDescent="0.35">
      <c r="A13" s="5" t="s">
        <v>16</v>
      </c>
      <c r="B13" s="3">
        <v>5</v>
      </c>
      <c r="C13" s="3">
        <v>5</v>
      </c>
      <c r="D13" s="3">
        <v>5</v>
      </c>
      <c r="E13" s="3">
        <v>5</v>
      </c>
      <c r="F13" s="3">
        <v>6</v>
      </c>
      <c r="G13" s="59" t="s">
        <v>111</v>
      </c>
      <c r="H13" s="59" t="s">
        <v>111</v>
      </c>
      <c r="I13" s="59" t="s">
        <v>111</v>
      </c>
      <c r="J13" s="59" t="s">
        <v>111</v>
      </c>
      <c r="K13" s="59" t="s">
        <v>111</v>
      </c>
      <c r="L13" s="59" t="s">
        <v>111</v>
      </c>
      <c r="M13" s="3"/>
      <c r="N13" s="3">
        <v>2</v>
      </c>
    </row>
    <row r="14" spans="1:15" ht="15.75" thickBot="1" x14ac:dyDescent="0.35">
      <c r="A14" s="5" t="s">
        <v>17</v>
      </c>
      <c r="B14" s="3">
        <v>380</v>
      </c>
      <c r="C14" s="3">
        <v>380</v>
      </c>
      <c r="D14" s="3">
        <v>380</v>
      </c>
      <c r="E14" s="3">
        <v>380</v>
      </c>
      <c r="F14" s="3">
        <v>380</v>
      </c>
      <c r="G14" s="59" t="s">
        <v>111</v>
      </c>
      <c r="H14" s="69">
        <v>530</v>
      </c>
      <c r="I14" s="59" t="s">
        <v>111</v>
      </c>
      <c r="J14" s="69">
        <v>600</v>
      </c>
      <c r="K14" s="59" t="s">
        <v>111</v>
      </c>
      <c r="L14" s="69">
        <v>750</v>
      </c>
      <c r="M14" s="3"/>
      <c r="N14" s="3">
        <v>2</v>
      </c>
    </row>
    <row r="15" spans="1:15" ht="15.75" thickBot="1" x14ac:dyDescent="0.35">
      <c r="A15" s="5" t="s">
        <v>106</v>
      </c>
      <c r="B15" s="3">
        <v>16.5</v>
      </c>
      <c r="C15" s="14">
        <f t="shared" ref="C15:E16" si="2">B15+(C$2-B$2)*($F15-$B15)/($F$2-$B$2)</f>
        <v>17.741379310344829</v>
      </c>
      <c r="D15" s="14">
        <f t="shared" si="2"/>
        <v>19.293103448275865</v>
      </c>
      <c r="E15" s="14">
        <f t="shared" si="2"/>
        <v>22.396551724137932</v>
      </c>
      <c r="F15" s="3">
        <v>25.5</v>
      </c>
      <c r="G15" s="50">
        <v>16.5</v>
      </c>
      <c r="H15" s="50">
        <v>25.25</v>
      </c>
      <c r="I15" s="50">
        <v>16.5</v>
      </c>
      <c r="J15" s="50">
        <v>25.25</v>
      </c>
      <c r="K15" s="50">
        <v>16.5</v>
      </c>
      <c r="L15" s="50">
        <v>34.5</v>
      </c>
      <c r="M15" s="3"/>
      <c r="N15" s="3">
        <v>2</v>
      </c>
    </row>
    <row r="16" spans="1:15" ht="15.75" thickBot="1" x14ac:dyDescent="0.35">
      <c r="A16" s="5" t="s">
        <v>107</v>
      </c>
      <c r="B16" s="3">
        <v>16.5</v>
      </c>
      <c r="C16" s="14">
        <f t="shared" si="2"/>
        <v>16.810344827586206</v>
      </c>
      <c r="D16" s="14">
        <f t="shared" si="2"/>
        <v>17.198275862068964</v>
      </c>
      <c r="E16" s="14">
        <f t="shared" si="2"/>
        <v>17.97413793103448</v>
      </c>
      <c r="F16" s="3">
        <v>18.75</v>
      </c>
      <c r="G16" s="59" t="s">
        <v>111</v>
      </c>
      <c r="H16" s="59" t="s">
        <v>111</v>
      </c>
      <c r="I16" s="59" t="s">
        <v>111</v>
      </c>
      <c r="J16" s="59" t="s">
        <v>111</v>
      </c>
      <c r="K16" s="59" t="s">
        <v>111</v>
      </c>
      <c r="L16" s="59" t="s">
        <v>111</v>
      </c>
      <c r="M16" s="3"/>
      <c r="N16" s="3">
        <v>2</v>
      </c>
    </row>
    <row r="17" spans="1:15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5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5" ht="15.75" thickBot="1" x14ac:dyDescent="0.35">
      <c r="A19" s="60" t="s">
        <v>146</v>
      </c>
      <c r="B19" s="30">
        <f>Simulations!G23</f>
        <v>0.15090179450546554</v>
      </c>
      <c r="C19" s="31">
        <f t="shared" ref="C19:E21" si="3">B19+(C$2-B$2)*($F19-$B19)/($F$2-$B$2)</f>
        <v>0.15087952940644861</v>
      </c>
      <c r="D19" s="31">
        <f t="shared" si="3"/>
        <v>0.15085169803267745</v>
      </c>
      <c r="E19" s="31">
        <f t="shared" si="3"/>
        <v>0.15079603528513513</v>
      </c>
      <c r="F19" s="31">
        <f>+Simulations!G158</f>
        <v>0.15074037253759284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5" ht="15.75" thickBot="1" x14ac:dyDescent="0.35">
      <c r="A20" s="60" t="s">
        <v>147</v>
      </c>
      <c r="B20" s="19">
        <f>Simulations!G24</f>
        <v>0.25108202256255097</v>
      </c>
      <c r="C20" s="27">
        <f t="shared" si="3"/>
        <v>0.26111643604621682</v>
      </c>
      <c r="D20" s="27">
        <f t="shared" si="3"/>
        <v>0.27365945290079913</v>
      </c>
      <c r="E20" s="27">
        <f t="shared" si="3"/>
        <v>0.2987454866099637</v>
      </c>
      <c r="F20" s="27">
        <f>+Simulations!G114</f>
        <v>0.32383152031912826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5" ht="15.75" thickBot="1" x14ac:dyDescent="0.35">
      <c r="A21" s="60" t="s">
        <v>148</v>
      </c>
      <c r="B21" s="19">
        <f>Simulations!G25</f>
        <v>0.33725130796004282</v>
      </c>
      <c r="C21" s="27">
        <f t="shared" si="3"/>
        <v>0.34820141273890515</v>
      </c>
      <c r="D21" s="27">
        <f t="shared" si="3"/>
        <v>0.36188904371248304</v>
      </c>
      <c r="E21" s="27">
        <f t="shared" si="3"/>
        <v>0.38926430565963888</v>
      </c>
      <c r="F21" s="27">
        <f>+Simulations!G115</f>
        <v>0.41663956760679471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5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5" ht="15.75" thickBot="1" x14ac:dyDescent="0.35">
      <c r="A23" s="60" t="s">
        <v>146</v>
      </c>
      <c r="B23" s="28">
        <f>+Simulations!E20</f>
        <v>9.3417169079168509</v>
      </c>
      <c r="C23" s="13">
        <f t="shared" ref="C23:E25" si="4">B23+(C$2-B$2)*($F23-$B23)/($F$2-$B$2)</f>
        <v>8.6527661493566033</v>
      </c>
      <c r="D23" s="13">
        <f t="shared" si="4"/>
        <v>7.7915777011562941</v>
      </c>
      <c r="E23" s="13">
        <f t="shared" si="4"/>
        <v>6.0692008047556758</v>
      </c>
      <c r="F23" s="28">
        <f>+Simulations!E155</f>
        <v>4.3468239083550593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5" ht="15.75" thickBot="1" x14ac:dyDescent="0.35">
      <c r="A24" s="60" t="s">
        <v>147</v>
      </c>
      <c r="B24" s="28">
        <f>+Simulations!E21</f>
        <v>7.8320876957620662</v>
      </c>
      <c r="C24" s="13">
        <f t="shared" si="4"/>
        <v>7.2865411108918448</v>
      </c>
      <c r="D24" s="13">
        <f t="shared" si="4"/>
        <v>6.6046078798040675</v>
      </c>
      <c r="E24" s="13">
        <f t="shared" si="4"/>
        <v>5.240741417628513</v>
      </c>
      <c r="F24" s="28">
        <f>+Simulations!E156</f>
        <v>3.8768749554529585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5" ht="15.75" thickBot="1" x14ac:dyDescent="0.35">
      <c r="A25" s="60" t="s">
        <v>148</v>
      </c>
      <c r="B25" s="28">
        <f>+Simulations!E22</f>
        <v>7.5527615071174914</v>
      </c>
      <c r="C25" s="13">
        <f t="shared" si="4"/>
        <v>7.0176565971198261</v>
      </c>
      <c r="D25" s="13">
        <f t="shared" si="4"/>
        <v>6.348775459622745</v>
      </c>
      <c r="E25" s="13">
        <f t="shared" si="4"/>
        <v>5.0110131846285819</v>
      </c>
      <c r="F25" s="28">
        <f>+Simulations!E157</f>
        <v>3.6732509096344179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5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5" ht="15.75" thickBot="1" x14ac:dyDescent="0.35">
      <c r="A27" s="60" t="s">
        <v>146</v>
      </c>
      <c r="B27" s="28">
        <f>+Simulations!E26</f>
        <v>18.469426968064372</v>
      </c>
      <c r="C27" s="13">
        <f t="shared" ref="C27:E29" si="5">B27+(C$2-B$2)*($F27-$B27)/($F$2-$B$2)</f>
        <v>17.510094273215394</v>
      </c>
      <c r="D27" s="13">
        <f t="shared" si="5"/>
        <v>16.31092840465417</v>
      </c>
      <c r="E27" s="13">
        <f t="shared" si="5"/>
        <v>13.912596667531721</v>
      </c>
      <c r="F27" s="28">
        <f>+Simulations!E113</f>
        <v>11.51426493040927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5" ht="15.75" thickBot="1" x14ac:dyDescent="0.35">
      <c r="A28" s="60" t="s">
        <v>147</v>
      </c>
      <c r="B28" s="28">
        <f>+Simulations!E27</f>
        <v>15.345140950855388</v>
      </c>
      <c r="C28" s="13">
        <f t="shared" si="5"/>
        <v>14.556299283254486</v>
      </c>
      <c r="D28" s="13">
        <f t="shared" si="5"/>
        <v>13.570247198753357</v>
      </c>
      <c r="E28" s="13">
        <f t="shared" si="5"/>
        <v>11.5981430297511</v>
      </c>
      <c r="F28" s="28">
        <f>+Simulations!E114</f>
        <v>9.6260388607488423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5" ht="15.75" thickBot="1" x14ac:dyDescent="0.35">
      <c r="A29" s="60" t="s">
        <v>148</v>
      </c>
      <c r="B29" s="28">
        <f>+Simulations!E28</f>
        <v>12.684605539661932</v>
      </c>
      <c r="C29" s="13">
        <f t="shared" si="5"/>
        <v>12.121230351456129</v>
      </c>
      <c r="D29" s="13">
        <f t="shared" si="5"/>
        <v>11.417011366198874</v>
      </c>
      <c r="E29" s="13">
        <f t="shared" si="5"/>
        <v>10.008573395684367</v>
      </c>
      <c r="F29" s="28">
        <f>+Simulations!E115</f>
        <v>8.6001354251698618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  <c r="O29" t="s">
        <v>100</v>
      </c>
    </row>
    <row r="30" spans="1:15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5" ht="15.75" thickBot="1" x14ac:dyDescent="0.35">
      <c r="A31" s="60" t="s">
        <v>146</v>
      </c>
      <c r="B31" s="28">
        <f>+Simulations!E23</f>
        <v>15.669417762014669</v>
      </c>
      <c r="C31" s="13">
        <f t="shared" ref="C31:E33" si="6">B31+(C$2-B$2)*($F31-$B31)/($F$2-$B$2)</f>
        <v>15.272184400482114</v>
      </c>
      <c r="D31" s="13">
        <f t="shared" si="6"/>
        <v>14.77564269856642</v>
      </c>
      <c r="E31" s="13">
        <f t="shared" si="6"/>
        <v>13.782559294735032</v>
      </c>
      <c r="F31" s="28">
        <f>+Simulations!E158</f>
        <v>12.789475890903642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5" ht="15.75" thickBot="1" x14ac:dyDescent="0.35">
      <c r="A32" s="60" t="s">
        <v>147</v>
      </c>
      <c r="B32" s="28">
        <f>+Simulations!E24</f>
        <v>12.234415688643628</v>
      </c>
      <c r="C32" s="13">
        <f t="shared" si="6"/>
        <v>11.847803993850361</v>
      </c>
      <c r="D32" s="13">
        <f t="shared" si="6"/>
        <v>11.364539375358778</v>
      </c>
      <c r="E32" s="13">
        <f t="shared" si="6"/>
        <v>10.398010138375609</v>
      </c>
      <c r="F32" s="28">
        <f>+Simulations!E159</f>
        <v>9.4314809013924403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148</v>
      </c>
      <c r="B33" s="28">
        <f>+Simulations!E25</f>
        <v>10.460562393905736</v>
      </c>
      <c r="C33" s="13">
        <f t="shared" si="6"/>
        <v>10.015825878512489</v>
      </c>
      <c r="D33" s="13">
        <f t="shared" si="6"/>
        <v>9.4599052342709307</v>
      </c>
      <c r="E33" s="13">
        <f t="shared" si="6"/>
        <v>8.3480639457878123</v>
      </c>
      <c r="F33" s="28">
        <f>+Simulations!E160</f>
        <v>7.2362226573046939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146</v>
      </c>
      <c r="B35" s="14">
        <f>+B$8*[1]Fremskrivninger!$S$6/B23</f>
        <v>3853.6813259124756</v>
      </c>
      <c r="C35" s="14">
        <f>+C$8*[1]Fremskrivninger!$S$6/C23</f>
        <v>4045.746290546308</v>
      </c>
      <c r="D35" s="14">
        <f>+D$8*[1]Fremskrivninger!$S$6/D23</f>
        <v>4333.5918008452136</v>
      </c>
      <c r="E35" s="14">
        <f>+E$8*[1]Fremskrivninger!$S$6/E23</f>
        <v>5154.3456258981014</v>
      </c>
      <c r="F35" s="14">
        <f>+F$8*[1]Fremskrivninger!$S$6/F23</f>
        <v>6625.5271911621094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147</v>
      </c>
      <c r="B36" s="14">
        <f>+B$8*[1]Fremskrivninger!$S$6/B24</f>
        <v>4596.4756011962891</v>
      </c>
      <c r="C36" s="14">
        <f>+C$8*[1]Fremskrivninger!$S$6/C24</f>
        <v>4804.3229316851312</v>
      </c>
      <c r="D36" s="14">
        <f>+D$8*[1]Fremskrivninger!$S$6/D24</f>
        <v>5112.4181565160534</v>
      </c>
      <c r="E36" s="14">
        <f>+E$8*[1]Fremskrivninger!$S$6/E24</f>
        <v>5969.1475170788735</v>
      </c>
      <c r="F36" s="14">
        <f>+F$8*[1]Fremskrivninger!$S$6/F24</f>
        <v>7428.6636352539063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148</v>
      </c>
      <c r="B37" s="14">
        <f>+B$8*[1]Fremskrivninger!$S$6/B25</f>
        <v>4766.4685249328604</v>
      </c>
      <c r="C37" s="14">
        <f>+C$8*[1]Fremskrivninger!$S$6/C25</f>
        <v>4988.4026194857706</v>
      </c>
      <c r="D37" s="14">
        <f>+D$8*[1]Fremskrivninger!$S$6/D25</f>
        <v>5318.4299013444261</v>
      </c>
      <c r="E37" s="14">
        <f>+E$8*[1]Fremskrivninger!$S$6/E25</f>
        <v>6242.8010999153548</v>
      </c>
      <c r="F37" s="14">
        <f>+F$8*[1]Fremskrivninger!$S$6/F25</f>
        <v>7840.46630859375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146</v>
      </c>
      <c r="B39" s="14">
        <f>+B$8*[1]Fremskrivninger!$S$6/B27</f>
        <v>1949.1671323776247</v>
      </c>
      <c r="C39" s="14">
        <f>+C$8*[1]Fremskrivninger!$S$6/C27</f>
        <v>1999.2408953087715</v>
      </c>
      <c r="D39" s="14">
        <f>+D$8*[1]Fremskrivninger!$S$6/D27</f>
        <v>2070.1162069808752</v>
      </c>
      <c r="E39" s="14">
        <f>+E$8*[1]Fremskrivninger!$S$6/E27</f>
        <v>2248.5204860207905</v>
      </c>
      <c r="F39" s="14">
        <f>+F$8*[1]Fremskrivninger!$S$6/F27</f>
        <v>2501.2452096650095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147</v>
      </c>
      <c r="B40" s="14">
        <f>+B$8*[1]Fremskrivninger!$S$6/B28</f>
        <v>2346.0195064544678</v>
      </c>
      <c r="C40" s="14">
        <f>+C$8*[1]Fremskrivninger!$S$6/C28</f>
        <v>2404.9310797007274</v>
      </c>
      <c r="D40" s="14">
        <f>+D$8*[1]Fremskrivninger!$S$6/D28</f>
        <v>2488.2020752342087</v>
      </c>
      <c r="E40" s="14">
        <f>+E$8*[1]Fremskrivninger!$S$6/E28</f>
        <v>2697.221317278495</v>
      </c>
      <c r="F40" s="14">
        <f>+F$8*[1]Fremskrivninger!$S$6/F28</f>
        <v>2991.8848673502603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148</v>
      </c>
      <c r="B41" s="14">
        <f>+B$8*[1]Fremskrivninger!$S$6/B29</f>
        <v>2838.0858898162837</v>
      </c>
      <c r="C41" s="14">
        <f>+C$8*[1]Fremskrivninger!$S$6/C29</f>
        <v>2888.064621882113</v>
      </c>
      <c r="D41" s="14">
        <f>+D$8*[1]Fremskrivninger!$S$6/D29</f>
        <v>2957.4742599753617</v>
      </c>
      <c r="E41" s="14">
        <f>+E$8*[1]Fremskrivninger!$S$6/E29</f>
        <v>3125.596164801927</v>
      </c>
      <c r="F41" s="14">
        <f>+F$8*[1]Fremskrivninger!$S$6/F29</f>
        <v>3348.78447561553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146</v>
      </c>
      <c r="B43" s="14">
        <f>+B$8*[1]Fremskrivninger!$S$6/B31</f>
        <v>2297.468900680542</v>
      </c>
      <c r="C43" s="14">
        <f>+C$8*[1]Fremskrivninger!$S$6/C31</f>
        <v>2292.1997033128432</v>
      </c>
      <c r="D43" s="14">
        <f>+D$8*[1]Fremskrivninger!$S$6/D31</f>
        <v>2285.214791005697</v>
      </c>
      <c r="E43" s="14">
        <f>+E$8*[1]Fremskrivninger!$S$6/E31</f>
        <v>2269.7351015670752</v>
      </c>
      <c r="F43" s="14">
        <f>+F$8*[1]Fremskrivninger!$S$6/F31</f>
        <v>2251.8514633178711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147</v>
      </c>
      <c r="B44" s="14">
        <f>+B$8*[1]Fremskrivninger!$S$6/B32</f>
        <v>2942.518949508667</v>
      </c>
      <c r="C44" s="14">
        <f>+C$8*[1]Fremskrivninger!$S$6/C32</f>
        <v>2954.7160444158744</v>
      </c>
      <c r="D44" s="14">
        <f>+D$8*[1]Fremskrivninger!$S$6/D32</f>
        <v>2971.1294163485036</v>
      </c>
      <c r="E44" s="14">
        <f>+E$8*[1]Fremskrivninger!$S$6/E32</f>
        <v>3008.5331909069182</v>
      </c>
      <c r="F44" s="14">
        <f>+F$8*[1]Fremskrivninger!$S$6/F32</f>
        <v>3053.6031723022456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148</v>
      </c>
      <c r="B45" s="14">
        <f>+B$8*[1]Fremskrivninger!$S$6/B33</f>
        <v>3441.4975643157959</v>
      </c>
      <c r="C45" s="14">
        <f>+C$8*[1]Fremskrivninger!$S$6/C33</f>
        <v>3495.1582601716736</v>
      </c>
      <c r="D45" s="14">
        <f>+D$8*[1]Fremskrivninger!$S$6/D33</f>
        <v>3569.3293331369828</v>
      </c>
      <c r="E45" s="14">
        <f>+E$8*[1]Fremskrivninger!$S$6/E33</f>
        <v>3747.3070191890438</v>
      </c>
      <c r="F45" s="14">
        <f>+F$8*[1]Fremskrivninger!$S$6/F33</f>
        <v>3979.9770355224609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14">
        <f>B31*[1]Fremskrivninger!$S$10</f>
        <v>1167.3716232700929</v>
      </c>
      <c r="C48" s="14">
        <f>C31*[1]Fremskrivninger!$S$10</f>
        <v>1137.7777378359176</v>
      </c>
      <c r="D48" s="14">
        <f>D31*[1]Fremskrivninger!$S$10</f>
        <v>1100.7853810431984</v>
      </c>
      <c r="E48" s="14">
        <f>E31*[1]Fremskrivninger!$S$10</f>
        <v>1026.8006674577598</v>
      </c>
      <c r="F48" s="14">
        <f>F31*[1]Fremskrivninger!$S$10</f>
        <v>952.8159538723213</v>
      </c>
      <c r="G48" s="57" t="s">
        <v>111</v>
      </c>
      <c r="H48" s="57" t="s">
        <v>111</v>
      </c>
      <c r="I48" s="57" t="s">
        <v>111</v>
      </c>
      <c r="J48" s="57" t="s">
        <v>111</v>
      </c>
      <c r="K48" s="57" t="s">
        <v>111</v>
      </c>
      <c r="L48" s="57" t="s">
        <v>111</v>
      </c>
      <c r="M48" s="3"/>
      <c r="N48" s="15">
        <v>3</v>
      </c>
    </row>
    <row r="49" spans="1:14" ht="15.75" thickBot="1" x14ac:dyDescent="0.35">
      <c r="A49" s="5" t="s">
        <v>23</v>
      </c>
      <c r="B49" s="13">
        <f>0.0075*B7/1000</f>
        <v>0.15254999999999996</v>
      </c>
      <c r="C49" s="13">
        <f t="shared" ref="C49:E52" si="7">B49+(C$2-B$2)*($F49-$B49)/($F$2-$B$2)</f>
        <v>0.14868272488983658</v>
      </c>
      <c r="D49" s="13">
        <f t="shared" si="7"/>
        <v>0.14384863100213235</v>
      </c>
      <c r="E49" s="13">
        <f t="shared" si="7"/>
        <v>0.1341804432267239</v>
      </c>
      <c r="F49" s="16">
        <f>+B49*F48/B48</f>
        <v>0.12451225545131546</v>
      </c>
      <c r="G49" s="57" t="s">
        <v>111</v>
      </c>
      <c r="H49" s="57" t="s">
        <v>111</v>
      </c>
      <c r="I49" s="57" t="s">
        <v>111</v>
      </c>
      <c r="J49" s="57" t="s">
        <v>111</v>
      </c>
      <c r="K49" s="57" t="s">
        <v>111</v>
      </c>
      <c r="L49" s="57" t="s">
        <v>111</v>
      </c>
      <c r="M49" s="3"/>
      <c r="N49" s="15">
        <v>3</v>
      </c>
    </row>
    <row r="50" spans="1:14" ht="15.75" thickBot="1" x14ac:dyDescent="0.35">
      <c r="A50" s="5" t="s">
        <v>24</v>
      </c>
      <c r="B50" s="20">
        <f>0.7*B31/3.6*B19/100</f>
        <v>4.5977230038907798E-3</v>
      </c>
      <c r="C50" s="13">
        <f t="shared" si="7"/>
        <v>4.4811667289883055E-3</v>
      </c>
      <c r="D50" s="13">
        <f t="shared" si="7"/>
        <v>4.335471385360213E-3</v>
      </c>
      <c r="E50" s="13">
        <f t="shared" si="7"/>
        <v>4.044080698104028E-3</v>
      </c>
      <c r="F50" s="20">
        <f>+B50*F49/B49</f>
        <v>3.752690010847843E-3</v>
      </c>
      <c r="G50" s="57" t="s">
        <v>111</v>
      </c>
      <c r="H50" s="57" t="s">
        <v>111</v>
      </c>
      <c r="I50" s="57" t="s">
        <v>111</v>
      </c>
      <c r="J50" s="57" t="s">
        <v>111</v>
      </c>
      <c r="K50" s="57" t="s">
        <v>111</v>
      </c>
      <c r="L50" s="57" t="s">
        <v>111</v>
      </c>
      <c r="M50" s="3"/>
      <c r="N50" s="15">
        <v>3</v>
      </c>
    </row>
    <row r="51" spans="1:14" ht="15.75" thickBot="1" x14ac:dyDescent="0.35">
      <c r="A51" s="5" t="s">
        <v>25</v>
      </c>
      <c r="B51" s="16">
        <f>0.00094*B7/1000</f>
        <v>1.9119599999999994E-2</v>
      </c>
      <c r="C51" s="13">
        <f t="shared" si="7"/>
        <v>1.8634901519526185E-2</v>
      </c>
      <c r="D51" s="13">
        <f t="shared" si="7"/>
        <v>1.8029028418933921E-2</v>
      </c>
      <c r="E51" s="13">
        <f t="shared" si="7"/>
        <v>1.6817282217749398E-2</v>
      </c>
      <c r="F51" s="16">
        <f>+B51*F50/B50</f>
        <v>1.5605536016564871E-2</v>
      </c>
      <c r="G51" s="57" t="s">
        <v>111</v>
      </c>
      <c r="H51" s="57" t="s">
        <v>111</v>
      </c>
      <c r="I51" s="57" t="s">
        <v>111</v>
      </c>
      <c r="J51" s="57" t="s">
        <v>111</v>
      </c>
      <c r="K51" s="57" t="s">
        <v>111</v>
      </c>
      <c r="L51" s="57" t="s">
        <v>111</v>
      </c>
      <c r="M51" s="3"/>
      <c r="N51" s="15">
        <v>3</v>
      </c>
    </row>
    <row r="52" spans="1:14" ht="15.75" thickBot="1" x14ac:dyDescent="0.35">
      <c r="A52" s="5" t="s">
        <v>26</v>
      </c>
      <c r="B52" s="16">
        <f>0.0019*B7/1000</f>
        <v>3.8645999999999993E-2</v>
      </c>
      <c r="C52" s="13">
        <f t="shared" si="7"/>
        <v>3.7666290305425273E-2</v>
      </c>
      <c r="D52" s="13">
        <f t="shared" si="7"/>
        <v>3.6441653187206872E-2</v>
      </c>
      <c r="E52" s="13">
        <f t="shared" si="7"/>
        <v>3.3992378950770064E-2</v>
      </c>
      <c r="F52" s="16">
        <f>+B52*F51/B51</f>
        <v>3.1543104714333255E-2</v>
      </c>
      <c r="G52" s="59" t="s">
        <v>111</v>
      </c>
      <c r="H52" s="59" t="s">
        <v>111</v>
      </c>
      <c r="I52" s="59" t="s">
        <v>111</v>
      </c>
      <c r="J52" s="59" t="s">
        <v>111</v>
      </c>
      <c r="K52" s="59" t="s">
        <v>111</v>
      </c>
      <c r="L52" s="59" t="s">
        <v>111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14">
        <f>B32*[1]Fremskrivninger!$S$10</f>
        <v>911.46396880395025</v>
      </c>
      <c r="C54" s="14">
        <f>C32*[1]Fremskrivninger!$S$10</f>
        <v>882.6613975418519</v>
      </c>
      <c r="D54" s="14">
        <f>D32*[1]Fremskrivninger!$S$10</f>
        <v>846.65818346422896</v>
      </c>
      <c r="E54" s="14">
        <f>E32*[1]Fremskrivninger!$S$10</f>
        <v>774.65175530898284</v>
      </c>
      <c r="F54" s="14">
        <f>F32*[1]Fremskrivninger!$S$10</f>
        <v>702.64532715373684</v>
      </c>
      <c r="G54" s="57" t="s">
        <v>111</v>
      </c>
      <c r="H54" s="57" t="s">
        <v>111</v>
      </c>
      <c r="I54" s="57" t="s">
        <v>111</v>
      </c>
      <c r="J54" s="57" t="s">
        <v>111</v>
      </c>
      <c r="K54" s="57" t="s">
        <v>111</v>
      </c>
      <c r="L54" s="57" t="s">
        <v>111</v>
      </c>
      <c r="M54" s="3"/>
      <c r="N54" s="15">
        <v>3</v>
      </c>
    </row>
    <row r="55" spans="1:14" ht="15.75" thickBot="1" x14ac:dyDescent="0.35">
      <c r="A55" s="5" t="s">
        <v>23</v>
      </c>
      <c r="B55" s="16">
        <f>0.002*B32</f>
        <v>2.4468831377287257E-2</v>
      </c>
      <c r="C55" s="13">
        <f t="shared" ref="C55:E58" si="8">B55+(C$2-B$2)*($F55-$B55)/($F$2-$B$2)</f>
        <v>2.3695607987700724E-2</v>
      </c>
      <c r="D55" s="13">
        <f t="shared" si="8"/>
        <v>2.2729078750717557E-2</v>
      </c>
      <c r="E55" s="13">
        <f t="shared" si="8"/>
        <v>2.0796020276751221E-2</v>
      </c>
      <c r="F55" s="16">
        <f>+B55*F54/B54</f>
        <v>1.8862961802784885E-2</v>
      </c>
      <c r="G55" s="57" t="s">
        <v>111</v>
      </c>
      <c r="H55" s="57" t="s">
        <v>111</v>
      </c>
      <c r="I55" s="57" t="s">
        <v>111</v>
      </c>
      <c r="J55" s="57" t="s">
        <v>111</v>
      </c>
      <c r="K55" s="57" t="s">
        <v>111</v>
      </c>
      <c r="L55" s="57" t="s">
        <v>111</v>
      </c>
      <c r="M55" s="3"/>
      <c r="N55" s="15">
        <v>3</v>
      </c>
    </row>
    <row r="56" spans="1:14" ht="15.75" thickBot="1" x14ac:dyDescent="0.35">
      <c r="A56" s="5" t="s">
        <v>24</v>
      </c>
      <c r="B56" s="20">
        <f>0.5*B32/3.6*B19/100</f>
        <v>2.5641601140863114E-3</v>
      </c>
      <c r="C56" s="13">
        <f t="shared" si="8"/>
        <v>2.483131782807001E-3</v>
      </c>
      <c r="D56" s="13">
        <f t="shared" si="8"/>
        <v>2.3818463687078632E-3</v>
      </c>
      <c r="E56" s="13">
        <f t="shared" si="8"/>
        <v>2.1792755405095877E-3</v>
      </c>
      <c r="F56" s="20">
        <f>+B56*F55/B55</f>
        <v>1.9767047123113125E-3</v>
      </c>
      <c r="G56" s="57" t="s">
        <v>111</v>
      </c>
      <c r="H56" s="57" t="s">
        <v>111</v>
      </c>
      <c r="I56" s="57" t="s">
        <v>111</v>
      </c>
      <c r="J56" s="57" t="s">
        <v>111</v>
      </c>
      <c r="K56" s="57" t="s">
        <v>111</v>
      </c>
      <c r="L56" s="57" t="s">
        <v>111</v>
      </c>
      <c r="M56" s="3"/>
      <c r="N56" s="15">
        <v>3</v>
      </c>
    </row>
    <row r="57" spans="1:14" ht="15.75" thickBot="1" x14ac:dyDescent="0.35">
      <c r="A57" s="5" t="s">
        <v>25</v>
      </c>
      <c r="B57" s="16">
        <f>0.000252*B32</f>
        <v>3.0830727535381942E-3</v>
      </c>
      <c r="C57" s="13">
        <f t="shared" si="8"/>
        <v>2.9856466064502908E-3</v>
      </c>
      <c r="D57" s="13">
        <f t="shared" si="8"/>
        <v>2.8638639225904115E-3</v>
      </c>
      <c r="E57" s="13">
        <f t="shared" si="8"/>
        <v>2.6202985548706534E-3</v>
      </c>
      <c r="F57" s="20">
        <f>+B57*F56/B56</f>
        <v>2.3767331871508953E-3</v>
      </c>
      <c r="G57" s="59" t="s">
        <v>111</v>
      </c>
      <c r="H57" s="59" t="s">
        <v>111</v>
      </c>
      <c r="I57" s="59" t="s">
        <v>111</v>
      </c>
      <c r="J57" s="59" t="s">
        <v>111</v>
      </c>
      <c r="K57" s="59" t="s">
        <v>111</v>
      </c>
      <c r="L57" s="59" t="s">
        <v>111</v>
      </c>
      <c r="M57" s="3"/>
      <c r="N57" s="15">
        <v>3</v>
      </c>
    </row>
    <row r="58" spans="1:14" ht="15.75" thickBot="1" x14ac:dyDescent="0.35">
      <c r="A58" s="5" t="s">
        <v>29</v>
      </c>
      <c r="B58" s="16">
        <f>0.00052*B32</f>
        <v>6.3618961580946855E-3</v>
      </c>
      <c r="C58" s="13">
        <f t="shared" si="8"/>
        <v>6.160858076802187E-3</v>
      </c>
      <c r="D58" s="13">
        <f t="shared" si="8"/>
        <v>5.9095604751865632E-3</v>
      </c>
      <c r="E58" s="13">
        <f t="shared" si="8"/>
        <v>5.4069652719553156E-3</v>
      </c>
      <c r="F58" s="16">
        <f>+B58*F57/B57</f>
        <v>4.9043700687240689E-3</v>
      </c>
      <c r="G58" s="59" t="s">
        <v>111</v>
      </c>
      <c r="H58" s="59" t="s">
        <v>111</v>
      </c>
      <c r="I58" s="59" t="s">
        <v>111</v>
      </c>
      <c r="J58" s="59" t="s">
        <v>111</v>
      </c>
      <c r="K58" s="59" t="s">
        <v>111</v>
      </c>
      <c r="L58" s="59" t="s">
        <v>111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14">
        <f>B33*[1]Fremskrivninger!$S$10</f>
        <v>779.31189834597728</v>
      </c>
      <c r="C60" s="14">
        <f>C33*[1]Fremskrivninger!$S$10</f>
        <v>746.17902794918041</v>
      </c>
      <c r="D60" s="14">
        <f>D33*[1]Fremskrivninger!$S$10</f>
        <v>704.76293995318429</v>
      </c>
      <c r="E60" s="14">
        <f>E33*[1]Fremskrivninger!$S$10</f>
        <v>621.93076396119204</v>
      </c>
      <c r="F60" s="14">
        <f>F33*[1]Fremskrivninger!$S$10</f>
        <v>539.09858796919968</v>
      </c>
      <c r="G60" s="57" t="s">
        <v>111</v>
      </c>
      <c r="H60" s="57" t="s">
        <v>111</v>
      </c>
      <c r="I60" s="57" t="s">
        <v>111</v>
      </c>
      <c r="J60" s="57" t="s">
        <v>111</v>
      </c>
      <c r="K60" s="57" t="s">
        <v>111</v>
      </c>
      <c r="L60" s="57" t="s">
        <v>111</v>
      </c>
      <c r="M60" s="3"/>
      <c r="N60" s="15">
        <v>3</v>
      </c>
    </row>
    <row r="61" spans="1:14" ht="15.75" thickBot="1" x14ac:dyDescent="0.35">
      <c r="A61" s="8" t="s">
        <v>32</v>
      </c>
      <c r="B61" s="13">
        <f>0.049/[1]Fremskrivninger!S7</f>
        <v>3.0447188419629363E-2</v>
      </c>
      <c r="C61" s="13">
        <f t="shared" ref="C61:E64" si="9">B61+(C$2-B$2)*($F61-$B61)/($F$2-$B$2)</f>
        <v>2.9152709597997699E-2</v>
      </c>
      <c r="D61" s="13">
        <f t="shared" si="9"/>
        <v>2.7534611070958118E-2</v>
      </c>
      <c r="E61" s="13">
        <f t="shared" si="9"/>
        <v>2.4298414016878961E-2</v>
      </c>
      <c r="F61" s="16">
        <f>+B61*F60/B60</f>
        <v>2.1062216962799803E-2</v>
      </c>
      <c r="G61" s="57" t="s">
        <v>111</v>
      </c>
      <c r="H61" s="57" t="s">
        <v>111</v>
      </c>
      <c r="I61" s="57" t="s">
        <v>111</v>
      </c>
      <c r="J61" s="57" t="s">
        <v>111</v>
      </c>
      <c r="K61" s="57" t="s">
        <v>111</v>
      </c>
      <c r="L61" s="57" t="s">
        <v>111</v>
      </c>
      <c r="M61" s="3"/>
      <c r="N61" s="15">
        <v>3</v>
      </c>
    </row>
    <row r="62" spans="1:14" ht="15.75" thickBot="1" x14ac:dyDescent="0.35">
      <c r="A62" s="8" t="s">
        <v>33</v>
      </c>
      <c r="B62" s="20">
        <f>0.2*B33/[1]Fremskrivninger!S9*B19/100</f>
        <v>8.7695424265375776E-4</v>
      </c>
      <c r="C62" s="20">
        <f t="shared" si="9"/>
        <v>8.3967005473434188E-4</v>
      </c>
      <c r="D62" s="20">
        <f t="shared" si="9"/>
        <v>7.9306481983507202E-4</v>
      </c>
      <c r="E62" s="20">
        <f t="shared" si="9"/>
        <v>6.9985435003653228E-4</v>
      </c>
      <c r="F62" s="20">
        <f>+B62*F61/B61</f>
        <v>6.0664388023799266E-4</v>
      </c>
      <c r="G62" s="57" t="s">
        <v>111</v>
      </c>
      <c r="H62" s="57" t="s">
        <v>111</v>
      </c>
      <c r="I62" s="57" t="s">
        <v>111</v>
      </c>
      <c r="J62" s="57" t="s">
        <v>111</v>
      </c>
      <c r="K62" s="57" t="s">
        <v>111</v>
      </c>
      <c r="L62" s="57" t="s">
        <v>111</v>
      </c>
      <c r="M62" s="3"/>
      <c r="N62" s="15">
        <v>3</v>
      </c>
    </row>
    <row r="63" spans="1:14" ht="15.75" thickBot="1" x14ac:dyDescent="0.35">
      <c r="A63" s="8" t="s">
        <v>34</v>
      </c>
      <c r="B63" s="16">
        <f>0.0053/[1]Fremskrivninger!S7</f>
        <v>3.2932673188578697E-3</v>
      </c>
      <c r="C63" s="16">
        <f t="shared" si="9"/>
        <v>3.1532522626405673E-3</v>
      </c>
      <c r="D63" s="16">
        <f t="shared" si="9"/>
        <v>2.9782334423689395E-3</v>
      </c>
      <c r="E63" s="16">
        <f t="shared" si="9"/>
        <v>2.6281958018256838E-3</v>
      </c>
      <c r="F63" s="20">
        <f>+B63*F62/B62</f>
        <v>2.2781581612824277E-3</v>
      </c>
      <c r="G63" s="57" t="s">
        <v>111</v>
      </c>
      <c r="H63" s="57" t="s">
        <v>111</v>
      </c>
      <c r="I63" s="57" t="s">
        <v>111</v>
      </c>
      <c r="J63" s="57" t="s">
        <v>111</v>
      </c>
      <c r="K63" s="57" t="s">
        <v>111</v>
      </c>
      <c r="L63" s="57" t="s">
        <v>111</v>
      </c>
      <c r="M63" s="3"/>
      <c r="N63" s="3">
        <v>3</v>
      </c>
    </row>
    <row r="64" spans="1:14" ht="15.75" thickBot="1" x14ac:dyDescent="0.35">
      <c r="A64" s="8" t="s">
        <v>35</v>
      </c>
      <c r="B64" s="13">
        <f>0.016/[1]Fremskrivninger!S7</f>
        <v>9.9419390757973427E-3</v>
      </c>
      <c r="C64" s="13">
        <f t="shared" si="9"/>
        <v>9.5192521136319014E-3</v>
      </c>
      <c r="D64" s="13">
        <f t="shared" si="9"/>
        <v>8.9908934109250993E-3</v>
      </c>
      <c r="E64" s="13">
        <f t="shared" si="9"/>
        <v>7.9341760055114969E-3</v>
      </c>
      <c r="F64" s="16">
        <f>+B64*F63/B63</f>
        <v>6.8774586000978945E-3</v>
      </c>
      <c r="G64" s="57" t="s">
        <v>111</v>
      </c>
      <c r="H64" s="57" t="s">
        <v>111</v>
      </c>
      <c r="I64" s="57" t="s">
        <v>111</v>
      </c>
      <c r="J64" s="57" t="s">
        <v>111</v>
      </c>
      <c r="K64" s="57" t="s">
        <v>111</v>
      </c>
      <c r="L64" s="57" t="s">
        <v>111</v>
      </c>
      <c r="M64" s="3"/>
      <c r="N64" s="3">
        <v>3</v>
      </c>
    </row>
    <row r="65" spans="1:15" ht="15.75" thickBot="1" x14ac:dyDescent="0.35">
      <c r="A65" s="5" t="s">
        <v>54</v>
      </c>
      <c r="B65" s="46">
        <v>57.519999999999996</v>
      </c>
      <c r="C65" s="46">
        <v>57.519999999999996</v>
      </c>
      <c r="D65" s="46">
        <v>57.519999999999996</v>
      </c>
      <c r="E65" s="46">
        <v>57.519999999999996</v>
      </c>
      <c r="F65" s="46">
        <v>57.519999999999996</v>
      </c>
      <c r="G65" s="57" t="s">
        <v>111</v>
      </c>
      <c r="H65" s="57" t="s">
        <v>111</v>
      </c>
      <c r="I65" s="57" t="s">
        <v>111</v>
      </c>
      <c r="J65" s="57" t="s">
        <v>111</v>
      </c>
      <c r="K65" s="57" t="s">
        <v>111</v>
      </c>
      <c r="L65" s="57" t="s">
        <v>111</v>
      </c>
      <c r="M65" s="3"/>
      <c r="N65" s="3">
        <v>3</v>
      </c>
    </row>
    <row r="66" spans="1:15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5" ht="15.75" thickBot="1" x14ac:dyDescent="0.35">
      <c r="A67" s="5" t="s">
        <v>37</v>
      </c>
      <c r="B67" s="3">
        <v>10.5</v>
      </c>
      <c r="C67" s="3">
        <v>10.5</v>
      </c>
      <c r="D67" s="3">
        <v>10.5</v>
      </c>
      <c r="E67" s="3">
        <v>10.5</v>
      </c>
      <c r="F67" s="3">
        <v>10.5</v>
      </c>
      <c r="G67" s="3">
        <v>6</v>
      </c>
      <c r="H67" s="3">
        <v>20</v>
      </c>
      <c r="I67" s="57" t="s">
        <v>111</v>
      </c>
      <c r="J67" s="57" t="s">
        <v>111</v>
      </c>
      <c r="K67" s="57" t="s">
        <v>111</v>
      </c>
      <c r="L67" s="57" t="s">
        <v>111</v>
      </c>
      <c r="M67" s="3"/>
      <c r="N67" s="15">
        <v>4</v>
      </c>
    </row>
    <row r="68" spans="1:15" ht="15.75" thickBot="1" x14ac:dyDescent="0.35">
      <c r="A68" s="5" t="s">
        <v>38</v>
      </c>
      <c r="B68" s="3">
        <f>'Diesel L1'!B68</f>
        <v>2</v>
      </c>
      <c r="C68" s="3">
        <f>'Diesel L1'!C68</f>
        <v>2</v>
      </c>
      <c r="D68" s="3">
        <f>'Diesel L1'!D68</f>
        <v>2</v>
      </c>
      <c r="E68" s="3">
        <f>'Diesel L1'!E68</f>
        <v>2</v>
      </c>
      <c r="F68" s="3">
        <f>'Diesel L1'!F68</f>
        <v>2</v>
      </c>
      <c r="G68" s="3">
        <f>'Diesel L1'!G68</f>
        <v>1</v>
      </c>
      <c r="H68" s="3">
        <f>'Diesel L1'!H68</f>
        <v>6</v>
      </c>
      <c r="I68" s="57" t="s">
        <v>111</v>
      </c>
      <c r="J68" s="57" t="s">
        <v>111</v>
      </c>
      <c r="K68" s="57" t="s">
        <v>111</v>
      </c>
      <c r="L68" s="57" t="s">
        <v>111</v>
      </c>
      <c r="M68" s="3"/>
      <c r="N68" s="15">
        <v>4</v>
      </c>
    </row>
    <row r="69" spans="1:15" ht="15.75" thickBot="1" x14ac:dyDescent="0.35">
      <c r="A69" s="5" t="s">
        <v>39</v>
      </c>
      <c r="B69" s="3">
        <v>931962</v>
      </c>
      <c r="C69" s="3">
        <v>931962</v>
      </c>
      <c r="D69" s="3">
        <v>931962</v>
      </c>
      <c r="E69" s="3">
        <v>931962</v>
      </c>
      <c r="F69" s="3">
        <v>931962</v>
      </c>
      <c r="G69" s="3">
        <v>500000</v>
      </c>
      <c r="H69" s="3">
        <v>2500000</v>
      </c>
      <c r="I69" s="57" t="s">
        <v>111</v>
      </c>
      <c r="J69" s="57" t="s">
        <v>111</v>
      </c>
      <c r="K69" s="57" t="s">
        <v>111</v>
      </c>
      <c r="L69" s="57" t="s">
        <v>111</v>
      </c>
      <c r="M69" s="3"/>
      <c r="N69" s="15">
        <v>4</v>
      </c>
    </row>
    <row r="70" spans="1:15" ht="15.75" thickBot="1" x14ac:dyDescent="0.35">
      <c r="A70" s="5" t="s">
        <v>40</v>
      </c>
      <c r="B70" s="14">
        <f>+B69/7</f>
        <v>133137.42857142858</v>
      </c>
      <c r="C70" s="14">
        <f>+C69/7</f>
        <v>133137.42857142858</v>
      </c>
      <c r="D70" s="14">
        <f>+D69/7</f>
        <v>133137.42857142858</v>
      </c>
      <c r="E70" s="14">
        <f>+E69/7</f>
        <v>133137.42857142858</v>
      </c>
      <c r="F70" s="14">
        <f>+F69/7</f>
        <v>133137.42857142858</v>
      </c>
      <c r="G70" s="14">
        <f>+B70*0.75</f>
        <v>99853.071428571435</v>
      </c>
      <c r="H70" s="14">
        <f>+B70*1.25</f>
        <v>166421.78571428574</v>
      </c>
      <c r="I70" s="57" t="s">
        <v>111</v>
      </c>
      <c r="J70" s="57" t="s">
        <v>111</v>
      </c>
      <c r="K70" s="57" t="s">
        <v>111</v>
      </c>
      <c r="L70" s="57" t="s">
        <v>111</v>
      </c>
      <c r="M70" s="3"/>
      <c r="N70" s="15">
        <v>4</v>
      </c>
    </row>
    <row r="71" spans="1:15" ht="15.75" thickBot="1" x14ac:dyDescent="0.35">
      <c r="A71" s="5" t="s">
        <v>41</v>
      </c>
      <c r="B71" s="14">
        <f>1200000/7.52</f>
        <v>159574.4680851064</v>
      </c>
      <c r="C71" s="14">
        <f>1200000/7.52</f>
        <v>159574.4680851064</v>
      </c>
      <c r="D71" s="14">
        <f>1200000/7.52</f>
        <v>159574.4680851064</v>
      </c>
      <c r="E71" s="14">
        <f>1200000/7.52</f>
        <v>159574.4680851064</v>
      </c>
      <c r="F71" s="14">
        <f>1200000/7.52</f>
        <v>159574.4680851064</v>
      </c>
      <c r="G71" s="57" t="s">
        <v>111</v>
      </c>
      <c r="H71" s="57" t="s">
        <v>111</v>
      </c>
      <c r="I71" s="57" t="s">
        <v>111</v>
      </c>
      <c r="J71" s="57" t="s">
        <v>111</v>
      </c>
      <c r="K71" s="57" t="s">
        <v>111</v>
      </c>
      <c r="L71" s="57" t="s">
        <v>111</v>
      </c>
      <c r="M71" s="3"/>
      <c r="N71" s="15">
        <v>4</v>
      </c>
      <c r="O71" s="17"/>
    </row>
    <row r="72" spans="1:15" ht="15.75" thickBot="1" x14ac:dyDescent="0.35">
      <c r="A72" s="60" t="str">
        <f>'Diesel L1'!A72</f>
        <v>-           Cost of 24V battery</v>
      </c>
      <c r="B72" s="3">
        <f>+'Diesel L1'!B72</f>
        <v>300</v>
      </c>
      <c r="C72" s="3">
        <f>+'Diesel L1'!C72</f>
        <v>300</v>
      </c>
      <c r="D72" s="3">
        <f>+'Diesel L1'!D72</f>
        <v>300</v>
      </c>
      <c r="E72" s="3">
        <f>+'Diesel L1'!E72</f>
        <v>300</v>
      </c>
      <c r="F72" s="3">
        <f>+'Diesel L1'!F72</f>
        <v>300</v>
      </c>
      <c r="G72" s="57" t="s">
        <v>111</v>
      </c>
      <c r="H72" s="57" t="s">
        <v>111</v>
      </c>
      <c r="I72" s="57" t="s">
        <v>111</v>
      </c>
      <c r="J72" s="57" t="s">
        <v>111</v>
      </c>
      <c r="K72" s="57" t="s">
        <v>111</v>
      </c>
      <c r="L72" s="57" t="s">
        <v>111</v>
      </c>
      <c r="M72" s="3"/>
      <c r="N72" s="15">
        <v>4</v>
      </c>
    </row>
    <row r="73" spans="1:15" ht="15.75" thickBot="1" x14ac:dyDescent="0.35">
      <c r="A73" s="5" t="s">
        <v>137</v>
      </c>
      <c r="B73" s="15">
        <f>+'Diesel L1'!B73</f>
        <v>33000</v>
      </c>
      <c r="C73" s="15">
        <f>+'Diesel L1'!C73</f>
        <v>33000</v>
      </c>
      <c r="D73" s="15">
        <f>+'Diesel L1'!D73</f>
        <v>33000</v>
      </c>
      <c r="E73" s="15">
        <f>+'Diesel L1'!E73</f>
        <v>33000</v>
      </c>
      <c r="F73" s="15">
        <f>+'Diesel L1'!F73</f>
        <v>33000</v>
      </c>
      <c r="G73" s="57" t="s">
        <v>111</v>
      </c>
      <c r="H73" s="57" t="s">
        <v>111</v>
      </c>
      <c r="I73" s="57" t="s">
        <v>111</v>
      </c>
      <c r="J73" s="57" t="s">
        <v>111</v>
      </c>
      <c r="K73" s="57" t="s">
        <v>111</v>
      </c>
      <c r="L73" s="57" t="s">
        <v>111</v>
      </c>
      <c r="M73" s="3"/>
      <c r="N73" s="15">
        <v>4</v>
      </c>
    </row>
    <row r="74" spans="1:15" ht="15.75" thickBot="1" x14ac:dyDescent="0.35">
      <c r="A74" s="5" t="s">
        <v>113</v>
      </c>
      <c r="B74" s="14">
        <v>7200</v>
      </c>
      <c r="C74" s="14">
        <v>7200</v>
      </c>
      <c r="D74" s="14">
        <v>7200</v>
      </c>
      <c r="E74" s="14">
        <v>7200</v>
      </c>
      <c r="F74" s="14">
        <v>7200</v>
      </c>
      <c r="G74" s="47" t="str">
        <f>+'Diesel L1'!G74</f>
        <v>no data</v>
      </c>
      <c r="H74" s="47" t="str">
        <f>+'Diesel L1'!H74</f>
        <v>no data</v>
      </c>
      <c r="I74" s="57" t="s">
        <v>111</v>
      </c>
      <c r="J74" s="57" t="s">
        <v>111</v>
      </c>
      <c r="K74" s="57" t="s">
        <v>111</v>
      </c>
      <c r="L74" s="57" t="s">
        <v>111</v>
      </c>
      <c r="M74" s="3"/>
      <c r="N74" s="15">
        <v>4</v>
      </c>
    </row>
    <row r="75" spans="1:15" ht="15.75" thickBot="1" x14ac:dyDescent="0.35">
      <c r="A75" s="5" t="s">
        <v>112</v>
      </c>
      <c r="B75" s="13">
        <v>0.12</v>
      </c>
      <c r="C75" s="13">
        <v>0.12</v>
      </c>
      <c r="D75" s="13">
        <v>0.12</v>
      </c>
      <c r="E75" s="13">
        <v>0.12</v>
      </c>
      <c r="F75" s="13">
        <v>0.12</v>
      </c>
      <c r="G75" s="18" t="str">
        <f>+'Diesel L1'!G75</f>
        <v>no data</v>
      </c>
      <c r="H75" s="18" t="str">
        <f>+'Diesel L1'!H75</f>
        <v>no data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  <row r="77" spans="1:15" x14ac:dyDescent="0.3">
      <c r="A77" s="44"/>
      <c r="B77" s="44"/>
      <c r="C77" s="44"/>
      <c r="D77" s="9"/>
      <c r="E77" s="9"/>
      <c r="F77" s="9"/>
    </row>
    <row r="78" spans="1:15" x14ac:dyDescent="0.3">
      <c r="B78" s="9"/>
      <c r="C78" s="9"/>
      <c r="D78" s="9"/>
      <c r="E78" s="9"/>
      <c r="F78" s="9"/>
    </row>
    <row r="79" spans="1:15" x14ac:dyDescent="0.3">
      <c r="B79" s="9"/>
      <c r="C79" s="9"/>
      <c r="D79" s="9"/>
      <c r="E79" s="9"/>
      <c r="F79" s="9"/>
    </row>
    <row r="80" spans="1:15" x14ac:dyDescent="0.3">
      <c r="B80" s="9"/>
      <c r="C80" s="9"/>
      <c r="D80" s="9"/>
      <c r="E80" s="9"/>
      <c r="F80" s="9"/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600-000002000000}"/>
    <hyperlink ref="N2" location="References!A1" display="Ref" xr:uid="{1C286FE5-632F-4C29-B1A6-3624D15006D6}"/>
  </hyperlinks>
  <pageMargins left="0.7" right="0.7" top="0.75" bottom="0.75" header="0.3" footer="0.3"/>
  <pageSetup paperSize="9"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pageSetUpPr fitToPage="1"/>
  </sheetPr>
  <dimension ref="A1:O75"/>
  <sheetViews>
    <sheetView topLeftCell="A41" workbookViewId="0">
      <selection activeCell="B60" sqref="B60:F60"/>
    </sheetView>
  </sheetViews>
  <sheetFormatPr defaultRowHeight="15" x14ac:dyDescent="0.3"/>
  <cols>
    <col min="1" max="1" width="40.42578125" bestFit="1" customWidth="1"/>
    <col min="2" max="6" width="7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">
        <v>119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48</v>
      </c>
      <c r="B4" s="3">
        <v>45</v>
      </c>
      <c r="C4" s="14">
        <f t="shared" ref="C4:E6" si="0">B4+(C$2-B$2)*($F4-$B4)/($F$2-$B$2)</f>
        <v>45</v>
      </c>
      <c r="D4" s="14">
        <f t="shared" si="0"/>
        <v>45</v>
      </c>
      <c r="E4" s="14">
        <f t="shared" si="0"/>
        <v>45</v>
      </c>
      <c r="F4" s="3">
        <v>45</v>
      </c>
      <c r="G4" s="3">
        <v>38</v>
      </c>
      <c r="H4" s="3">
        <v>86</v>
      </c>
      <c r="I4" s="14">
        <f>+G4-C4+D4</f>
        <v>38</v>
      </c>
      <c r="J4" s="14">
        <f>+H4-C4+D4</f>
        <v>86</v>
      </c>
      <c r="K4" s="14">
        <f>+I4-D4+F4</f>
        <v>38</v>
      </c>
      <c r="L4" s="14">
        <f>+J4-D4+F4</f>
        <v>86</v>
      </c>
      <c r="M4" s="15"/>
      <c r="N4" s="3">
        <v>2</v>
      </c>
    </row>
    <row r="5" spans="1:14" ht="15.75" thickBot="1" x14ac:dyDescent="0.35">
      <c r="A5" s="5" t="s">
        <v>9</v>
      </c>
      <c r="B5" s="3">
        <v>11125</v>
      </c>
      <c r="C5" s="14">
        <f t="shared" si="0"/>
        <v>10807.758620689656</v>
      </c>
      <c r="D5" s="14">
        <f t="shared" si="0"/>
        <v>10411.206896551725</v>
      </c>
      <c r="E5" s="14">
        <f t="shared" si="0"/>
        <v>9618.1034482758623</v>
      </c>
      <c r="F5" s="3">
        <f>B5-2300</f>
        <v>8825</v>
      </c>
      <c r="G5" s="3">
        <v>9200</v>
      </c>
      <c r="H5" s="3">
        <v>14125</v>
      </c>
      <c r="I5" s="14">
        <f>+G5-C5+D5</f>
        <v>8803.4482758620688</v>
      </c>
      <c r="J5" s="14">
        <f>+H5-C5+D5</f>
        <v>13728.448275862069</v>
      </c>
      <c r="K5" s="14">
        <f>+I5-D5+F5</f>
        <v>7217.2413793103442</v>
      </c>
      <c r="L5" s="14">
        <f>+J5-D5+F5</f>
        <v>12142.241379310344</v>
      </c>
      <c r="M5" s="3"/>
      <c r="N5" s="3">
        <v>2</v>
      </c>
    </row>
    <row r="6" spans="1:14" ht="15.75" thickBot="1" x14ac:dyDescent="0.35">
      <c r="A6" s="5" t="s">
        <v>10</v>
      </c>
      <c r="B6" s="3">
        <v>18000</v>
      </c>
      <c r="C6" s="14">
        <f t="shared" si="0"/>
        <v>18000</v>
      </c>
      <c r="D6" s="14">
        <f t="shared" si="0"/>
        <v>18000</v>
      </c>
      <c r="E6" s="14">
        <f t="shared" si="0"/>
        <v>18000</v>
      </c>
      <c r="F6" s="3">
        <v>18000</v>
      </c>
      <c r="G6" s="3">
        <v>12000</v>
      </c>
      <c r="H6" s="3">
        <v>24000</v>
      </c>
      <c r="I6" s="3">
        <v>12000</v>
      </c>
      <c r="J6" s="14">
        <f>+H6-C6+D6</f>
        <v>24000</v>
      </c>
      <c r="K6" s="3">
        <v>12000</v>
      </c>
      <c r="L6" s="14">
        <f>+J6-D6+F6</f>
        <v>24000</v>
      </c>
      <c r="M6" s="3"/>
      <c r="N6" s="3">
        <v>2</v>
      </c>
    </row>
    <row r="7" spans="1:14" ht="15.75" thickBot="1" x14ac:dyDescent="0.35">
      <c r="A7" s="5" t="s">
        <v>51</v>
      </c>
      <c r="B7" s="3">
        <v>8.1999999999999993</v>
      </c>
      <c r="C7" s="14">
        <f t="shared" ref="C7:E8" si="1">B7+(C$2-B$2)*($F7-$B7)/($F$2-$B$2)</f>
        <v>8.7241379310344822</v>
      </c>
      <c r="D7" s="14">
        <f t="shared" si="1"/>
        <v>9.3793103448275854</v>
      </c>
      <c r="E7" s="14">
        <f t="shared" si="1"/>
        <v>10.689655172413792</v>
      </c>
      <c r="F7" s="3">
        <v>12</v>
      </c>
      <c r="G7" s="14">
        <f>+B7/H4*G4</f>
        <v>3.6232558139534881</v>
      </c>
      <c r="H7" s="14">
        <f>+B7/G4*H4</f>
        <v>18.557894736842105</v>
      </c>
      <c r="I7" s="14">
        <f>+D7/J4*I4</f>
        <v>4.1443464314354443</v>
      </c>
      <c r="J7" s="14">
        <f>+D7/I4*J4</f>
        <v>21.226860254083483</v>
      </c>
      <c r="K7" s="14">
        <f>+F7/L4*K4</f>
        <v>5.3023255813953485</v>
      </c>
      <c r="L7" s="14">
        <f>+F7/K4*L4</f>
        <v>27.157894736842103</v>
      </c>
      <c r="M7" s="3"/>
      <c r="N7" s="3">
        <v>2</v>
      </c>
    </row>
    <row r="8" spans="1:14" ht="15.75" thickBot="1" x14ac:dyDescent="0.35">
      <c r="A8" s="5" t="s">
        <v>52</v>
      </c>
      <c r="B8" s="3">
        <v>300</v>
      </c>
      <c r="C8" s="14">
        <f t="shared" si="1"/>
        <v>293.10344827586209</v>
      </c>
      <c r="D8" s="14">
        <f t="shared" si="1"/>
        <v>284.48275862068965</v>
      </c>
      <c r="E8" s="14">
        <f t="shared" si="1"/>
        <v>267.24137931034483</v>
      </c>
      <c r="F8" s="3">
        <v>250</v>
      </c>
      <c r="G8" s="3">
        <f>+B8*0.5</f>
        <v>150</v>
      </c>
      <c r="H8" s="3">
        <f>+B8*1.5</f>
        <v>450</v>
      </c>
      <c r="I8" s="14">
        <f>+D8*0.5</f>
        <v>142.24137931034483</v>
      </c>
      <c r="J8" s="14">
        <f>+D8*1.5</f>
        <v>426.72413793103448</v>
      </c>
      <c r="K8" s="14">
        <f>+F8*0.5</f>
        <v>125</v>
      </c>
      <c r="L8" s="14">
        <f>+F8*1.5</f>
        <v>375</v>
      </c>
      <c r="M8" s="3"/>
      <c r="N8" s="3">
        <v>2</v>
      </c>
    </row>
    <row r="9" spans="1:14" ht="15.75" thickBot="1" x14ac:dyDescent="0.35">
      <c r="A9" s="5" t="s">
        <v>13</v>
      </c>
      <c r="B9" s="14">
        <f>+'Diesel L1'!B9</f>
        <v>56</v>
      </c>
      <c r="C9" s="14">
        <f>+'Diesel L1'!C9</f>
        <v>51.03448275862069</v>
      </c>
      <c r="D9" s="14">
        <f>+'Diesel L1'!D9</f>
        <v>44.827586206896555</v>
      </c>
      <c r="E9" s="14">
        <f>+'Diesel L1'!E9</f>
        <v>32.413793103448278</v>
      </c>
      <c r="F9" s="14">
        <f>+'Diesel L1'!F9</f>
        <v>20</v>
      </c>
      <c r="G9" s="3">
        <f>+B9*0.5</f>
        <v>28</v>
      </c>
      <c r="H9" s="3">
        <f>+B9*1.5</f>
        <v>84</v>
      </c>
      <c r="I9" s="14">
        <f>+D9*0.5</f>
        <v>22.413793103448278</v>
      </c>
      <c r="J9" s="14">
        <f>+D9*1.5</f>
        <v>67.241379310344826</v>
      </c>
      <c r="K9" s="14">
        <f>+F9*0.5</f>
        <v>10</v>
      </c>
      <c r="L9" s="14">
        <f>+F9*1.5</f>
        <v>30</v>
      </c>
      <c r="M9" s="3"/>
      <c r="N9" s="3">
        <v>2</v>
      </c>
    </row>
    <row r="10" spans="1:14" ht="15.75" thickBot="1" x14ac:dyDescent="0.35">
      <c r="A10" s="5" t="s">
        <v>105</v>
      </c>
      <c r="B10" s="14">
        <f>+'Diesel L1'!B10</f>
        <v>36000</v>
      </c>
      <c r="C10" s="14">
        <f>+'Diesel L1'!C10</f>
        <v>36000</v>
      </c>
      <c r="D10" s="14">
        <f>+'Diesel L1'!D10</f>
        <v>36000</v>
      </c>
      <c r="E10" s="14">
        <f>+'Diesel L1'!E10</f>
        <v>36000</v>
      </c>
      <c r="F10" s="14">
        <f>+'Diesel L1'!F10</f>
        <v>36000</v>
      </c>
      <c r="G10" s="14">
        <f>+'Diesel L1'!G10</f>
        <v>21000</v>
      </c>
      <c r="H10" s="14">
        <f>+'Diesel L1'!H10</f>
        <v>120000</v>
      </c>
      <c r="I10" s="14">
        <f>+'Diesel L1'!I10</f>
        <v>21000</v>
      </c>
      <c r="J10" s="14">
        <f>+'Diesel L1'!J10</f>
        <v>120000</v>
      </c>
      <c r="K10" s="14">
        <f>+'Diesel L1'!K10</f>
        <v>21000</v>
      </c>
      <c r="L10" s="14">
        <f>+'Diesel L1'!L10</f>
        <v>120000</v>
      </c>
      <c r="M10" s="3"/>
      <c r="N10" s="3">
        <v>2</v>
      </c>
    </row>
    <row r="11" spans="1:14" ht="15.75" thickBot="1" x14ac:dyDescent="0.35">
      <c r="A11" s="5" t="s">
        <v>73</v>
      </c>
      <c r="B11" s="14">
        <f>B8*10/B10*60</f>
        <v>5</v>
      </c>
      <c r="C11" s="14">
        <f t="shared" ref="C11:F11" si="2">C8*10/C10*60</f>
        <v>4.8850574712643686</v>
      </c>
      <c r="D11" s="14">
        <f t="shared" si="2"/>
        <v>4.7413793103448274</v>
      </c>
      <c r="E11" s="14">
        <f t="shared" si="2"/>
        <v>4.4540229885057476</v>
      </c>
      <c r="F11" s="14">
        <f t="shared" si="2"/>
        <v>4.166666666666667</v>
      </c>
      <c r="G11" s="14">
        <f>G8*10/H10*60</f>
        <v>0.75</v>
      </c>
      <c r="H11" s="14">
        <f>H8*10/G10*60</f>
        <v>12.857142857142856</v>
      </c>
      <c r="I11" s="14">
        <f>I8*10/J10*60</f>
        <v>0.7112068965517242</v>
      </c>
      <c r="J11" s="14">
        <f>J8*10/I10*60</f>
        <v>12.192118226600986</v>
      </c>
      <c r="K11" s="14">
        <f>K8*10/L10*60</f>
        <v>0.625</v>
      </c>
      <c r="L11" s="14">
        <f>L8*10/K10*60</f>
        <v>10.714285714285715</v>
      </c>
      <c r="M11" s="3"/>
      <c r="N11" s="3">
        <v>2</v>
      </c>
    </row>
    <row r="12" spans="1:14" ht="15.75" thickBot="1" x14ac:dyDescent="0.35">
      <c r="A12" s="5" t="s">
        <v>15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250</v>
      </c>
      <c r="C14" s="3">
        <v>250</v>
      </c>
      <c r="D14" s="3">
        <v>250</v>
      </c>
      <c r="E14" s="3">
        <v>250</v>
      </c>
      <c r="F14" s="3">
        <v>250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3"/>
      <c r="N14" s="3">
        <v>2</v>
      </c>
    </row>
    <row r="15" spans="1:14" ht="15.75" thickBot="1" x14ac:dyDescent="0.35">
      <c r="A15" s="5" t="s">
        <v>106</v>
      </c>
      <c r="B15" s="3">
        <v>12</v>
      </c>
      <c r="C15" s="3">
        <v>12</v>
      </c>
      <c r="D15" s="3">
        <v>12</v>
      </c>
      <c r="E15" s="3">
        <v>12</v>
      </c>
      <c r="F15" s="3">
        <v>12</v>
      </c>
      <c r="G15" s="57">
        <v>10</v>
      </c>
      <c r="H15" s="57">
        <v>18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">
        <v>12</v>
      </c>
      <c r="C16" s="3">
        <v>12</v>
      </c>
      <c r="D16" s="3">
        <v>12</v>
      </c>
      <c r="E16" s="3">
        <v>12</v>
      </c>
      <c r="F16" s="3">
        <v>12</v>
      </c>
      <c r="G16" s="57">
        <v>12</v>
      </c>
      <c r="H16" s="57">
        <v>15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149</v>
      </c>
      <c r="B19" s="26">
        <f>Simulations!G32</f>
        <v>0.10645693552543081</v>
      </c>
      <c r="C19" s="26">
        <f t="shared" ref="C19:E21" si="3">B19+(C$2-B$2)*($F19-$B19)/($F$2-$B$2)</f>
        <v>0.11014933618709064</v>
      </c>
      <c r="D19" s="26">
        <f t="shared" si="3"/>
        <v>0.11476483701416543</v>
      </c>
      <c r="E19" s="26">
        <f t="shared" si="3"/>
        <v>0.123995838668315</v>
      </c>
      <c r="F19" s="26">
        <f>+Simulations!G167</f>
        <v>0.13322684032246457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150</v>
      </c>
      <c r="B20" s="26">
        <f>Simulations!G33</f>
        <v>0.27228336131274727</v>
      </c>
      <c r="C20" s="27">
        <f t="shared" si="3"/>
        <v>0.28402256700047224</v>
      </c>
      <c r="D20" s="27">
        <f t="shared" si="3"/>
        <v>0.29869657411012845</v>
      </c>
      <c r="E20" s="27">
        <f t="shared" si="3"/>
        <v>0.32804458832944094</v>
      </c>
      <c r="F20" s="19">
        <f>+Simulations!G168</f>
        <v>0.35739260254875344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151</v>
      </c>
      <c r="B21" s="26">
        <f>Simulations!G34</f>
        <v>0.33566489864488835</v>
      </c>
      <c r="C21" s="27">
        <f t="shared" si="3"/>
        <v>0.34893643894311893</v>
      </c>
      <c r="D21" s="27">
        <f t="shared" si="3"/>
        <v>0.36552586431590717</v>
      </c>
      <c r="E21" s="27">
        <f t="shared" si="3"/>
        <v>0.39870471506148364</v>
      </c>
      <c r="F21" s="19">
        <f>+Simulations!G169</f>
        <v>0.43188356580706017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149</v>
      </c>
      <c r="B23" s="13">
        <f>+Simulations!E29</f>
        <v>10.70455895492216</v>
      </c>
      <c r="C23" s="13">
        <f t="shared" ref="C23:E25" si="4">B23+(C$2-B$2)*($F23-$B23)/($F$2-$B$2)</f>
        <v>10.14142610923739</v>
      </c>
      <c r="D23" s="13">
        <f t="shared" si="4"/>
        <v>9.4375100521314277</v>
      </c>
      <c r="E23" s="13">
        <f t="shared" si="4"/>
        <v>8.0296779379195033</v>
      </c>
      <c r="F23" s="28">
        <f>+Simulations!E173</f>
        <v>6.6218458237075808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150</v>
      </c>
      <c r="B24" s="13">
        <f>+Simulations!E30</f>
        <v>7.524467247388948</v>
      </c>
      <c r="C24" s="13">
        <f t="shared" si="4"/>
        <v>7.006664767361455</v>
      </c>
      <c r="D24" s="13">
        <f t="shared" si="4"/>
        <v>6.3594116673270893</v>
      </c>
      <c r="E24" s="13">
        <f t="shared" si="4"/>
        <v>5.0649054672583578</v>
      </c>
      <c r="F24" s="28">
        <f>+Simulations!E174</f>
        <v>3.7703992671896267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151</v>
      </c>
      <c r="B25" s="13">
        <f>+Simulations!E31</f>
        <v>7.5902594507926615</v>
      </c>
      <c r="C25" s="13">
        <f t="shared" si="4"/>
        <v>7.0409488477677771</v>
      </c>
      <c r="D25" s="13">
        <f t="shared" si="4"/>
        <v>6.3543105939866713</v>
      </c>
      <c r="E25" s="13">
        <f t="shared" si="4"/>
        <v>4.9810340864244598</v>
      </c>
      <c r="F25" s="28">
        <f>+Simulations!E175</f>
        <v>3.6077575788622478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149</v>
      </c>
      <c r="B27" s="13">
        <f>+Simulations!E35</f>
        <v>14.19205043741646</v>
      </c>
      <c r="C27" s="13">
        <f t="shared" ref="C27:E29" si="5">B27+(C$2-B$2)*($F27-$B27)/($F$2-$B$2)</f>
        <v>13.673589779987742</v>
      </c>
      <c r="D27" s="13">
        <f t="shared" si="5"/>
        <v>13.025513958201843</v>
      </c>
      <c r="E27" s="13">
        <f t="shared" si="5"/>
        <v>11.729362314630047</v>
      </c>
      <c r="F27" s="28">
        <f>+Simulations!E170</f>
        <v>10.433210671058252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150</v>
      </c>
      <c r="B28" s="13">
        <f>+Simulations!E36</f>
        <v>8.933591844245008</v>
      </c>
      <c r="C28" s="13">
        <f t="shared" si="5"/>
        <v>8.461942825056127</v>
      </c>
      <c r="D28" s="13">
        <f t="shared" si="5"/>
        <v>7.8723815510700259</v>
      </c>
      <c r="E28" s="13">
        <f t="shared" si="5"/>
        <v>6.6932590030978245</v>
      </c>
      <c r="F28" s="28">
        <f>+Simulations!E171</f>
        <v>5.514136455125624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151</v>
      </c>
      <c r="B29" s="13">
        <f>+Simulations!E37</f>
        <v>8.4089960781579425</v>
      </c>
      <c r="C29" s="13">
        <f t="shared" si="5"/>
        <v>7.9442436297298658</v>
      </c>
      <c r="D29" s="13">
        <f t="shared" si="5"/>
        <v>7.3633030691947701</v>
      </c>
      <c r="E29" s="13">
        <f t="shared" si="5"/>
        <v>6.2014219481245796</v>
      </c>
      <c r="F29" s="28">
        <f>+Simulations!E172</f>
        <v>5.0395408270543891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149</v>
      </c>
      <c r="B31" s="13">
        <f>+Simulations!E32</f>
        <v>11.015199441605525</v>
      </c>
      <c r="C31" s="13">
        <f t="shared" ref="C31:E33" si="6">B31+(C$2-B$2)*($F31-$B31)/($F$2-$B$2)</f>
        <v>10.317775549097163</v>
      </c>
      <c r="D31" s="13">
        <f t="shared" si="6"/>
        <v>9.445995683461712</v>
      </c>
      <c r="E31" s="13">
        <f t="shared" si="6"/>
        <v>7.7024359521908092</v>
      </c>
      <c r="F31" s="28">
        <f>+Simulations!E167</f>
        <v>5.9588762209199073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150</v>
      </c>
      <c r="B32" s="13">
        <f>+Simulations!E33</f>
        <v>7.6304568310389485</v>
      </c>
      <c r="C32" s="13">
        <f t="shared" si="6"/>
        <v>7.1261561050962818</v>
      </c>
      <c r="D32" s="13">
        <f t="shared" si="6"/>
        <v>6.4957801976679486</v>
      </c>
      <c r="E32" s="13">
        <f t="shared" si="6"/>
        <v>5.2350283828112811</v>
      </c>
      <c r="F32" s="28">
        <f>+Simulations!E168</f>
        <v>3.9742765679546141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151</v>
      </c>
      <c r="B33" s="13">
        <f>+Simulations!E34</f>
        <v>7.6590502723416147</v>
      </c>
      <c r="C33" s="13">
        <f t="shared" si="6"/>
        <v>7.1653147099090742</v>
      </c>
      <c r="D33" s="13">
        <f t="shared" si="6"/>
        <v>6.5481452568683984</v>
      </c>
      <c r="E33" s="13">
        <f t="shared" si="6"/>
        <v>5.313806350787047</v>
      </c>
      <c r="F33" s="28">
        <f>+Simulations!E169</f>
        <v>4.0794674447056956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149</v>
      </c>
      <c r="B35" s="14">
        <f>+B$8*[1]Fremskrivninger!$S$6/B23</f>
        <v>1008.9159250259399</v>
      </c>
      <c r="C35" s="14">
        <f>+C$8*[1]Fremskrivninger!$S$6/C23</f>
        <v>1040.4576264002874</v>
      </c>
      <c r="D35" s="14">
        <f>+D$8*[1]Fremskrivninger!$S$6/D23</f>
        <v>1085.178108820329</v>
      </c>
      <c r="E35" s="14">
        <f>+E$8*[1]Fremskrivninger!$S$6/E23</f>
        <v>1198.1414110943958</v>
      </c>
      <c r="F35" s="14">
        <f>+F$8*[1]Fremskrivninger!$S$6/F23</f>
        <v>1359.1376543045044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150</v>
      </c>
      <c r="B36" s="14">
        <f>+B$8*[1]Fremskrivninger!$S$6/B24</f>
        <v>1435.3175640106199</v>
      </c>
      <c r="C36" s="14">
        <f>+C$8*[1]Fremskrivninger!$S$6/C24</f>
        <v>1505.9553280018799</v>
      </c>
      <c r="D36" s="14">
        <f>+D$8*[1]Fremskrivninger!$S$6/D24</f>
        <v>1610.4287387089944</v>
      </c>
      <c r="E36" s="14">
        <f>+E$8*[1]Fremskrivninger!$S$6/E24</f>
        <v>1899.4805959093467</v>
      </c>
      <c r="F36" s="14">
        <f>+F$8*[1]Fremskrivninger!$S$6/F24</f>
        <v>2387.0151042938228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151</v>
      </c>
      <c r="B37" s="14">
        <f>+B$8*[1]Fremskrivninger!$S$6/B25</f>
        <v>1422.8762626647947</v>
      </c>
      <c r="C37" s="14">
        <f>+C$8*[1]Fremskrivninger!$S$6/C25</f>
        <v>1498.6224678050737</v>
      </c>
      <c r="D37" s="14">
        <f>+D$8*[1]Fremskrivninger!$S$6/D25</f>
        <v>1611.7215485243419</v>
      </c>
      <c r="E37" s="14">
        <f>+E$8*[1]Fremskrivninger!$S$6/E25</f>
        <v>1931.4643281388267</v>
      </c>
      <c r="F37" s="14">
        <f>+F$8*[1]Fremskrivninger!$S$6/F25</f>
        <v>2494.6243762969975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149</v>
      </c>
      <c r="B39" s="14">
        <f>+B$8*[1]Fremskrivninger!$S$6/B27</f>
        <v>760.98940372467041</v>
      </c>
      <c r="C39" s="14">
        <f>+C$8*[1]Fremskrivninger!$S$6/C27</f>
        <v>771.68646329980038</v>
      </c>
      <c r="D39" s="14">
        <f>+D$8*[1]Fremskrivninger!$S$6/D27</f>
        <v>786.25529427927756</v>
      </c>
      <c r="E39" s="14">
        <f>+E$8*[1]Fremskrivninger!$S$6/E27</f>
        <v>820.22273650567649</v>
      </c>
      <c r="F39" s="14">
        <f>+F$8*[1]Fremskrivninger!$S$6/F27</f>
        <v>862.62995004653931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150</v>
      </c>
      <c r="B40" s="14">
        <f>+B$8*[1]Fremskrivninger!$S$6/B28</f>
        <v>1208.9202404022215</v>
      </c>
      <c r="C40" s="14">
        <f>+C$8*[1]Fremskrivninger!$S$6/C28</f>
        <v>1246.96235321834</v>
      </c>
      <c r="D40" s="14">
        <f>+D$8*[1]Fremskrivninger!$S$6/D28</f>
        <v>1300.9251703447737</v>
      </c>
      <c r="E40" s="14">
        <f>+E$8*[1]Fremskrivninger!$S$6/E28</f>
        <v>1437.3699943061658</v>
      </c>
      <c r="F40" s="14">
        <f>+F$8*[1]Fremskrivninger!$S$6/F28</f>
        <v>1632.1685314178465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151</v>
      </c>
      <c r="B41" s="14">
        <f>+B$8*[1]Fremskrivninger!$S$6/B29</f>
        <v>1284.3388080596924</v>
      </c>
      <c r="C41" s="14">
        <f>+C$8*[1]Fremskrivninger!$S$6/C29</f>
        <v>1328.2226263105974</v>
      </c>
      <c r="D41" s="14">
        <f>+D$8*[1]Fremskrivninger!$S$6/D29</f>
        <v>1390.8675514377267</v>
      </c>
      <c r="E41" s="14">
        <f>+E$8*[1]Fremskrivninger!$S$6/E29</f>
        <v>1551.3683370766089</v>
      </c>
      <c r="F41" s="14">
        <f>+F$8*[1]Fremskrivninger!$S$6/F29</f>
        <v>1785.876989364624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149</v>
      </c>
      <c r="B43" s="14">
        <f>+B$8*[1]Fremskrivninger!$S$6/B31</f>
        <v>980.46340942382813</v>
      </c>
      <c r="C43" s="14">
        <f>+C$8*[1]Fremskrivninger!$S$6/C31</f>
        <v>1022.6743242979679</v>
      </c>
      <c r="D43" s="14">
        <f>+D$8*[1]Fremskrivninger!$S$6/D31</f>
        <v>1084.2032596177969</v>
      </c>
      <c r="E43" s="14">
        <f>+E$8*[1]Fremskrivninger!$S$6/E31</f>
        <v>1249.045070272346</v>
      </c>
      <c r="F43" s="14">
        <f>+F$8*[1]Fremskrivninger!$S$6/F31</f>
        <v>1510.3518962860107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150</v>
      </c>
      <c r="B44" s="14">
        <f>+B$8*[1]Fremskrivninger!$S$6/B32</f>
        <v>1415.3805255889893</v>
      </c>
      <c r="C44" s="14">
        <f>+C$8*[1]Fremskrivninger!$S$6/C32</f>
        <v>1480.7034791709032</v>
      </c>
      <c r="D44" s="14">
        <f>+D$8*[1]Fremskrivninger!$S$6/D32</f>
        <v>1576.6203594791566</v>
      </c>
      <c r="E44" s="14">
        <f>+E$8*[1]Fremskrivninger!$S$6/E32</f>
        <v>1837.7531030702785</v>
      </c>
      <c r="F44" s="14">
        <f>+F$8*[1]Fremskrivninger!$S$6/F32</f>
        <v>2264.5630836486816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151</v>
      </c>
      <c r="B45" s="14">
        <f>+B$8*[1]Fremskrivninger!$S$6/B33</f>
        <v>1410.0965023040771</v>
      </c>
      <c r="C45" s="14">
        <f>+C$8*[1]Fremskrivninger!$S$6/C33</f>
        <v>1472.6114016093138</v>
      </c>
      <c r="D45" s="14">
        <f>+D$8*[1]Fremskrivninger!$S$6/D33</f>
        <v>1564.0122368395187</v>
      </c>
      <c r="E45" s="14">
        <f>+E$8*[1]Fremskrivninger!$S$6/E33</f>
        <v>1810.5081405059968</v>
      </c>
      <c r="F45" s="14">
        <f>+F$8*[1]Fremskrivninger!$S$6/F33</f>
        <v>2206.1703205108643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14">
        <f>B31*[1]Fremskrivninger!$S$10</f>
        <v>820.63235839961158</v>
      </c>
      <c r="C48" s="14">
        <f>C31*[1]Fremskrivninger!$S$10</f>
        <v>768.67427840773871</v>
      </c>
      <c r="D48" s="14">
        <f>D31*[1]Fremskrivninger!$S$10</f>
        <v>703.72667841789757</v>
      </c>
      <c r="E48" s="14">
        <f>E31*[1]Fremskrivninger!$S$10</f>
        <v>573.8314784382153</v>
      </c>
      <c r="F48" s="14">
        <f>F31*[1]Fremskrivninger!$S$10</f>
        <v>443.93627845853308</v>
      </c>
      <c r="G48" s="57" t="s">
        <v>111</v>
      </c>
      <c r="H48" s="57" t="s">
        <v>111</v>
      </c>
      <c r="I48" s="57" t="s">
        <v>111</v>
      </c>
      <c r="J48" s="57" t="s">
        <v>111</v>
      </c>
      <c r="K48" s="57" t="s">
        <v>111</v>
      </c>
      <c r="L48" s="57" t="s">
        <v>111</v>
      </c>
      <c r="M48" s="3"/>
      <c r="N48" s="15">
        <v>3</v>
      </c>
    </row>
    <row r="49" spans="1:14" ht="15.75" thickBot="1" x14ac:dyDescent="0.35">
      <c r="A49" s="5" t="s">
        <v>23</v>
      </c>
      <c r="B49" s="13">
        <f>0.0075*B7/1000</f>
        <v>6.1499999999999991E-5</v>
      </c>
      <c r="C49" s="13">
        <f t="shared" ref="C49:E52" si="7">B49+(C$2-B$2)*($F49-$B49)/($F$2-$B$2)</f>
        <v>5.7606146818616967E-5</v>
      </c>
      <c r="D49" s="13">
        <f t="shared" si="7"/>
        <v>5.2738830341888186E-5</v>
      </c>
      <c r="E49" s="13">
        <f t="shared" si="7"/>
        <v>4.3004197388430623E-5</v>
      </c>
      <c r="F49" s="16">
        <f>+B49*F48/B48</f>
        <v>3.3269564434973054E-5</v>
      </c>
      <c r="G49" s="57" t="s">
        <v>111</v>
      </c>
      <c r="H49" s="57" t="s">
        <v>111</v>
      </c>
      <c r="I49" s="57" t="s">
        <v>111</v>
      </c>
      <c r="J49" s="57" t="s">
        <v>111</v>
      </c>
      <c r="K49" s="57" t="s">
        <v>111</v>
      </c>
      <c r="L49" s="57" t="s">
        <v>111</v>
      </c>
      <c r="M49" s="3"/>
      <c r="N49" s="15">
        <v>3</v>
      </c>
    </row>
    <row r="50" spans="1:14" ht="15.75" thickBot="1" x14ac:dyDescent="0.35">
      <c r="A50" s="5" t="s">
        <v>24</v>
      </c>
      <c r="B50" s="20">
        <f>0.7*B31/3.6*B19/100</f>
        <v>2.2801418436898123E-3</v>
      </c>
      <c r="C50" s="13">
        <f t="shared" si="7"/>
        <v>2.1357753791035336E-3</v>
      </c>
      <c r="D50" s="13">
        <f t="shared" si="7"/>
        <v>1.9553172983706852E-3</v>
      </c>
      <c r="E50" s="13">
        <f t="shared" si="7"/>
        <v>1.5944011369049887E-3</v>
      </c>
      <c r="F50" s="20">
        <f>+B50*F49/B49</f>
        <v>1.2334849754392922E-3</v>
      </c>
      <c r="G50" s="57" t="s">
        <v>111</v>
      </c>
      <c r="H50" s="57" t="s">
        <v>111</v>
      </c>
      <c r="I50" s="57" t="s">
        <v>111</v>
      </c>
      <c r="J50" s="57" t="s">
        <v>111</v>
      </c>
      <c r="K50" s="57" t="s">
        <v>111</v>
      </c>
      <c r="L50" s="57" t="s">
        <v>111</v>
      </c>
      <c r="M50" s="3"/>
      <c r="N50" s="15">
        <v>3</v>
      </c>
    </row>
    <row r="51" spans="1:14" ht="15.75" thickBot="1" x14ac:dyDescent="0.35">
      <c r="A51" s="5" t="s">
        <v>25</v>
      </c>
      <c r="B51" s="16">
        <f>0.00094*B7/1000</f>
        <v>7.707999999999998E-6</v>
      </c>
      <c r="C51" s="13">
        <f t="shared" si="7"/>
        <v>7.2199704012666587E-6</v>
      </c>
      <c r="D51" s="13">
        <f t="shared" si="7"/>
        <v>6.6099334028499847E-6</v>
      </c>
      <c r="E51" s="13">
        <f t="shared" si="7"/>
        <v>5.3898594060166368E-6</v>
      </c>
      <c r="F51" s="16">
        <f>+B51*F50/B50</f>
        <v>4.1697854091832888E-6</v>
      </c>
      <c r="G51" s="57" t="s">
        <v>111</v>
      </c>
      <c r="H51" s="57" t="s">
        <v>111</v>
      </c>
      <c r="I51" s="57" t="s">
        <v>111</v>
      </c>
      <c r="J51" s="57" t="s">
        <v>111</v>
      </c>
      <c r="K51" s="57" t="s">
        <v>111</v>
      </c>
      <c r="L51" s="57" t="s">
        <v>111</v>
      </c>
      <c r="M51" s="3"/>
      <c r="N51" s="15">
        <v>3</v>
      </c>
    </row>
    <row r="52" spans="1:14" ht="15.75" thickBot="1" x14ac:dyDescent="0.35">
      <c r="A52" s="5" t="s">
        <v>26</v>
      </c>
      <c r="B52" s="16">
        <f>0.0019*B7/1000</f>
        <v>1.558E-5</v>
      </c>
      <c r="C52" s="13">
        <f t="shared" si="7"/>
        <v>1.4593557194049633E-5</v>
      </c>
      <c r="D52" s="13">
        <f t="shared" si="7"/>
        <v>1.3360503686611675E-5</v>
      </c>
      <c r="E52" s="13">
        <f t="shared" si="7"/>
        <v>1.0894396671735758E-5</v>
      </c>
      <c r="F52" s="16">
        <f>+B52*F51/B51</f>
        <v>8.4282896568598409E-6</v>
      </c>
      <c r="G52" s="57" t="s">
        <v>111</v>
      </c>
      <c r="H52" s="57" t="s">
        <v>111</v>
      </c>
      <c r="I52" s="57" t="s">
        <v>111</v>
      </c>
      <c r="J52" s="57" t="s">
        <v>111</v>
      </c>
      <c r="K52" s="57" t="s">
        <v>111</v>
      </c>
      <c r="L52" s="57" t="s">
        <v>111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14">
        <f>B32*[1]Fremskrivninger!$S$10</f>
        <v>568.46903391240164</v>
      </c>
      <c r="C54" s="14">
        <f>C32*[1]Fremskrivninger!$S$10</f>
        <v>530.89862982967304</v>
      </c>
      <c r="D54" s="14">
        <f>D32*[1]Fremskrivninger!$S$10</f>
        <v>483.93562472626218</v>
      </c>
      <c r="E54" s="14">
        <f>E32*[1]Fremskrivninger!$S$10</f>
        <v>390.00961451944045</v>
      </c>
      <c r="F54" s="14">
        <f>F32*[1]Fremskrivninger!$S$10</f>
        <v>296.08360431261877</v>
      </c>
      <c r="G54" s="57" t="s">
        <v>111</v>
      </c>
      <c r="H54" s="57" t="s">
        <v>111</v>
      </c>
      <c r="I54" s="57" t="s">
        <v>111</v>
      </c>
      <c r="J54" s="57" t="s">
        <v>111</v>
      </c>
      <c r="K54" s="57" t="s">
        <v>111</v>
      </c>
      <c r="L54" s="57" t="s">
        <v>111</v>
      </c>
      <c r="M54" s="3"/>
      <c r="N54" s="15">
        <v>3</v>
      </c>
    </row>
    <row r="55" spans="1:14" ht="15.75" thickBot="1" x14ac:dyDescent="0.35">
      <c r="A55" s="5" t="s">
        <v>23</v>
      </c>
      <c r="B55" s="16">
        <f>0.002*B32</f>
        <v>1.5260913662077897E-2</v>
      </c>
      <c r="C55" s="13">
        <f t="shared" ref="C55:E58" si="8">B55+(C$2-B$2)*($F55-$B55)/($F$2-$B$2)</f>
        <v>1.4252312210192564E-2</v>
      </c>
      <c r="D55" s="13">
        <f t="shared" si="8"/>
        <v>1.2991560395335897E-2</v>
      </c>
      <c r="E55" s="13">
        <f t="shared" si="8"/>
        <v>1.0470056765622564E-2</v>
      </c>
      <c r="F55" s="16">
        <f>+B55*F54/B54</f>
        <v>7.9485531359092289E-3</v>
      </c>
      <c r="G55" s="57" t="s">
        <v>111</v>
      </c>
      <c r="H55" s="57" t="s">
        <v>111</v>
      </c>
      <c r="I55" s="57" t="s">
        <v>111</v>
      </c>
      <c r="J55" s="57" t="s">
        <v>111</v>
      </c>
      <c r="K55" s="57" t="s">
        <v>111</v>
      </c>
      <c r="L55" s="57" t="s">
        <v>111</v>
      </c>
      <c r="M55" s="3"/>
      <c r="N55" s="15">
        <v>3</v>
      </c>
    </row>
    <row r="56" spans="1:14" ht="15.75" thickBot="1" x14ac:dyDescent="0.35">
      <c r="A56" s="5" t="s">
        <v>24</v>
      </c>
      <c r="B56" s="20">
        <f>0.5*B32/3.6*B19/100</f>
        <v>1.1282153484604117E-3</v>
      </c>
      <c r="C56" s="13">
        <f t="shared" si="8"/>
        <v>1.0536510292005416E-3</v>
      </c>
      <c r="D56" s="13">
        <f t="shared" si="8"/>
        <v>9.6044563012570399E-4</v>
      </c>
      <c r="E56" s="13">
        <f t="shared" si="8"/>
        <v>7.7403483197602892E-4</v>
      </c>
      <c r="F56" s="20">
        <f>+B56*F55/B55</f>
        <v>5.8762403382635385E-4</v>
      </c>
      <c r="G56" s="57" t="s">
        <v>111</v>
      </c>
      <c r="H56" s="57" t="s">
        <v>111</v>
      </c>
      <c r="I56" s="57" t="s">
        <v>111</v>
      </c>
      <c r="J56" s="57" t="s">
        <v>111</v>
      </c>
      <c r="K56" s="57" t="s">
        <v>111</v>
      </c>
      <c r="L56" s="57" t="s">
        <v>111</v>
      </c>
      <c r="M56" s="3"/>
      <c r="N56" s="15">
        <v>3</v>
      </c>
    </row>
    <row r="57" spans="1:14" ht="15.75" thickBot="1" x14ac:dyDescent="0.35">
      <c r="A57" s="5" t="s">
        <v>25</v>
      </c>
      <c r="B57" s="16">
        <f>0.000252*B32</f>
        <v>1.922875121421815E-3</v>
      </c>
      <c r="C57" s="13">
        <f t="shared" si="8"/>
        <v>1.7957913384842629E-3</v>
      </c>
      <c r="D57" s="13">
        <f t="shared" si="8"/>
        <v>1.6369366098123229E-3</v>
      </c>
      <c r="E57" s="13">
        <f t="shared" si="8"/>
        <v>1.3192271524684429E-3</v>
      </c>
      <c r="F57" s="20">
        <f>+B57*F56/B56</f>
        <v>1.0015176951245627E-3</v>
      </c>
      <c r="G57" s="57" t="s">
        <v>111</v>
      </c>
      <c r="H57" s="57" t="s">
        <v>111</v>
      </c>
      <c r="I57" s="57" t="s">
        <v>111</v>
      </c>
      <c r="J57" s="57" t="s">
        <v>111</v>
      </c>
      <c r="K57" s="57" t="s">
        <v>111</v>
      </c>
      <c r="L57" s="57" t="s">
        <v>111</v>
      </c>
      <c r="M57" s="3"/>
      <c r="N57" s="15">
        <v>3</v>
      </c>
    </row>
    <row r="58" spans="1:14" ht="15.75" thickBot="1" x14ac:dyDescent="0.35">
      <c r="A58" s="5" t="s">
        <v>29</v>
      </c>
      <c r="B58" s="16">
        <f>0.00052*B32</f>
        <v>3.9678375521402529E-3</v>
      </c>
      <c r="C58" s="13">
        <f t="shared" si="8"/>
        <v>3.7056011746500663E-3</v>
      </c>
      <c r="D58" s="13">
        <f t="shared" si="8"/>
        <v>3.3778057027873329E-3</v>
      </c>
      <c r="E58" s="13">
        <f t="shared" si="8"/>
        <v>2.722214759061866E-3</v>
      </c>
      <c r="F58" s="16">
        <f>+B58*F57/B57</f>
        <v>2.0666238153363992E-3</v>
      </c>
      <c r="G58" s="57" t="s">
        <v>111</v>
      </c>
      <c r="H58" s="57" t="s">
        <v>111</v>
      </c>
      <c r="I58" s="57" t="s">
        <v>111</v>
      </c>
      <c r="J58" s="57" t="s">
        <v>111</v>
      </c>
      <c r="K58" s="57" t="s">
        <v>111</v>
      </c>
      <c r="L58" s="57" t="s">
        <v>111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14">
        <f>B33*[1]Fremskrivninger!$S$10</f>
        <v>570.59924528945032</v>
      </c>
      <c r="C60" s="14">
        <f>C33*[1]Fremskrivninger!$S$10</f>
        <v>533.815945888226</v>
      </c>
      <c r="D60" s="14">
        <f>D33*[1]Fremskrivninger!$S$10</f>
        <v>487.83682163669567</v>
      </c>
      <c r="E60" s="14">
        <f>E33*[1]Fremskrivninger!$S$10</f>
        <v>395.87857313363497</v>
      </c>
      <c r="F60" s="14">
        <f>F33*[1]Fremskrivninger!$S$10</f>
        <v>303.92032463057433</v>
      </c>
      <c r="G60" s="57" t="s">
        <v>111</v>
      </c>
      <c r="H60" s="57" t="s">
        <v>111</v>
      </c>
      <c r="I60" s="57" t="s">
        <v>111</v>
      </c>
      <c r="J60" s="57" t="s">
        <v>111</v>
      </c>
      <c r="K60" s="57" t="s">
        <v>111</v>
      </c>
      <c r="L60" s="57" t="s">
        <v>111</v>
      </c>
      <c r="M60" s="3"/>
      <c r="N60" s="15">
        <v>3</v>
      </c>
    </row>
    <row r="61" spans="1:14" ht="15.75" thickBot="1" x14ac:dyDescent="0.35">
      <c r="A61" s="8" t="s">
        <v>32</v>
      </c>
      <c r="B61" s="13">
        <f>0.049/[1]Fremskrivninger!S7</f>
        <v>3.0447188419629363E-2</v>
      </c>
      <c r="C61" s="13">
        <f t="shared" ref="C61:E64" si="9">B61+(C$2-B$2)*($F61-$B61)/($F$2-$B$2)</f>
        <v>2.8484430745464206E-2</v>
      </c>
      <c r="D61" s="13">
        <f t="shared" si="9"/>
        <v>2.6030983652757758E-2</v>
      </c>
      <c r="E61" s="13">
        <f t="shared" si="9"/>
        <v>2.1124089467344866E-2</v>
      </c>
      <c r="F61" s="16">
        <f>+B61*F60/B60</f>
        <v>1.6217195281931975E-2</v>
      </c>
      <c r="G61" s="57" t="s">
        <v>111</v>
      </c>
      <c r="H61" s="57" t="s">
        <v>111</v>
      </c>
      <c r="I61" s="57" t="s">
        <v>111</v>
      </c>
      <c r="J61" s="57" t="s">
        <v>111</v>
      </c>
      <c r="K61" s="57" t="s">
        <v>111</v>
      </c>
      <c r="L61" s="57" t="s">
        <v>111</v>
      </c>
      <c r="M61" s="3"/>
      <c r="N61" s="15">
        <v>3</v>
      </c>
    </row>
    <row r="62" spans="1:14" ht="15.75" thickBot="1" x14ac:dyDescent="0.35">
      <c r="A62" s="8" t="s">
        <v>33</v>
      </c>
      <c r="B62" s="20">
        <f>0.2*B33/[1]Fremskrivninger!S9*B19/100</f>
        <v>4.5297723390483595E-4</v>
      </c>
      <c r="C62" s="20">
        <f t="shared" si="9"/>
        <v>4.2377635894011743E-4</v>
      </c>
      <c r="D62" s="20">
        <f t="shared" si="9"/>
        <v>3.8727526523421932E-4</v>
      </c>
      <c r="E62" s="20">
        <f t="shared" si="9"/>
        <v>3.142730778224231E-4</v>
      </c>
      <c r="F62" s="20">
        <f>+B62*F61/B61</f>
        <v>2.4127089041062682E-4</v>
      </c>
      <c r="G62" s="57" t="s">
        <v>111</v>
      </c>
      <c r="H62" s="57" t="s">
        <v>111</v>
      </c>
      <c r="I62" s="57" t="s">
        <v>111</v>
      </c>
      <c r="J62" s="57" t="s">
        <v>111</v>
      </c>
      <c r="K62" s="57" t="s">
        <v>111</v>
      </c>
      <c r="L62" s="57" t="s">
        <v>111</v>
      </c>
      <c r="M62" s="3"/>
      <c r="N62" s="15">
        <v>3</v>
      </c>
    </row>
    <row r="63" spans="1:14" ht="15.75" thickBot="1" x14ac:dyDescent="0.35">
      <c r="A63" s="8" t="s">
        <v>34</v>
      </c>
      <c r="B63" s="16">
        <f>0.0053/[1]Fremskrivninger!S7</f>
        <v>3.2932673188578697E-3</v>
      </c>
      <c r="C63" s="16">
        <f t="shared" si="9"/>
        <v>3.0809690398155161E-3</v>
      </c>
      <c r="D63" s="16">
        <f t="shared" si="9"/>
        <v>2.8155961910125739E-3</v>
      </c>
      <c r="E63" s="16">
        <f t="shared" si="9"/>
        <v>2.2848504934066894E-3</v>
      </c>
      <c r="F63" s="20">
        <f>+B63*F62/B62</f>
        <v>1.7541047958008053E-3</v>
      </c>
      <c r="G63" s="57" t="s">
        <v>111</v>
      </c>
      <c r="H63" s="57" t="s">
        <v>111</v>
      </c>
      <c r="I63" s="57" t="s">
        <v>111</v>
      </c>
      <c r="J63" s="57" t="s">
        <v>111</v>
      </c>
      <c r="K63" s="57" t="s">
        <v>111</v>
      </c>
      <c r="L63" s="57" t="s">
        <v>111</v>
      </c>
      <c r="M63" s="3"/>
      <c r="N63" s="3">
        <v>3</v>
      </c>
    </row>
    <row r="64" spans="1:14" ht="15.75" thickBot="1" x14ac:dyDescent="0.35">
      <c r="A64" s="8" t="s">
        <v>35</v>
      </c>
      <c r="B64" s="13">
        <f>0.016/[1]Fremskrivninger!S7</f>
        <v>9.9419390757973427E-3</v>
      </c>
      <c r="C64" s="13">
        <f t="shared" si="9"/>
        <v>9.3010386107638225E-3</v>
      </c>
      <c r="D64" s="13">
        <f t="shared" si="9"/>
        <v>8.499913029471921E-3</v>
      </c>
      <c r="E64" s="13">
        <f t="shared" si="9"/>
        <v>6.8976618668881197E-3</v>
      </c>
      <c r="F64" s="16">
        <f>+B64*F63/B63</f>
        <v>5.2954107043043175E-3</v>
      </c>
      <c r="G64" s="57" t="s">
        <v>111</v>
      </c>
      <c r="H64" s="57" t="s">
        <v>111</v>
      </c>
      <c r="I64" s="57" t="s">
        <v>111</v>
      </c>
      <c r="J64" s="57" t="s">
        <v>111</v>
      </c>
      <c r="K64" s="57" t="s">
        <v>111</v>
      </c>
      <c r="L64" s="57" t="s">
        <v>111</v>
      </c>
      <c r="M64" s="3"/>
      <c r="N64" s="3">
        <v>3</v>
      </c>
    </row>
    <row r="65" spans="1:15" ht="15.75" thickBot="1" x14ac:dyDescent="0.35">
      <c r="A65" s="5" t="s">
        <v>54</v>
      </c>
      <c r="B65" s="32">
        <v>79.483333333333334</v>
      </c>
      <c r="C65" s="32">
        <v>77.474137931034477</v>
      </c>
      <c r="D65" s="32">
        <v>74.962643678160916</v>
      </c>
      <c r="E65" s="32">
        <v>69.939655172413794</v>
      </c>
      <c r="F65" s="32">
        <v>64.916666666666657</v>
      </c>
      <c r="G65" s="57" t="s">
        <v>111</v>
      </c>
      <c r="H65" s="57" t="s">
        <v>111</v>
      </c>
      <c r="I65" s="57" t="s">
        <v>111</v>
      </c>
      <c r="J65" s="57" t="s">
        <v>111</v>
      </c>
      <c r="K65" s="57" t="s">
        <v>111</v>
      </c>
      <c r="L65" s="57" t="s">
        <v>111</v>
      </c>
      <c r="M65" s="3"/>
      <c r="N65" s="3">
        <v>3</v>
      </c>
    </row>
    <row r="66" spans="1:15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5" ht="15.75" thickBot="1" x14ac:dyDescent="0.35">
      <c r="A67" s="5" t="s">
        <v>37</v>
      </c>
      <c r="B67" s="3">
        <v>12</v>
      </c>
      <c r="C67" s="3">
        <v>12</v>
      </c>
      <c r="D67" s="3">
        <v>12</v>
      </c>
      <c r="E67" s="3">
        <v>12</v>
      </c>
      <c r="F67" s="3">
        <v>12</v>
      </c>
      <c r="G67" s="3">
        <v>8.4</v>
      </c>
      <c r="H67" s="3">
        <v>15.6</v>
      </c>
      <c r="I67" s="57" t="s">
        <v>111</v>
      </c>
      <c r="J67" s="57" t="s">
        <v>111</v>
      </c>
      <c r="K67" s="57" t="s">
        <v>111</v>
      </c>
      <c r="L67" s="57" t="s">
        <v>111</v>
      </c>
      <c r="M67" s="3"/>
      <c r="N67" s="15">
        <v>4</v>
      </c>
    </row>
    <row r="68" spans="1:15" ht="15.75" thickBot="1" x14ac:dyDescent="0.35">
      <c r="A68" s="5" t="s">
        <v>38</v>
      </c>
      <c r="B68" s="3">
        <f>'Diesel L1'!B68</f>
        <v>2</v>
      </c>
      <c r="C68" s="3">
        <f>'Diesel L1'!C68</f>
        <v>2</v>
      </c>
      <c r="D68" s="3">
        <f>'Diesel L1'!D68</f>
        <v>2</v>
      </c>
      <c r="E68" s="3">
        <f>'Diesel L1'!E68</f>
        <v>2</v>
      </c>
      <c r="F68" s="3">
        <f>'Diesel L1'!F68</f>
        <v>2</v>
      </c>
      <c r="G68" s="3">
        <f>'Diesel L1'!G68</f>
        <v>1</v>
      </c>
      <c r="H68" s="3">
        <f>'Diesel L1'!H68</f>
        <v>6</v>
      </c>
      <c r="I68" s="57" t="s">
        <v>111</v>
      </c>
      <c r="J68" s="57" t="s">
        <v>111</v>
      </c>
      <c r="K68" s="57" t="s">
        <v>111</v>
      </c>
      <c r="L68" s="57" t="s">
        <v>111</v>
      </c>
      <c r="M68" s="3"/>
      <c r="N68" s="15">
        <v>4</v>
      </c>
    </row>
    <row r="69" spans="1:15" ht="15.75" thickBot="1" x14ac:dyDescent="0.35">
      <c r="A69" s="5" t="s">
        <v>39</v>
      </c>
      <c r="B69" s="3">
        <f>B70*B67</f>
        <v>657000</v>
      </c>
      <c r="C69" s="3">
        <f>C70*C67</f>
        <v>657000</v>
      </c>
      <c r="D69" s="3">
        <f>D70*D67</f>
        <v>657000</v>
      </c>
      <c r="E69" s="3">
        <f>E70*E67</f>
        <v>657000</v>
      </c>
      <c r="F69" s="3">
        <f>F70*F67</f>
        <v>657000</v>
      </c>
      <c r="G69" s="3">
        <v>500000</v>
      </c>
      <c r="H69" s="3">
        <v>2000000</v>
      </c>
      <c r="I69" s="57" t="s">
        <v>111</v>
      </c>
      <c r="J69" s="57" t="s">
        <v>111</v>
      </c>
      <c r="K69" s="57" t="s">
        <v>111</v>
      </c>
      <c r="L69" s="57" t="s">
        <v>111</v>
      </c>
      <c r="M69" s="3"/>
      <c r="N69" s="15">
        <v>4</v>
      </c>
    </row>
    <row r="70" spans="1:15" ht="15.75" thickBot="1" x14ac:dyDescent="0.35">
      <c r="A70" s="5" t="s">
        <v>40</v>
      </c>
      <c r="B70" s="3">
        <f>150*365</f>
        <v>54750</v>
      </c>
      <c r="C70" s="3">
        <f>150*365</f>
        <v>54750</v>
      </c>
      <c r="D70" s="3">
        <f>150*365</f>
        <v>54750</v>
      </c>
      <c r="E70" s="3">
        <f>150*365</f>
        <v>54750</v>
      </c>
      <c r="F70" s="3">
        <f>150*365</f>
        <v>54750</v>
      </c>
      <c r="G70" s="3">
        <f>50*365</f>
        <v>18250</v>
      </c>
      <c r="H70" s="3">
        <f>250*365</f>
        <v>91250</v>
      </c>
      <c r="I70" s="57" t="s">
        <v>111</v>
      </c>
      <c r="J70" s="57" t="s">
        <v>111</v>
      </c>
      <c r="K70" s="57" t="s">
        <v>111</v>
      </c>
      <c r="L70" s="57" t="s">
        <v>111</v>
      </c>
      <c r="M70" s="3"/>
      <c r="N70" s="15">
        <v>4</v>
      </c>
    </row>
    <row r="71" spans="1:15" ht="15.75" thickBot="1" x14ac:dyDescent="0.35">
      <c r="A71" s="5" t="s">
        <v>41</v>
      </c>
      <c r="B71" s="3">
        <v>169400</v>
      </c>
      <c r="C71" s="3">
        <v>169400</v>
      </c>
      <c r="D71" s="3">
        <v>169400</v>
      </c>
      <c r="E71" s="3">
        <v>169400</v>
      </c>
      <c r="F71" s="3">
        <v>169400</v>
      </c>
      <c r="G71" s="57" t="s">
        <v>111</v>
      </c>
      <c r="H71" s="57" t="s">
        <v>111</v>
      </c>
      <c r="I71" s="57" t="s">
        <v>111</v>
      </c>
      <c r="J71" s="57" t="s">
        <v>111</v>
      </c>
      <c r="K71" s="57" t="s">
        <v>111</v>
      </c>
      <c r="L71" s="57" t="s">
        <v>111</v>
      </c>
      <c r="M71" s="15"/>
      <c r="N71" s="15">
        <v>4</v>
      </c>
      <c r="O71" s="17"/>
    </row>
    <row r="72" spans="1:15" ht="15.75" thickBot="1" x14ac:dyDescent="0.35">
      <c r="A72" s="60" t="str">
        <f>'Diesel L1'!A72</f>
        <v>-           Cost of 24V battery</v>
      </c>
      <c r="B72" s="3">
        <f>+'Diesel L1'!B72</f>
        <v>300</v>
      </c>
      <c r="C72" s="3">
        <f>+'Diesel L1'!C72</f>
        <v>300</v>
      </c>
      <c r="D72" s="3">
        <f>+'Diesel L1'!D72</f>
        <v>300</v>
      </c>
      <c r="E72" s="3">
        <f>+'Diesel L1'!E72</f>
        <v>300</v>
      </c>
      <c r="F72" s="3">
        <f>+'Diesel L1'!F72</f>
        <v>300</v>
      </c>
      <c r="G72" s="57" t="s">
        <v>111</v>
      </c>
      <c r="H72" s="57" t="s">
        <v>111</v>
      </c>
      <c r="I72" s="57" t="s">
        <v>111</v>
      </c>
      <c r="J72" s="57" t="s">
        <v>111</v>
      </c>
      <c r="K72" s="57" t="s">
        <v>111</v>
      </c>
      <c r="L72" s="57" t="s">
        <v>111</v>
      </c>
      <c r="M72" s="3"/>
      <c r="N72" s="15">
        <v>4</v>
      </c>
    </row>
    <row r="73" spans="1:15" ht="15.75" thickBot="1" x14ac:dyDescent="0.35">
      <c r="A73" s="5" t="s">
        <v>137</v>
      </c>
      <c r="B73" s="3">
        <v>19000</v>
      </c>
      <c r="C73" s="3">
        <v>19000</v>
      </c>
      <c r="D73" s="3">
        <v>19000</v>
      </c>
      <c r="E73" s="3">
        <v>19000</v>
      </c>
      <c r="F73" s="3">
        <v>19000</v>
      </c>
      <c r="G73" s="59" t="s">
        <v>111</v>
      </c>
      <c r="H73" s="59" t="s">
        <v>111</v>
      </c>
      <c r="I73" s="57" t="s">
        <v>111</v>
      </c>
      <c r="J73" s="57" t="s">
        <v>111</v>
      </c>
      <c r="K73" s="57" t="s">
        <v>111</v>
      </c>
      <c r="L73" s="57" t="s">
        <v>111</v>
      </c>
      <c r="M73" s="3"/>
      <c r="N73" s="15">
        <v>4</v>
      </c>
    </row>
    <row r="74" spans="1:15" ht="15.75" thickBot="1" x14ac:dyDescent="0.35">
      <c r="A74" s="5" t="s">
        <v>113</v>
      </c>
      <c r="B74" s="14">
        <v>7200</v>
      </c>
      <c r="C74" s="14">
        <v>7200</v>
      </c>
      <c r="D74" s="14">
        <v>7200</v>
      </c>
      <c r="E74" s="14">
        <v>7200</v>
      </c>
      <c r="F74" s="14">
        <v>7200</v>
      </c>
      <c r="G74" s="47" t="str">
        <f>+'Diesel L1'!G74</f>
        <v>no data</v>
      </c>
      <c r="H74" s="47" t="str">
        <f>+'Diesel L1'!H74</f>
        <v>no data</v>
      </c>
      <c r="I74" s="57" t="s">
        <v>111</v>
      </c>
      <c r="J74" s="57" t="s">
        <v>111</v>
      </c>
      <c r="K74" s="57" t="s">
        <v>111</v>
      </c>
      <c r="L74" s="57" t="s">
        <v>111</v>
      </c>
      <c r="M74" s="3"/>
      <c r="N74" s="15">
        <v>4</v>
      </c>
    </row>
    <row r="75" spans="1:15" ht="15.75" thickBot="1" x14ac:dyDescent="0.35">
      <c r="A75" s="5" t="s">
        <v>112</v>
      </c>
      <c r="B75" s="13">
        <v>0.12</v>
      </c>
      <c r="C75" s="13">
        <v>0.12</v>
      </c>
      <c r="D75" s="13">
        <v>0.12</v>
      </c>
      <c r="E75" s="13">
        <v>0.12</v>
      </c>
      <c r="F75" s="13">
        <v>0.12</v>
      </c>
      <c r="G75" s="18" t="str">
        <f>+'Diesel L1'!G75</f>
        <v>no data</v>
      </c>
      <c r="H75" s="18" t="str">
        <f>+'Diesel L1'!H75</f>
        <v>no data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700-000000000000}"/>
    <hyperlink ref="N2" location="References!A1" display="Ref" xr:uid="{6495118D-F34A-422E-B022-EFF4E1AA448B}"/>
  </hyperlinks>
  <pageMargins left="0.7" right="0.7" top="0.75" bottom="0.75" header="0.3" footer="0.3"/>
  <pageSetup paperSize="9" scale="4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pageSetUpPr fitToPage="1"/>
  </sheetPr>
  <dimension ref="A1:O75"/>
  <sheetViews>
    <sheetView topLeftCell="A38" workbookViewId="0">
      <selection activeCell="B60" sqref="B60"/>
    </sheetView>
  </sheetViews>
  <sheetFormatPr defaultRowHeight="15" x14ac:dyDescent="0.3"/>
  <cols>
    <col min="1" max="1" width="40.42578125" bestFit="1" customWidth="1"/>
    <col min="2" max="6" width="8" bestFit="1" customWidth="1"/>
    <col min="7" max="7" width="7.5703125" bestFit="1" customWidth="1"/>
    <col min="8" max="8" width="8" bestFit="1" customWidth="1"/>
    <col min="9" max="12" width="7.5703125" bestFit="1" customWidth="1"/>
    <col min="13" max="13" width="4.85546875" bestFit="1" customWidth="1"/>
    <col min="14" max="14" width="3.140625" bestFit="1" customWidth="1"/>
  </cols>
  <sheetData>
    <row r="1" spans="1:14" ht="15.75" thickBot="1" x14ac:dyDescent="0.35">
      <c r="A1" s="54" t="s">
        <v>0</v>
      </c>
      <c r="B1" s="1"/>
      <c r="C1" s="76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</row>
    <row r="2" spans="1:14" ht="18" customHeight="1" thickBot="1" x14ac:dyDescent="0.35">
      <c r="A2" s="5"/>
      <c r="B2" s="2">
        <v>2021</v>
      </c>
      <c r="C2" s="2">
        <v>2025</v>
      </c>
      <c r="D2" s="2">
        <v>2030</v>
      </c>
      <c r="E2" s="2">
        <v>2040</v>
      </c>
      <c r="F2" s="2">
        <v>2050</v>
      </c>
      <c r="G2" s="78" t="s">
        <v>1</v>
      </c>
      <c r="H2" s="79"/>
      <c r="I2" s="80" t="s">
        <v>2</v>
      </c>
      <c r="J2" s="79"/>
      <c r="K2" s="80" t="s">
        <v>3</v>
      </c>
      <c r="L2" s="79"/>
      <c r="M2" s="2" t="s">
        <v>4</v>
      </c>
      <c r="N2" s="68" t="s">
        <v>5</v>
      </c>
    </row>
    <row r="3" spans="1:14" ht="15.75" thickBot="1" x14ac:dyDescent="0.35">
      <c r="A3" s="6" t="s">
        <v>6</v>
      </c>
      <c r="B3" s="3"/>
      <c r="C3" s="3"/>
      <c r="D3" s="3"/>
      <c r="E3" s="3"/>
      <c r="F3" s="3"/>
      <c r="G3" s="2" t="s">
        <v>7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3"/>
      <c r="N3" s="3"/>
    </row>
    <row r="4" spans="1:14" ht="15.75" thickBot="1" x14ac:dyDescent="0.35">
      <c r="A4" s="5" t="s">
        <v>48</v>
      </c>
      <c r="B4" s="3">
        <v>54</v>
      </c>
      <c r="C4" s="3">
        <v>54</v>
      </c>
      <c r="D4" s="3">
        <v>54</v>
      </c>
      <c r="E4" s="3">
        <v>54</v>
      </c>
      <c r="F4" s="3">
        <v>54</v>
      </c>
      <c r="G4" s="3">
        <v>24</v>
      </c>
      <c r="H4" s="3">
        <v>70</v>
      </c>
      <c r="I4" s="14">
        <f>+G4-C4+D4</f>
        <v>24</v>
      </c>
      <c r="J4" s="14">
        <f>+H4-C4+D4</f>
        <v>70</v>
      </c>
      <c r="K4" s="14">
        <f>+I4-D4+F4</f>
        <v>24</v>
      </c>
      <c r="L4" s="14">
        <f>+J4-D4+F4</f>
        <v>70</v>
      </c>
      <c r="M4" s="15"/>
      <c r="N4" s="3">
        <v>2</v>
      </c>
    </row>
    <row r="5" spans="1:14" ht="15.75" thickBot="1" x14ac:dyDescent="0.35">
      <c r="A5" s="5" t="s">
        <v>9</v>
      </c>
      <c r="B5" s="3">
        <v>13500</v>
      </c>
      <c r="C5" s="14">
        <f>B5+(C$2-B$2)*($F5-$B5)/($F$2-$B$2)</f>
        <v>13182.758620689656</v>
      </c>
      <c r="D5" s="14">
        <f>C5+(D$2-C$2)*($F5-$B5)/($F$2-$B$2)</f>
        <v>12786.206896551725</v>
      </c>
      <c r="E5" s="14">
        <f>D5+(E$2-D$2)*($F5-$B5)/($F$2-$B$2)</f>
        <v>11993.103448275862</v>
      </c>
      <c r="F5" s="3">
        <f>B5-2300</f>
        <v>11200</v>
      </c>
      <c r="G5" s="3">
        <v>11000</v>
      </c>
      <c r="H5" s="3">
        <v>14000</v>
      </c>
      <c r="I5" s="14">
        <f>+G5-C5+D5</f>
        <v>10603.448275862069</v>
      </c>
      <c r="J5" s="14">
        <f>+H5-C5+D5</f>
        <v>13603.448275862069</v>
      </c>
      <c r="K5" s="14">
        <f>+I5-D5+F5</f>
        <v>9017.2413793103442</v>
      </c>
      <c r="L5" s="14">
        <f>+J5-D5+F5</f>
        <v>12017.241379310344</v>
      </c>
      <c r="M5" s="3"/>
      <c r="N5" s="3">
        <v>2</v>
      </c>
    </row>
    <row r="6" spans="1:14" ht="15.75" thickBot="1" x14ac:dyDescent="0.35">
      <c r="A6" s="5" t="s">
        <v>10</v>
      </c>
      <c r="B6" s="3">
        <v>19500</v>
      </c>
      <c r="C6" s="3">
        <v>19500</v>
      </c>
      <c r="D6" s="3">
        <v>19500</v>
      </c>
      <c r="E6" s="3">
        <v>19500</v>
      </c>
      <c r="F6" s="3">
        <v>19500</v>
      </c>
      <c r="G6" s="3">
        <v>12000</v>
      </c>
      <c r="H6" s="3">
        <v>26000</v>
      </c>
      <c r="I6" s="14">
        <f>+G6-C6+D6</f>
        <v>12000</v>
      </c>
      <c r="J6" s="14">
        <f>+H6-C6+D6</f>
        <v>26000</v>
      </c>
      <c r="K6" s="14">
        <f>+I6-D6+F6</f>
        <v>12000</v>
      </c>
      <c r="L6" s="14">
        <f>+J6-D6+F6</f>
        <v>26000</v>
      </c>
      <c r="M6" s="3"/>
      <c r="N6" s="3">
        <v>2</v>
      </c>
    </row>
    <row r="7" spans="1:14" ht="15.75" thickBot="1" x14ac:dyDescent="0.35">
      <c r="A7" s="5" t="s">
        <v>47</v>
      </c>
      <c r="B7" s="3">
        <v>17.3</v>
      </c>
      <c r="C7" s="14">
        <f>B7+(C$2-B$2)*($F7-$B7)/($F$2-$B$2)</f>
        <v>18.362068965517242</v>
      </c>
      <c r="D7" s="14">
        <f>C7+(D$2-C$2)*($F7-$B7)/($F$2-$B$2)</f>
        <v>19.689655172413794</v>
      </c>
      <c r="E7" s="14">
        <f>D7+(E$2-D$2)*($F7-$B7)/($F$2-$B$2)</f>
        <v>22.344827586206897</v>
      </c>
      <c r="F7" s="3">
        <v>25</v>
      </c>
      <c r="G7" s="3">
        <v>15</v>
      </c>
      <c r="H7" s="3">
        <v>60</v>
      </c>
      <c r="I7" s="14">
        <f>+D7/J4*I4</f>
        <v>6.7507389162561582</v>
      </c>
      <c r="J7" s="14">
        <f>+D7/I4*J4</f>
        <v>57.428160919540225</v>
      </c>
      <c r="K7" s="14">
        <f>+F7/L4*K4</f>
        <v>8.5714285714285712</v>
      </c>
      <c r="L7" s="14">
        <f>+F7/K4*L4</f>
        <v>72.916666666666671</v>
      </c>
      <c r="M7" s="3"/>
      <c r="N7" s="3">
        <v>2</v>
      </c>
    </row>
    <row r="8" spans="1:14" ht="15.75" thickBot="1" x14ac:dyDescent="0.35">
      <c r="A8" s="5" t="s">
        <v>12</v>
      </c>
      <c r="B8" s="3">
        <v>600</v>
      </c>
      <c r="C8" s="3">
        <v>600</v>
      </c>
      <c r="D8" s="3">
        <v>600</v>
      </c>
      <c r="E8" s="3">
        <v>600</v>
      </c>
      <c r="F8" s="3">
        <v>600</v>
      </c>
      <c r="G8" s="3">
        <f>+B8*0.5</f>
        <v>300</v>
      </c>
      <c r="H8" s="3">
        <f>+B8*1.5</f>
        <v>900</v>
      </c>
      <c r="I8" s="14">
        <f>+D8*0.5</f>
        <v>300</v>
      </c>
      <c r="J8" s="14">
        <f>+D8*1.5</f>
        <v>900</v>
      </c>
      <c r="K8" s="14">
        <f>+F8*0.5</f>
        <v>300</v>
      </c>
      <c r="L8" s="14">
        <f>+F8*1.5</f>
        <v>900</v>
      </c>
      <c r="M8" s="3"/>
      <c r="N8" s="3">
        <v>2</v>
      </c>
    </row>
    <row r="9" spans="1:14" ht="15.75" thickBot="1" x14ac:dyDescent="0.35">
      <c r="A9" s="5" t="s">
        <v>13</v>
      </c>
      <c r="B9" s="3">
        <f>+'Diesel L1'!B9</f>
        <v>56</v>
      </c>
      <c r="C9" s="14">
        <f>+'Diesel L1'!C9</f>
        <v>51.03448275862069</v>
      </c>
      <c r="D9" s="14">
        <f>+'Diesel L1'!D9</f>
        <v>44.827586206896555</v>
      </c>
      <c r="E9" s="14">
        <f>+'Diesel L1'!E9</f>
        <v>32.413793103448278</v>
      </c>
      <c r="F9" s="3">
        <f>+'Diesel L1'!F9</f>
        <v>20</v>
      </c>
      <c r="G9" s="3">
        <f>+B9*0.5</f>
        <v>28</v>
      </c>
      <c r="H9" s="3">
        <f>+B9*1.5</f>
        <v>84</v>
      </c>
      <c r="I9" s="14">
        <f>+D9*0.5</f>
        <v>22.413793103448278</v>
      </c>
      <c r="J9" s="14">
        <f>+D9*1.5</f>
        <v>67.241379310344826</v>
      </c>
      <c r="K9" s="14">
        <f>+F9*0.5</f>
        <v>10</v>
      </c>
      <c r="L9" s="14">
        <f>+F9*1.5</f>
        <v>30</v>
      </c>
      <c r="M9" s="3"/>
      <c r="N9" s="3">
        <v>2</v>
      </c>
    </row>
    <row r="10" spans="1:14" ht="15.75" thickBot="1" x14ac:dyDescent="0.35">
      <c r="A10" s="5" t="s">
        <v>105</v>
      </c>
      <c r="B10" s="14">
        <f>+'Diesel L1'!B10</f>
        <v>36000</v>
      </c>
      <c r="C10" s="14">
        <f>+'Diesel L1'!C10</f>
        <v>36000</v>
      </c>
      <c r="D10" s="14">
        <f>+'Diesel L1'!D10</f>
        <v>36000</v>
      </c>
      <c r="E10" s="14">
        <f>+'Diesel L1'!E10</f>
        <v>36000</v>
      </c>
      <c r="F10" s="14">
        <f>+'Diesel L1'!F10</f>
        <v>36000</v>
      </c>
      <c r="G10" s="14">
        <f>+'Diesel L1'!G10</f>
        <v>21000</v>
      </c>
      <c r="H10" s="14">
        <f>+'Diesel L1'!H10</f>
        <v>120000</v>
      </c>
      <c r="I10" s="14">
        <f>+'Diesel L1'!I10</f>
        <v>21000</v>
      </c>
      <c r="J10" s="14">
        <f>+'Diesel L1'!J10</f>
        <v>120000</v>
      </c>
      <c r="K10" s="14">
        <f>+'Diesel L1'!K10</f>
        <v>21000</v>
      </c>
      <c r="L10" s="14">
        <f>+'Diesel L1'!L10</f>
        <v>120000</v>
      </c>
      <c r="M10" s="3"/>
      <c r="N10" s="3">
        <v>2</v>
      </c>
    </row>
    <row r="11" spans="1:14" ht="15.75" thickBot="1" x14ac:dyDescent="0.35">
      <c r="A11" s="5" t="s">
        <v>14</v>
      </c>
      <c r="B11" s="14">
        <f>B8*10/B10*60</f>
        <v>10</v>
      </c>
      <c r="C11" s="14">
        <f t="shared" ref="C11:F11" si="0">C8*10/C10*60</f>
        <v>10</v>
      </c>
      <c r="D11" s="14">
        <f t="shared" si="0"/>
        <v>10</v>
      </c>
      <c r="E11" s="14">
        <f t="shared" si="0"/>
        <v>10</v>
      </c>
      <c r="F11" s="14">
        <f t="shared" si="0"/>
        <v>10</v>
      </c>
      <c r="G11" s="57" t="s">
        <v>111</v>
      </c>
      <c r="H11" s="57" t="s">
        <v>111</v>
      </c>
      <c r="I11" s="57" t="s">
        <v>111</v>
      </c>
      <c r="J11" s="57" t="s">
        <v>111</v>
      </c>
      <c r="K11" s="57" t="s">
        <v>111</v>
      </c>
      <c r="L11" s="57" t="s">
        <v>111</v>
      </c>
      <c r="M11" s="3"/>
      <c r="N11" s="3">
        <v>2</v>
      </c>
    </row>
    <row r="12" spans="1:14" ht="15.75" thickBot="1" x14ac:dyDescent="0.35">
      <c r="A12" s="5" t="s">
        <v>15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57" t="s">
        <v>111</v>
      </c>
      <c r="H12" s="57" t="s">
        <v>111</v>
      </c>
      <c r="I12" s="57" t="s">
        <v>111</v>
      </c>
      <c r="J12" s="57" t="s">
        <v>111</v>
      </c>
      <c r="K12" s="57" t="s">
        <v>111</v>
      </c>
      <c r="L12" s="57" t="s">
        <v>111</v>
      </c>
      <c r="M12" s="3"/>
      <c r="N12" s="3">
        <v>2</v>
      </c>
    </row>
    <row r="13" spans="1:14" ht="15.75" thickBot="1" x14ac:dyDescent="0.35">
      <c r="A13" s="5" t="s">
        <v>16</v>
      </c>
      <c r="B13" s="3">
        <v>3</v>
      </c>
      <c r="C13" s="3">
        <v>3</v>
      </c>
      <c r="D13" s="3">
        <v>3</v>
      </c>
      <c r="E13" s="3">
        <v>3</v>
      </c>
      <c r="F13" s="3">
        <v>3</v>
      </c>
      <c r="G13" s="57" t="s">
        <v>111</v>
      </c>
      <c r="H13" s="57" t="s">
        <v>111</v>
      </c>
      <c r="I13" s="57" t="s">
        <v>111</v>
      </c>
      <c r="J13" s="57" t="s">
        <v>111</v>
      </c>
      <c r="K13" s="57" t="s">
        <v>111</v>
      </c>
      <c r="L13" s="57" t="s">
        <v>111</v>
      </c>
      <c r="M13" s="3"/>
      <c r="N13" s="3">
        <v>2</v>
      </c>
    </row>
    <row r="14" spans="1:14" ht="15.75" thickBot="1" x14ac:dyDescent="0.35">
      <c r="A14" s="5" t="s">
        <v>17</v>
      </c>
      <c r="B14" s="3">
        <v>350</v>
      </c>
      <c r="C14" s="3">
        <v>350</v>
      </c>
      <c r="D14" s="3">
        <v>350</v>
      </c>
      <c r="E14" s="3">
        <v>350</v>
      </c>
      <c r="F14" s="3">
        <v>350</v>
      </c>
      <c r="G14" s="57" t="s">
        <v>111</v>
      </c>
      <c r="H14" s="57" t="s">
        <v>111</v>
      </c>
      <c r="I14" s="57" t="s">
        <v>111</v>
      </c>
      <c r="J14" s="57" t="s">
        <v>111</v>
      </c>
      <c r="K14" s="57" t="s">
        <v>111</v>
      </c>
      <c r="L14" s="57" t="s">
        <v>111</v>
      </c>
      <c r="M14" s="3"/>
      <c r="N14" s="3">
        <v>2</v>
      </c>
    </row>
    <row r="15" spans="1:14" ht="15.75" thickBot="1" x14ac:dyDescent="0.35">
      <c r="A15" s="5" t="s">
        <v>106</v>
      </c>
      <c r="B15" s="3">
        <v>12</v>
      </c>
      <c r="C15" s="3">
        <v>12</v>
      </c>
      <c r="D15" s="3">
        <v>12</v>
      </c>
      <c r="E15" s="3">
        <v>12</v>
      </c>
      <c r="F15" s="3">
        <v>12</v>
      </c>
      <c r="G15" s="57" t="s">
        <v>111</v>
      </c>
      <c r="H15" s="57" t="s">
        <v>111</v>
      </c>
      <c r="I15" s="57" t="s">
        <v>111</v>
      </c>
      <c r="J15" s="57" t="s">
        <v>111</v>
      </c>
      <c r="K15" s="57" t="s">
        <v>111</v>
      </c>
      <c r="L15" s="57" t="s">
        <v>111</v>
      </c>
      <c r="M15" s="3"/>
      <c r="N15" s="3">
        <v>2</v>
      </c>
    </row>
    <row r="16" spans="1:14" ht="15.75" thickBot="1" x14ac:dyDescent="0.35">
      <c r="A16" s="5" t="s">
        <v>107</v>
      </c>
      <c r="B16" s="3">
        <v>12</v>
      </c>
      <c r="C16" s="3">
        <v>12</v>
      </c>
      <c r="D16" s="3">
        <v>12</v>
      </c>
      <c r="E16" s="3">
        <v>12</v>
      </c>
      <c r="F16" s="3">
        <v>12</v>
      </c>
      <c r="G16" s="3">
        <v>12</v>
      </c>
      <c r="H16" s="3">
        <v>14</v>
      </c>
      <c r="I16" s="57" t="s">
        <v>111</v>
      </c>
      <c r="J16" s="57" t="s">
        <v>111</v>
      </c>
      <c r="K16" s="57" t="s">
        <v>111</v>
      </c>
      <c r="L16" s="57" t="s">
        <v>111</v>
      </c>
      <c r="M16" s="3"/>
      <c r="N16" s="3">
        <v>2</v>
      </c>
    </row>
    <row r="17" spans="1:14" ht="15.75" thickBot="1" x14ac:dyDescent="0.35">
      <c r="A17" s="73" t="s">
        <v>18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spans="1:14" ht="15.75" thickBot="1" x14ac:dyDescent="0.35">
      <c r="A18" s="5" t="s">
        <v>136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1"/>
    </row>
    <row r="19" spans="1:14" ht="15.75" thickBot="1" x14ac:dyDescent="0.35">
      <c r="A19" s="60" t="s">
        <v>149</v>
      </c>
      <c r="B19" s="30">
        <f>+Simulations!G41</f>
        <v>9.8482522757883814E-2</v>
      </c>
      <c r="C19" s="31">
        <f t="shared" ref="C19:E21" si="1">B19+(C$2-B$2)*($F19-$B19)/($F$2-$B$2)</f>
        <v>0.10006322175543464</v>
      </c>
      <c r="D19" s="31">
        <f t="shared" si="1"/>
        <v>0.10203909550237318</v>
      </c>
      <c r="E19" s="31">
        <f t="shared" si="1"/>
        <v>0.10599084299625025</v>
      </c>
      <c r="F19" s="30">
        <f>+Simulations!G176</f>
        <v>0.10994259049012732</v>
      </c>
      <c r="G19" s="57" t="s">
        <v>111</v>
      </c>
      <c r="H19" s="57" t="s">
        <v>111</v>
      </c>
      <c r="I19" s="57" t="s">
        <v>111</v>
      </c>
      <c r="J19" s="57" t="s">
        <v>111</v>
      </c>
      <c r="K19" s="57" t="s">
        <v>111</v>
      </c>
      <c r="L19" s="57" t="s">
        <v>111</v>
      </c>
      <c r="M19" s="4"/>
      <c r="N19" s="12">
        <v>1</v>
      </c>
    </row>
    <row r="20" spans="1:14" ht="15.75" thickBot="1" x14ac:dyDescent="0.35">
      <c r="A20" s="60" t="s">
        <v>150</v>
      </c>
      <c r="B20" s="19">
        <f>+Simulations!G42</f>
        <v>0.25773049022863859</v>
      </c>
      <c r="C20" s="27">
        <f t="shared" si="1"/>
        <v>0.26646032852079332</v>
      </c>
      <c r="D20" s="27">
        <f t="shared" si="1"/>
        <v>0.27737262638598675</v>
      </c>
      <c r="E20" s="27">
        <f t="shared" si="1"/>
        <v>0.29919722211637356</v>
      </c>
      <c r="F20" s="19">
        <f>+Simulations!G177</f>
        <v>0.32102181784676037</v>
      </c>
      <c r="G20" s="57" t="s">
        <v>111</v>
      </c>
      <c r="H20" s="57" t="s">
        <v>111</v>
      </c>
      <c r="I20" s="57" t="s">
        <v>111</v>
      </c>
      <c r="J20" s="57" t="s">
        <v>111</v>
      </c>
      <c r="K20" s="57" t="s">
        <v>111</v>
      </c>
      <c r="L20" s="57" t="s">
        <v>111</v>
      </c>
      <c r="M20" s="4"/>
      <c r="N20" s="12">
        <v>1</v>
      </c>
    </row>
    <row r="21" spans="1:14" ht="15.75" thickBot="1" x14ac:dyDescent="0.35">
      <c r="A21" s="60" t="s">
        <v>151</v>
      </c>
      <c r="B21" s="19">
        <f>+Simulations!G43</f>
        <v>0.33032213376102798</v>
      </c>
      <c r="C21" s="27">
        <f t="shared" si="1"/>
        <v>0.34198095035054255</v>
      </c>
      <c r="D21" s="27">
        <f t="shared" si="1"/>
        <v>0.35655447108743576</v>
      </c>
      <c r="E21" s="27">
        <f t="shared" si="1"/>
        <v>0.38570151256122215</v>
      </c>
      <c r="F21" s="19">
        <f>+Simulations!G178</f>
        <v>0.41484855403500853</v>
      </c>
      <c r="G21" s="57" t="s">
        <v>111</v>
      </c>
      <c r="H21" s="57" t="s">
        <v>111</v>
      </c>
      <c r="I21" s="57" t="s">
        <v>111</v>
      </c>
      <c r="J21" s="57" t="s">
        <v>111</v>
      </c>
      <c r="K21" s="57" t="s">
        <v>111</v>
      </c>
      <c r="L21" s="57" t="s">
        <v>111</v>
      </c>
      <c r="M21" s="4"/>
      <c r="N21" s="12">
        <v>1</v>
      </c>
    </row>
    <row r="22" spans="1:14" ht="15.75" thickBot="1" x14ac:dyDescent="0.35">
      <c r="A22" s="5" t="s">
        <v>70</v>
      </c>
      <c r="B22" s="4"/>
      <c r="C22" s="4"/>
      <c r="D22" s="4"/>
      <c r="E22" s="4"/>
      <c r="F22" s="4"/>
      <c r="G22" s="49"/>
      <c r="H22" s="49"/>
      <c r="I22" s="49"/>
      <c r="J22" s="49"/>
      <c r="K22" s="49"/>
      <c r="L22" s="49"/>
      <c r="M22" s="4"/>
      <c r="N22" s="4"/>
    </row>
    <row r="23" spans="1:14" ht="15.75" thickBot="1" x14ac:dyDescent="0.35">
      <c r="A23" s="60" t="s">
        <v>149</v>
      </c>
      <c r="B23" s="28">
        <f>+Simulations!E38</f>
        <v>11.822357107741219</v>
      </c>
      <c r="C23" s="13">
        <f t="shared" ref="C23:E25" si="2">B23+(C$2-B$2)*($F23-$B23)/($F$2-$B$2)</f>
        <v>11.1050452064952</v>
      </c>
      <c r="D23" s="13">
        <f t="shared" si="2"/>
        <v>10.208405329937676</v>
      </c>
      <c r="E23" s="13">
        <f t="shared" si="2"/>
        <v>8.4151255768226285</v>
      </c>
      <c r="F23" s="28">
        <f>+Simulations!E173</f>
        <v>6.6218458237075808</v>
      </c>
      <c r="G23" s="57" t="s">
        <v>111</v>
      </c>
      <c r="H23" s="57" t="s">
        <v>111</v>
      </c>
      <c r="I23" s="57" t="s">
        <v>111</v>
      </c>
      <c r="J23" s="57" t="s">
        <v>111</v>
      </c>
      <c r="K23" s="57" t="s">
        <v>111</v>
      </c>
      <c r="L23" s="57" t="s">
        <v>111</v>
      </c>
      <c r="M23" s="3"/>
      <c r="N23" s="12">
        <v>1</v>
      </c>
    </row>
    <row r="24" spans="1:14" ht="15.75" thickBot="1" x14ac:dyDescent="0.35">
      <c r="A24" s="60" t="s">
        <v>150</v>
      </c>
      <c r="B24" s="28">
        <f>+Simulations!E39</f>
        <v>7.4648575860175672</v>
      </c>
      <c r="C24" s="13">
        <f t="shared" si="2"/>
        <v>6.9552771282481958</v>
      </c>
      <c r="D24" s="13">
        <f t="shared" si="2"/>
        <v>6.3183015560364817</v>
      </c>
      <c r="E24" s="13">
        <f t="shared" si="2"/>
        <v>5.0443504116130544</v>
      </c>
      <c r="F24" s="28">
        <f>+Simulations!E174</f>
        <v>3.7703992671896267</v>
      </c>
      <c r="G24" s="57" t="s">
        <v>111</v>
      </c>
      <c r="H24" s="57" t="s">
        <v>111</v>
      </c>
      <c r="I24" s="57" t="s">
        <v>111</v>
      </c>
      <c r="J24" s="57" t="s">
        <v>111</v>
      </c>
      <c r="K24" s="57" t="s">
        <v>111</v>
      </c>
      <c r="L24" s="57" t="s">
        <v>111</v>
      </c>
      <c r="M24" s="3"/>
      <c r="N24" s="12">
        <v>1</v>
      </c>
    </row>
    <row r="25" spans="1:14" ht="15.75" thickBot="1" x14ac:dyDescent="0.35">
      <c r="A25" s="60" t="s">
        <v>151</v>
      </c>
      <c r="B25" s="28">
        <f>+Simulations!E40</f>
        <v>7.1430153351955621</v>
      </c>
      <c r="C25" s="13">
        <f t="shared" si="2"/>
        <v>6.6553935757013116</v>
      </c>
      <c r="D25" s="13">
        <f t="shared" si="2"/>
        <v>6.0458663763334988</v>
      </c>
      <c r="E25" s="13">
        <f t="shared" si="2"/>
        <v>4.8268119775978731</v>
      </c>
      <c r="F25" s="28">
        <f>+Simulations!E175</f>
        <v>3.6077575788622478</v>
      </c>
      <c r="G25" s="57" t="s">
        <v>111</v>
      </c>
      <c r="H25" s="57" t="s">
        <v>111</v>
      </c>
      <c r="I25" s="57" t="s">
        <v>111</v>
      </c>
      <c r="J25" s="57" t="s">
        <v>111</v>
      </c>
      <c r="K25" s="57" t="s">
        <v>111</v>
      </c>
      <c r="L25" s="57" t="s">
        <v>111</v>
      </c>
      <c r="M25" s="3"/>
      <c r="N25" s="12">
        <v>1</v>
      </c>
    </row>
    <row r="26" spans="1:14" ht="15.75" thickBot="1" x14ac:dyDescent="0.35">
      <c r="A26" s="5" t="s">
        <v>71</v>
      </c>
      <c r="B26" s="3"/>
      <c r="C26" s="3"/>
      <c r="D26" s="3"/>
      <c r="E26" s="3"/>
      <c r="F26" s="3"/>
      <c r="G26" s="49"/>
      <c r="H26" s="49"/>
      <c r="I26" s="49"/>
      <c r="J26" s="49"/>
      <c r="K26" s="49"/>
      <c r="L26" s="49"/>
      <c r="M26" s="3"/>
      <c r="N26" s="3"/>
    </row>
    <row r="27" spans="1:14" ht="15.75" thickBot="1" x14ac:dyDescent="0.35">
      <c r="A27" s="60" t="s">
        <v>149</v>
      </c>
      <c r="B27" s="28">
        <f>+Simulations!E44</f>
        <v>14.965021707936824</v>
      </c>
      <c r="C27" s="13">
        <f t="shared" ref="C27:E29" si="3">B27+(C$2-B$2)*($F27-$B27)/($F$2-$B$2)</f>
        <v>14.429726611912823</v>
      </c>
      <c r="D27" s="13">
        <f t="shared" si="3"/>
        <v>13.760607741882822</v>
      </c>
      <c r="E27" s="13">
        <f t="shared" si="3"/>
        <v>12.422370001822822</v>
      </c>
      <c r="F27" s="28">
        <f>+Simulations!E179</f>
        <v>11.084132261762823</v>
      </c>
      <c r="G27" s="57" t="s">
        <v>111</v>
      </c>
      <c r="H27" s="57" t="s">
        <v>111</v>
      </c>
      <c r="I27" s="57" t="s">
        <v>111</v>
      </c>
      <c r="J27" s="57" t="s">
        <v>111</v>
      </c>
      <c r="K27" s="57" t="s">
        <v>111</v>
      </c>
      <c r="L27" s="57" t="s">
        <v>111</v>
      </c>
      <c r="M27" s="3"/>
      <c r="N27" s="12">
        <v>1</v>
      </c>
    </row>
    <row r="28" spans="1:14" ht="15.75" thickBot="1" x14ac:dyDescent="0.35">
      <c r="A28" s="60" t="s">
        <v>150</v>
      </c>
      <c r="B28" s="28">
        <f>+Simulations!E45</f>
        <v>8.7708290349023308</v>
      </c>
      <c r="C28" s="13">
        <f t="shared" si="3"/>
        <v>8.3103092995174883</v>
      </c>
      <c r="D28" s="13">
        <f t="shared" si="3"/>
        <v>7.7346596302864343</v>
      </c>
      <c r="E28" s="13">
        <f t="shared" si="3"/>
        <v>6.5833602918243264</v>
      </c>
      <c r="F28" s="28">
        <f>+Simulations!E180</f>
        <v>5.4320609533622166</v>
      </c>
      <c r="G28" s="57" t="s">
        <v>111</v>
      </c>
      <c r="H28" s="57" t="s">
        <v>111</v>
      </c>
      <c r="I28" s="57" t="s">
        <v>111</v>
      </c>
      <c r="J28" s="57" t="s">
        <v>111</v>
      </c>
      <c r="K28" s="57" t="s">
        <v>111</v>
      </c>
      <c r="L28" s="57" t="s">
        <v>111</v>
      </c>
      <c r="M28" s="3"/>
      <c r="N28" s="12">
        <v>1</v>
      </c>
    </row>
    <row r="29" spans="1:14" ht="15.75" thickBot="1" x14ac:dyDescent="0.35">
      <c r="A29" s="60" t="s">
        <v>151</v>
      </c>
      <c r="B29" s="28">
        <f>+Simulations!E46</f>
        <v>7.9345923868662656</v>
      </c>
      <c r="C29" s="13">
        <f t="shared" si="3"/>
        <v>7.4795957792846846</v>
      </c>
      <c r="D29" s="13">
        <f t="shared" si="3"/>
        <v>6.9108500198077083</v>
      </c>
      <c r="E29" s="13">
        <f t="shared" si="3"/>
        <v>5.7733585008537558</v>
      </c>
      <c r="F29" s="28">
        <f>+Simulations!E181</f>
        <v>4.6358669818998024</v>
      </c>
      <c r="G29" s="57" t="s">
        <v>111</v>
      </c>
      <c r="H29" s="57" t="s">
        <v>111</v>
      </c>
      <c r="I29" s="57" t="s">
        <v>111</v>
      </c>
      <c r="J29" s="57" t="s">
        <v>111</v>
      </c>
      <c r="K29" s="57" t="s">
        <v>111</v>
      </c>
      <c r="L29" s="57" t="s">
        <v>111</v>
      </c>
      <c r="M29" s="3"/>
      <c r="N29" s="12">
        <v>1</v>
      </c>
    </row>
    <row r="30" spans="1:14" ht="15.75" thickBot="1" x14ac:dyDescent="0.35">
      <c r="A30" s="5" t="s">
        <v>72</v>
      </c>
      <c r="B30" s="3"/>
      <c r="C30" s="3"/>
      <c r="D30" s="3"/>
      <c r="E30" s="3"/>
      <c r="F30" s="3"/>
      <c r="G30" s="50"/>
      <c r="H30" s="50"/>
      <c r="I30" s="50"/>
      <c r="J30" s="50"/>
      <c r="K30" s="50"/>
      <c r="L30" s="50"/>
      <c r="M30" s="3"/>
      <c r="N30" s="3"/>
    </row>
    <row r="31" spans="1:14" ht="15.75" thickBot="1" x14ac:dyDescent="0.35">
      <c r="A31" s="60" t="s">
        <v>149</v>
      </c>
      <c r="B31" s="28">
        <f>+Simulations!E41</f>
        <v>12.465753653104107</v>
      </c>
      <c r="C31" s="13">
        <f t="shared" ref="C31:E33" si="4">B31+(C$2-B$2)*($F31-$B31)/($F$2-$B$2)</f>
        <v>11.788155114952835</v>
      </c>
      <c r="D31" s="13">
        <f t="shared" si="4"/>
        <v>10.941156942263744</v>
      </c>
      <c r="E31" s="13">
        <f t="shared" si="4"/>
        <v>9.2471605968855624</v>
      </c>
      <c r="F31" s="28">
        <f>+Simulations!E176</f>
        <v>7.5531642515073818</v>
      </c>
      <c r="G31" s="57" t="s">
        <v>111</v>
      </c>
      <c r="H31" s="57" t="s">
        <v>111</v>
      </c>
      <c r="I31" s="57" t="s">
        <v>111</v>
      </c>
      <c r="J31" s="57" t="s">
        <v>111</v>
      </c>
      <c r="K31" s="57" t="s">
        <v>111</v>
      </c>
      <c r="L31" s="57" t="s">
        <v>111</v>
      </c>
      <c r="M31" s="3"/>
      <c r="N31" s="12">
        <v>1</v>
      </c>
    </row>
    <row r="32" spans="1:14" ht="15.75" thickBot="1" x14ac:dyDescent="0.35">
      <c r="A32" s="60" t="s">
        <v>150</v>
      </c>
      <c r="B32" s="28">
        <f>+Simulations!E42</f>
        <v>7.7369290454759128</v>
      </c>
      <c r="C32" s="13">
        <f t="shared" si="4"/>
        <v>7.2360287600803037</v>
      </c>
      <c r="D32" s="13">
        <f t="shared" si="4"/>
        <v>6.6099034033357924</v>
      </c>
      <c r="E32" s="13">
        <f t="shared" si="4"/>
        <v>5.3576526898467698</v>
      </c>
      <c r="F32" s="28">
        <f>+Simulations!E177</f>
        <v>4.1054019763577481</v>
      </c>
      <c r="G32" s="57" t="s">
        <v>111</v>
      </c>
      <c r="H32" s="57" t="s">
        <v>111</v>
      </c>
      <c r="I32" s="57" t="s">
        <v>111</v>
      </c>
      <c r="J32" s="57" t="s">
        <v>111</v>
      </c>
      <c r="K32" s="57" t="s">
        <v>111</v>
      </c>
      <c r="L32" s="57" t="s">
        <v>111</v>
      </c>
      <c r="M32" s="3"/>
      <c r="N32" s="12">
        <v>1</v>
      </c>
    </row>
    <row r="33" spans="1:14" ht="15.75" thickBot="1" x14ac:dyDescent="0.35">
      <c r="A33" s="60" t="s">
        <v>151</v>
      </c>
      <c r="B33" s="28">
        <f>+Simulations!E43</f>
        <v>7.3001365509673928</v>
      </c>
      <c r="C33" s="13">
        <f t="shared" si="4"/>
        <v>6.8197184991764388</v>
      </c>
      <c r="D33" s="13">
        <f t="shared" si="4"/>
        <v>6.2191959344377459</v>
      </c>
      <c r="E33" s="13">
        <f t="shared" si="4"/>
        <v>5.0181508049603609</v>
      </c>
      <c r="F33" s="28">
        <f>+Simulations!E178</f>
        <v>3.817105675482976</v>
      </c>
      <c r="G33" s="57" t="s">
        <v>111</v>
      </c>
      <c r="H33" s="57" t="s">
        <v>111</v>
      </c>
      <c r="I33" s="57" t="s">
        <v>111</v>
      </c>
      <c r="J33" s="57" t="s">
        <v>111</v>
      </c>
      <c r="K33" s="57" t="s">
        <v>111</v>
      </c>
      <c r="L33" s="57" t="s">
        <v>111</v>
      </c>
      <c r="M33" s="3"/>
      <c r="N33" s="12">
        <v>1</v>
      </c>
    </row>
    <row r="34" spans="1:14" ht="15.75" thickBot="1" x14ac:dyDescent="0.35">
      <c r="A34" s="5" t="s">
        <v>19</v>
      </c>
      <c r="B34" s="3"/>
      <c r="C34" s="3"/>
      <c r="D34" s="3"/>
      <c r="E34" s="3"/>
      <c r="F34" s="3"/>
      <c r="G34" s="48"/>
      <c r="H34" s="48"/>
      <c r="I34" s="48"/>
      <c r="J34" s="48"/>
      <c r="K34" s="48"/>
      <c r="L34" s="48"/>
      <c r="M34" s="3"/>
      <c r="N34" s="3"/>
    </row>
    <row r="35" spans="1:14" ht="15.75" thickBot="1" x14ac:dyDescent="0.35">
      <c r="A35" s="60" t="s">
        <v>149</v>
      </c>
      <c r="B35" s="14">
        <f>+B$8*[1]Fremskrivninger!$S$6/B23</f>
        <v>1827.0468235015867</v>
      </c>
      <c r="C35" s="14">
        <f>+C$8*[1]Fremskrivninger!$S$6/C23</f>
        <v>1945.0618703799994</v>
      </c>
      <c r="D35" s="14">
        <f>+D$8*[1]Fremskrivninger!$S$6/D23</f>
        <v>2115.9034444542253</v>
      </c>
      <c r="E35" s="14">
        <f>+E$8*[1]Fremskrivninger!$S$6/E23</f>
        <v>2566.8066153988043</v>
      </c>
      <c r="F35" s="14">
        <f>+F$8*[1]Fremskrivninger!$S$6/F23</f>
        <v>3261.9303703308105</v>
      </c>
      <c r="G35" s="57" t="s">
        <v>111</v>
      </c>
      <c r="H35" s="57" t="s">
        <v>111</v>
      </c>
      <c r="I35" s="57" t="s">
        <v>111</v>
      </c>
      <c r="J35" s="57" t="s">
        <v>111</v>
      </c>
      <c r="K35" s="57" t="s">
        <v>111</v>
      </c>
      <c r="L35" s="57" t="s">
        <v>111</v>
      </c>
      <c r="M35" s="3"/>
      <c r="N35" s="12">
        <v>1</v>
      </c>
    </row>
    <row r="36" spans="1:14" ht="15.75" thickBot="1" x14ac:dyDescent="0.35">
      <c r="A36" s="60" t="s">
        <v>150</v>
      </c>
      <c r="B36" s="14">
        <f>+B$8*[1]Fremskrivninger!$S$6/B24</f>
        <v>2893.5582160949707</v>
      </c>
      <c r="C36" s="14">
        <f>+C$8*[1]Fremskrivninger!$S$6/C24</f>
        <v>3105.5556236966686</v>
      </c>
      <c r="D36" s="14">
        <f>+D$8*[1]Fremskrivninger!$S$6/D24</f>
        <v>3418.6402482425742</v>
      </c>
      <c r="E36" s="14">
        <f>+E$8*[1]Fremskrivninger!$S$6/E24</f>
        <v>4282.0181465333353</v>
      </c>
      <c r="F36" s="14">
        <f>+F$8*[1]Fremskrivninger!$S$6/F24</f>
        <v>5728.8362503051749</v>
      </c>
      <c r="G36" s="57" t="s">
        <v>111</v>
      </c>
      <c r="H36" s="57" t="s">
        <v>111</v>
      </c>
      <c r="I36" s="57" t="s">
        <v>111</v>
      </c>
      <c r="J36" s="57" t="s">
        <v>111</v>
      </c>
      <c r="K36" s="57" t="s">
        <v>111</v>
      </c>
      <c r="L36" s="57" t="s">
        <v>111</v>
      </c>
      <c r="M36" s="3"/>
      <c r="N36" s="12">
        <v>1</v>
      </c>
    </row>
    <row r="37" spans="1:14" ht="15.75" thickBot="1" x14ac:dyDescent="0.35">
      <c r="A37" s="60" t="s">
        <v>151</v>
      </c>
      <c r="B37" s="14">
        <f>+B$8*[1]Fremskrivninger!$S$6/B25</f>
        <v>3023.9330291748047</v>
      </c>
      <c r="C37" s="14">
        <f>+C$8*[1]Fremskrivninger!$S$6/C25</f>
        <v>3245.4880022214015</v>
      </c>
      <c r="D37" s="14">
        <f>+D$8*[1]Fremskrivninger!$S$6/D25</f>
        <v>3572.6889506776147</v>
      </c>
      <c r="E37" s="14">
        <f>+E$8*[1]Fremskrivninger!$S$6/E25</f>
        <v>4475.0033977394587</v>
      </c>
      <c r="F37" s="14">
        <f>+F$8*[1]Fremskrivninger!$S$6/F25</f>
        <v>5987.0985031127939</v>
      </c>
      <c r="G37" s="57" t="s">
        <v>111</v>
      </c>
      <c r="H37" s="57" t="s">
        <v>111</v>
      </c>
      <c r="I37" s="57" t="s">
        <v>111</v>
      </c>
      <c r="J37" s="57" t="s">
        <v>111</v>
      </c>
      <c r="K37" s="57" t="s">
        <v>111</v>
      </c>
      <c r="L37" s="57" t="s">
        <v>111</v>
      </c>
      <c r="M37" s="3"/>
      <c r="N37" s="12">
        <v>1</v>
      </c>
    </row>
    <row r="38" spans="1:14" ht="15.75" thickBot="1" x14ac:dyDescent="0.35">
      <c r="A38" s="5" t="s">
        <v>104</v>
      </c>
      <c r="B38" s="3"/>
      <c r="C38" s="3"/>
      <c r="D38" s="3"/>
      <c r="E38" s="3"/>
      <c r="F38" s="3"/>
      <c r="G38" s="48"/>
      <c r="H38" s="48"/>
      <c r="I38" s="48"/>
      <c r="J38" s="48"/>
      <c r="K38" s="48"/>
      <c r="L38" s="48"/>
      <c r="M38" s="3"/>
      <c r="N38" s="3"/>
    </row>
    <row r="39" spans="1:14" ht="15.75" thickBot="1" x14ac:dyDescent="0.35">
      <c r="A39" s="60" t="s">
        <v>149</v>
      </c>
      <c r="B39" s="14">
        <f>+B$8*[1]Fremskrivninger!$S$6/B27</f>
        <v>1443.3657646179197</v>
      </c>
      <c r="C39" s="14">
        <f>+C$8*[1]Fremskrivninger!$S$6/C27</f>
        <v>1496.909857056306</v>
      </c>
      <c r="D39" s="14">
        <f>+D$8*[1]Fremskrivninger!$S$6/D27</f>
        <v>1569.6981125518616</v>
      </c>
      <c r="E39" s="14">
        <f>+E$8*[1]Fremskrivninger!$S$6/E27</f>
        <v>1738.7986347879253</v>
      </c>
      <c r="F39" s="14">
        <f>+F$8*[1]Fremskrivninger!$S$6/F27</f>
        <v>1948.7317085266113</v>
      </c>
      <c r="G39" s="57" t="s">
        <v>111</v>
      </c>
      <c r="H39" s="57" t="s">
        <v>111</v>
      </c>
      <c r="I39" s="57" t="s">
        <v>111</v>
      </c>
      <c r="J39" s="57" t="s">
        <v>111</v>
      </c>
      <c r="K39" s="57" t="s">
        <v>111</v>
      </c>
      <c r="L39" s="57" t="s">
        <v>111</v>
      </c>
      <c r="M39" s="3"/>
      <c r="N39" s="12">
        <v>1</v>
      </c>
    </row>
    <row r="40" spans="1:14" ht="15.75" thickBot="1" x14ac:dyDescent="0.35">
      <c r="A40" s="60" t="s">
        <v>150</v>
      </c>
      <c r="B40" s="14">
        <f>+B$8*[1]Fremskrivninger!$S$6/B28</f>
        <v>2462.7090454101563</v>
      </c>
      <c r="C40" s="14">
        <f>+C$8*[1]Fremskrivninger!$S$6/C28</f>
        <v>2599.1812364016505</v>
      </c>
      <c r="D40" s="14">
        <f>+D$8*[1]Fremskrivninger!$S$6/D28</f>
        <v>2792.6245022368357</v>
      </c>
      <c r="E40" s="14">
        <f>+E$8*[1]Fremskrivninger!$S$6/E28</f>
        <v>3280.9992226651152</v>
      </c>
      <c r="F40" s="14">
        <f>+F$8*[1]Fremskrivninger!$S$6/F28</f>
        <v>3976.3913154602051</v>
      </c>
      <c r="G40" s="57" t="s">
        <v>111</v>
      </c>
      <c r="H40" s="57" t="s">
        <v>111</v>
      </c>
      <c r="I40" s="57" t="s">
        <v>111</v>
      </c>
      <c r="J40" s="57" t="s">
        <v>111</v>
      </c>
      <c r="K40" s="57" t="s">
        <v>111</v>
      </c>
      <c r="L40" s="57" t="s">
        <v>111</v>
      </c>
      <c r="M40" s="3"/>
      <c r="N40" s="12">
        <v>1</v>
      </c>
    </row>
    <row r="41" spans="1:14" ht="15.75" thickBot="1" x14ac:dyDescent="0.35">
      <c r="A41" s="60" t="s">
        <v>151</v>
      </c>
      <c r="B41" s="14">
        <f>+B$8*[1]Fremskrivninger!$S$6/B29</f>
        <v>2722.2570419311523</v>
      </c>
      <c r="C41" s="14">
        <f>+C$8*[1]Fremskrivninger!$S$6/C29</f>
        <v>2887.8565951147871</v>
      </c>
      <c r="D41" s="14">
        <f>+D$8*[1]Fremskrivninger!$S$6/D29</f>
        <v>3125.5200066693114</v>
      </c>
      <c r="E41" s="14">
        <f>+E$8*[1]Fremskrivninger!$S$6/E29</f>
        <v>3741.3231824778982</v>
      </c>
      <c r="F41" s="14">
        <f>+F$8*[1]Fremskrivninger!$S$6/F29</f>
        <v>4659.3226432800293</v>
      </c>
      <c r="G41" s="57" t="s">
        <v>111</v>
      </c>
      <c r="H41" s="57" t="s">
        <v>111</v>
      </c>
      <c r="I41" s="57" t="s">
        <v>111</v>
      </c>
      <c r="J41" s="57" t="s">
        <v>111</v>
      </c>
      <c r="K41" s="57" t="s">
        <v>111</v>
      </c>
      <c r="L41" s="57" t="s">
        <v>111</v>
      </c>
      <c r="M41" s="3"/>
      <c r="N41" s="12">
        <v>1</v>
      </c>
    </row>
    <row r="42" spans="1:14" ht="15.75" thickBot="1" x14ac:dyDescent="0.35">
      <c r="A42" s="5" t="s">
        <v>45</v>
      </c>
      <c r="B42" s="3"/>
      <c r="C42" s="3"/>
      <c r="D42" s="3"/>
      <c r="E42" s="3"/>
      <c r="F42" s="3"/>
      <c r="G42" s="50"/>
      <c r="H42" s="50"/>
      <c r="I42" s="50"/>
      <c r="J42" s="50"/>
      <c r="K42" s="50"/>
      <c r="L42" s="50"/>
      <c r="M42" s="3"/>
      <c r="N42" s="3"/>
    </row>
    <row r="43" spans="1:14" ht="15.75" thickBot="1" x14ac:dyDescent="0.35">
      <c r="A43" s="60" t="s">
        <v>149</v>
      </c>
      <c r="B43" s="14">
        <f>+B$8*[1]Fremskrivninger!$S$6/B31</f>
        <v>1732.7472209930418</v>
      </c>
      <c r="C43" s="14">
        <f>+C$8*[1]Fremskrivninger!$S$6/C31</f>
        <v>1832.3477922852583</v>
      </c>
      <c r="D43" s="14">
        <f>+D$8*[1]Fremskrivninger!$S$6/D31</f>
        <v>1974.197072026546</v>
      </c>
      <c r="E43" s="14">
        <f>+E$8*[1]Fremskrivninger!$S$6/E31</f>
        <v>2335.852154149336</v>
      </c>
      <c r="F43" s="14">
        <f>+F$8*[1]Fremskrivninger!$S$6/F31</f>
        <v>2859.7286224365234</v>
      </c>
      <c r="G43" s="57" t="s">
        <v>111</v>
      </c>
      <c r="H43" s="57" t="s">
        <v>111</v>
      </c>
      <c r="I43" s="57" t="s">
        <v>111</v>
      </c>
      <c r="J43" s="57" t="s">
        <v>111</v>
      </c>
      <c r="K43" s="57" t="s">
        <v>111</v>
      </c>
      <c r="L43" s="57" t="s">
        <v>111</v>
      </c>
      <c r="M43" s="3"/>
      <c r="N43" s="12">
        <v>1</v>
      </c>
    </row>
    <row r="44" spans="1:14" ht="15.75" thickBot="1" x14ac:dyDescent="0.35">
      <c r="A44" s="60" t="s">
        <v>150</v>
      </c>
      <c r="B44" s="14">
        <f>+B$8*[1]Fremskrivninger!$S$6/B32</f>
        <v>2791.805362701416</v>
      </c>
      <c r="C44" s="14">
        <f>+C$8*[1]Fremskrivninger!$S$6/C32</f>
        <v>2985.0627624869044</v>
      </c>
      <c r="D44" s="14">
        <f>+D$8*[1]Fremskrivninger!$S$6/D32</f>
        <v>3267.8238518734206</v>
      </c>
      <c r="E44" s="14">
        <f>+E$8*[1]Fremskrivninger!$S$6/E32</f>
        <v>4031.6163160284596</v>
      </c>
      <c r="F44" s="14">
        <f>+F$8*[1]Fremskrivninger!$S$6/F32</f>
        <v>5261.3605499267578</v>
      </c>
      <c r="G44" s="57" t="s">
        <v>111</v>
      </c>
      <c r="H44" s="57" t="s">
        <v>111</v>
      </c>
      <c r="I44" s="57" t="s">
        <v>111</v>
      </c>
      <c r="J44" s="57" t="s">
        <v>111</v>
      </c>
      <c r="K44" s="57" t="s">
        <v>111</v>
      </c>
      <c r="L44" s="57" t="s">
        <v>111</v>
      </c>
      <c r="M44" s="3"/>
      <c r="N44" s="12">
        <v>1</v>
      </c>
    </row>
    <row r="45" spans="1:14" ht="15.75" thickBot="1" x14ac:dyDescent="0.35">
      <c r="A45" s="60" t="s">
        <v>151</v>
      </c>
      <c r="B45" s="14">
        <f>+B$8*[1]Fremskrivninger!$S$6/B33</f>
        <v>2958.848762512207</v>
      </c>
      <c r="C45" s="14">
        <f>+C$8*[1]Fremskrivninger!$S$6/C33</f>
        <v>3167.286157428412</v>
      </c>
      <c r="D45" s="14">
        <f>+D$8*[1]Fremskrivninger!$S$6/D33</f>
        <v>3473.1177836661573</v>
      </c>
      <c r="E45" s="14">
        <f>+E$8*[1]Fremskrivninger!$S$6/E33</f>
        <v>4304.3744278567219</v>
      </c>
      <c r="F45" s="14">
        <f>+F$8*[1]Fremskrivninger!$S$6/F33</f>
        <v>5658.7377548217773</v>
      </c>
      <c r="G45" s="57" t="s">
        <v>111</v>
      </c>
      <c r="H45" s="57" t="s">
        <v>111</v>
      </c>
      <c r="I45" s="57" t="s">
        <v>111</v>
      </c>
      <c r="J45" s="57" t="s">
        <v>111</v>
      </c>
      <c r="K45" s="57" t="s">
        <v>111</v>
      </c>
      <c r="L45" s="57" t="s">
        <v>111</v>
      </c>
      <c r="M45" s="3"/>
      <c r="N45" s="12">
        <v>1</v>
      </c>
    </row>
    <row r="46" spans="1:14" ht="15.75" thickBot="1" x14ac:dyDescent="0.35">
      <c r="A46" s="73" t="s">
        <v>20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5"/>
    </row>
    <row r="47" spans="1:14" ht="15.75" thickBot="1" x14ac:dyDescent="0.35">
      <c r="A47" s="5" t="s">
        <v>21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.75" thickBot="1" x14ac:dyDescent="0.35">
      <c r="A48" s="5" t="s">
        <v>22</v>
      </c>
      <c r="B48" s="14">
        <f>B31*[1]Fremskrivninger!$S$10</f>
        <v>928.69864715625602</v>
      </c>
      <c r="C48" s="14">
        <f>C31*[1]Fremskrivninger!$S$10</f>
        <v>878.21755606398619</v>
      </c>
      <c r="D48" s="14">
        <f>D31*[1]Fremskrivninger!$S$10</f>
        <v>815.11619219864895</v>
      </c>
      <c r="E48" s="14">
        <f>E31*[1]Fremskrivninger!$S$10</f>
        <v>688.91346446797445</v>
      </c>
      <c r="F48" s="14">
        <f>F31*[1]Fremskrivninger!$S$10</f>
        <v>562.71073673729995</v>
      </c>
      <c r="G48" s="59" t="s">
        <v>111</v>
      </c>
      <c r="H48" s="59" t="s">
        <v>111</v>
      </c>
      <c r="I48" s="59" t="s">
        <v>111</v>
      </c>
      <c r="J48" s="59" t="s">
        <v>111</v>
      </c>
      <c r="K48" s="59" t="s">
        <v>111</v>
      </c>
      <c r="L48" s="59" t="s">
        <v>111</v>
      </c>
      <c r="M48" s="3"/>
      <c r="N48" s="15">
        <v>3</v>
      </c>
    </row>
    <row r="49" spans="1:14" ht="15.75" thickBot="1" x14ac:dyDescent="0.35">
      <c r="A49" s="5" t="s">
        <v>23</v>
      </c>
      <c r="B49" s="13">
        <f>0.0075*B7/1000</f>
        <v>1.2975000000000001E-4</v>
      </c>
      <c r="C49" s="13">
        <f t="shared" ref="C49:E52" si="5">B49+(C$2-B$2)*($F49-$B49)/($F$2-$B$2)</f>
        <v>1.2269720457569488E-4</v>
      </c>
      <c r="D49" s="13">
        <f t="shared" si="5"/>
        <v>1.1388121029531347E-4</v>
      </c>
      <c r="E49" s="13">
        <f t="shared" si="5"/>
        <v>9.6249221734550649E-5</v>
      </c>
      <c r="F49" s="16">
        <f>+B49*F48/B48</f>
        <v>7.8617233173787824E-5</v>
      </c>
      <c r="G49" s="59" t="s">
        <v>111</v>
      </c>
      <c r="H49" s="59" t="s">
        <v>111</v>
      </c>
      <c r="I49" s="59" t="s">
        <v>111</v>
      </c>
      <c r="J49" s="59" t="s">
        <v>111</v>
      </c>
      <c r="K49" s="59" t="s">
        <v>111</v>
      </c>
      <c r="L49" s="59" t="s">
        <v>111</v>
      </c>
      <c r="M49" s="3"/>
      <c r="N49" s="15">
        <v>3</v>
      </c>
    </row>
    <row r="50" spans="1:14" ht="15.75" thickBot="1" x14ac:dyDescent="0.35">
      <c r="A50" s="5" t="s">
        <v>24</v>
      </c>
      <c r="B50" s="20">
        <f>0.7*B31/3.6*B19/100</f>
        <v>2.3871144652366639E-3</v>
      </c>
      <c r="C50" s="13">
        <f t="shared" si="5"/>
        <v>2.2573585501868471E-3</v>
      </c>
      <c r="D50" s="13">
        <f t="shared" si="5"/>
        <v>2.0951636563745759E-3</v>
      </c>
      <c r="E50" s="13">
        <f t="shared" si="5"/>
        <v>1.7707738687500339E-3</v>
      </c>
      <c r="F50" s="20">
        <f>+B50*F49/B49</f>
        <v>1.4463840811254922E-3</v>
      </c>
      <c r="G50" s="59" t="s">
        <v>111</v>
      </c>
      <c r="H50" s="59" t="s">
        <v>111</v>
      </c>
      <c r="I50" s="59" t="s">
        <v>111</v>
      </c>
      <c r="J50" s="59" t="s">
        <v>111</v>
      </c>
      <c r="K50" s="59" t="s">
        <v>111</v>
      </c>
      <c r="L50" s="59" t="s">
        <v>111</v>
      </c>
      <c r="M50" s="3"/>
      <c r="N50" s="15">
        <v>3</v>
      </c>
    </row>
    <row r="51" spans="1:14" ht="15.75" thickBot="1" x14ac:dyDescent="0.35">
      <c r="A51" s="5" t="s">
        <v>25</v>
      </c>
      <c r="B51" s="16">
        <f>0.00094*B7/1000</f>
        <v>1.6261999999999998E-5</v>
      </c>
      <c r="C51" s="13">
        <f t="shared" si="5"/>
        <v>1.5378049640153754E-5</v>
      </c>
      <c r="D51" s="13">
        <f t="shared" si="5"/>
        <v>1.4273111690345951E-5</v>
      </c>
      <c r="E51" s="13">
        <f t="shared" si="5"/>
        <v>1.2063235790730344E-5</v>
      </c>
      <c r="F51" s="16">
        <f>+B51*F50/B50</f>
        <v>9.8533598911147381E-6</v>
      </c>
      <c r="G51" s="59" t="s">
        <v>111</v>
      </c>
      <c r="H51" s="59" t="s">
        <v>111</v>
      </c>
      <c r="I51" s="59" t="s">
        <v>111</v>
      </c>
      <c r="J51" s="59" t="s">
        <v>111</v>
      </c>
      <c r="K51" s="59" t="s">
        <v>111</v>
      </c>
      <c r="L51" s="59" t="s">
        <v>111</v>
      </c>
      <c r="M51" s="3"/>
      <c r="N51" s="15">
        <v>3</v>
      </c>
    </row>
    <row r="52" spans="1:14" ht="15.75" thickBot="1" x14ac:dyDescent="0.35">
      <c r="A52" s="5" t="s">
        <v>26</v>
      </c>
      <c r="B52" s="16">
        <f>0.0019*B7/1000</f>
        <v>3.2870000000000002E-5</v>
      </c>
      <c r="C52" s="13">
        <f t="shared" si="5"/>
        <v>3.10832918258427E-5</v>
      </c>
      <c r="D52" s="13">
        <f t="shared" si="5"/>
        <v>2.8849906608146074E-5</v>
      </c>
      <c r="E52" s="13">
        <f t="shared" si="5"/>
        <v>2.4383136172752826E-5</v>
      </c>
      <c r="F52" s="16">
        <f>+B52*F51/B51</f>
        <v>1.9916365737359581E-5</v>
      </c>
      <c r="G52" s="59" t="s">
        <v>111</v>
      </c>
      <c r="H52" s="59" t="s">
        <v>111</v>
      </c>
      <c r="I52" s="59" t="s">
        <v>111</v>
      </c>
      <c r="J52" s="59" t="s">
        <v>111</v>
      </c>
      <c r="K52" s="59" t="s">
        <v>111</v>
      </c>
      <c r="L52" s="59" t="s">
        <v>111</v>
      </c>
      <c r="M52" s="3"/>
      <c r="N52" s="15">
        <v>3</v>
      </c>
    </row>
    <row r="53" spans="1:14" ht="15.75" thickBot="1" x14ac:dyDescent="0.35">
      <c r="A53" s="5" t="s">
        <v>27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</row>
    <row r="54" spans="1:14" ht="15.75" thickBot="1" x14ac:dyDescent="0.35">
      <c r="A54" s="5" t="s">
        <v>28</v>
      </c>
      <c r="B54" s="14">
        <f>B32*[1]Fremskrivninger!$S$10</f>
        <v>576.40121388795546</v>
      </c>
      <c r="C54" s="14">
        <f>C32*[1]Fremskrivninger!$S$10</f>
        <v>539.08414262598262</v>
      </c>
      <c r="D54" s="14">
        <f>D32*[1]Fremskrivninger!$S$10</f>
        <v>492.43780354851651</v>
      </c>
      <c r="E54" s="14">
        <f>E32*[1]Fremskrivninger!$S$10</f>
        <v>399.14512539358435</v>
      </c>
      <c r="F54" s="14">
        <f>F32*[1]Fremskrivninger!$S$10</f>
        <v>305.85244723865225</v>
      </c>
      <c r="G54" s="59" t="s">
        <v>111</v>
      </c>
      <c r="H54" s="59" t="s">
        <v>111</v>
      </c>
      <c r="I54" s="59" t="s">
        <v>111</v>
      </c>
      <c r="J54" s="59" t="s">
        <v>111</v>
      </c>
      <c r="K54" s="59" t="s">
        <v>111</v>
      </c>
      <c r="L54" s="59" t="s">
        <v>111</v>
      </c>
      <c r="M54" s="3"/>
      <c r="N54" s="15">
        <v>3</v>
      </c>
    </row>
    <row r="55" spans="1:14" ht="15.75" thickBot="1" x14ac:dyDescent="0.35">
      <c r="A55" s="5" t="s">
        <v>23</v>
      </c>
      <c r="B55" s="16">
        <f>0.002*B32</f>
        <v>1.5473858090951826E-2</v>
      </c>
      <c r="C55" s="13">
        <f t="shared" ref="C55:E58" si="6">B55+(C$2-B$2)*($F55-$B55)/($F$2-$B$2)</f>
        <v>1.4472057520160609E-2</v>
      </c>
      <c r="D55" s="13">
        <f t="shared" si="6"/>
        <v>1.3219806806671588E-2</v>
      </c>
      <c r="E55" s="13">
        <f t="shared" si="6"/>
        <v>1.0715305379693544E-2</v>
      </c>
      <c r="F55" s="16">
        <f>+B55*F54/B54</f>
        <v>8.2108039527154977E-3</v>
      </c>
      <c r="G55" s="59" t="s">
        <v>111</v>
      </c>
      <c r="H55" s="59" t="s">
        <v>111</v>
      </c>
      <c r="I55" s="59" t="s">
        <v>111</v>
      </c>
      <c r="J55" s="59" t="s">
        <v>111</v>
      </c>
      <c r="K55" s="59" t="s">
        <v>111</v>
      </c>
      <c r="L55" s="59" t="s">
        <v>111</v>
      </c>
      <c r="M55" s="3"/>
      <c r="N55" s="15">
        <v>3</v>
      </c>
    </row>
    <row r="56" spans="1:14" ht="15.75" thickBot="1" x14ac:dyDescent="0.35">
      <c r="A56" s="5" t="s">
        <v>24</v>
      </c>
      <c r="B56" s="20">
        <f>0.5*B32/3.6*B19/100</f>
        <v>1.0582670705516859E-3</v>
      </c>
      <c r="C56" s="13">
        <f t="shared" si="6"/>
        <v>9.8975328755737538E-4</v>
      </c>
      <c r="D56" s="13">
        <f t="shared" si="6"/>
        <v>9.0411105881448733E-4</v>
      </c>
      <c r="E56" s="13">
        <f t="shared" si="6"/>
        <v>7.3282660132871112E-4</v>
      </c>
      <c r="F56" s="20">
        <f>+B56*F55/B55</f>
        <v>5.615421438429349E-4</v>
      </c>
      <c r="G56" s="59" t="s">
        <v>111</v>
      </c>
      <c r="H56" s="59" t="s">
        <v>111</v>
      </c>
      <c r="I56" s="59" t="s">
        <v>111</v>
      </c>
      <c r="J56" s="59" t="s">
        <v>111</v>
      </c>
      <c r="K56" s="59" t="s">
        <v>111</v>
      </c>
      <c r="L56" s="59" t="s">
        <v>111</v>
      </c>
      <c r="M56" s="3"/>
      <c r="N56" s="15">
        <v>3</v>
      </c>
    </row>
    <row r="57" spans="1:14" ht="15.75" thickBot="1" x14ac:dyDescent="0.35">
      <c r="A57" s="5" t="s">
        <v>25</v>
      </c>
      <c r="B57" s="16">
        <f>0.000252*B32</f>
        <v>1.9497061194599301E-3</v>
      </c>
      <c r="C57" s="13">
        <f t="shared" si="6"/>
        <v>1.8234792475402366E-3</v>
      </c>
      <c r="D57" s="13">
        <f t="shared" si="6"/>
        <v>1.6656956576406197E-3</v>
      </c>
      <c r="E57" s="13">
        <f t="shared" si="6"/>
        <v>1.3501284778413862E-3</v>
      </c>
      <c r="F57" s="20">
        <f>+B57*F56/B56</f>
        <v>1.0345612980421526E-3</v>
      </c>
      <c r="G57" s="59" t="s">
        <v>111</v>
      </c>
      <c r="H57" s="59" t="s">
        <v>111</v>
      </c>
      <c r="I57" s="59" t="s">
        <v>111</v>
      </c>
      <c r="J57" s="59" t="s">
        <v>111</v>
      </c>
      <c r="K57" s="59" t="s">
        <v>111</v>
      </c>
      <c r="L57" s="59" t="s">
        <v>111</v>
      </c>
      <c r="M57" s="3"/>
      <c r="N57" s="15">
        <v>3</v>
      </c>
    </row>
    <row r="58" spans="1:14" ht="15.75" thickBot="1" x14ac:dyDescent="0.35">
      <c r="A58" s="5" t="s">
        <v>29</v>
      </c>
      <c r="B58" s="16">
        <f>0.00052*B32</f>
        <v>4.0232031036474747E-3</v>
      </c>
      <c r="C58" s="13">
        <f t="shared" si="6"/>
        <v>3.7627349552417579E-3</v>
      </c>
      <c r="D58" s="13">
        <f t="shared" si="6"/>
        <v>3.437149769734612E-3</v>
      </c>
      <c r="E58" s="13">
        <f t="shared" si="6"/>
        <v>2.7859793987203203E-3</v>
      </c>
      <c r="F58" s="16">
        <f>+B58*F57/B57</f>
        <v>2.134809027706029E-3</v>
      </c>
      <c r="G58" s="59" t="s">
        <v>111</v>
      </c>
      <c r="H58" s="59" t="s">
        <v>111</v>
      </c>
      <c r="I58" s="59" t="s">
        <v>111</v>
      </c>
      <c r="J58" s="59" t="s">
        <v>111</v>
      </c>
      <c r="K58" s="59" t="s">
        <v>111</v>
      </c>
      <c r="L58" s="59" t="s">
        <v>111</v>
      </c>
      <c r="M58" s="3"/>
      <c r="N58" s="15">
        <v>3</v>
      </c>
    </row>
    <row r="59" spans="1:14" ht="15.75" thickBot="1" x14ac:dyDescent="0.35">
      <c r="A59" s="7" t="s">
        <v>30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</row>
    <row r="60" spans="1:14" ht="15.75" thickBot="1" x14ac:dyDescent="0.35">
      <c r="A60" s="8" t="s">
        <v>31</v>
      </c>
      <c r="B60" s="14">
        <f>B33*[1]Fremskrivninger!$S$10</f>
        <v>543.86017304707082</v>
      </c>
      <c r="C60" s="14">
        <f>C33*[1]Fremskrivninger!$S$10</f>
        <v>508.06902818864467</v>
      </c>
      <c r="D60" s="14">
        <f>D33*[1]Fremskrivninger!$S$10</f>
        <v>463.33009711561209</v>
      </c>
      <c r="E60" s="14">
        <f>E33*[1]Fremskrivninger!$S$10</f>
        <v>373.85223496954688</v>
      </c>
      <c r="F60" s="14">
        <f>F33*[1]Fremskrivninger!$S$10</f>
        <v>284.37437282348174</v>
      </c>
      <c r="G60" s="57" t="s">
        <v>111</v>
      </c>
      <c r="H60" s="57" t="s">
        <v>111</v>
      </c>
      <c r="I60" s="57" t="s">
        <v>111</v>
      </c>
      <c r="J60" s="57" t="s">
        <v>111</v>
      </c>
      <c r="K60" s="57" t="s">
        <v>111</v>
      </c>
      <c r="L60" s="57" t="s">
        <v>111</v>
      </c>
      <c r="M60" s="3"/>
      <c r="N60" s="15">
        <v>3</v>
      </c>
    </row>
    <row r="61" spans="1:14" ht="15.75" thickBot="1" x14ac:dyDescent="0.35">
      <c r="A61" s="8" t="s">
        <v>32</v>
      </c>
      <c r="B61" s="13">
        <f>0.049/[1]Fremskrivninger!S7</f>
        <v>3.0447188419629363E-2</v>
      </c>
      <c r="C61" s="13">
        <f t="shared" ref="C61:E64" si="7">B61+(C$2-B$2)*($F61-$B61)/($F$2-$B$2)</f>
        <v>2.8443475360161719E-2</v>
      </c>
      <c r="D61" s="13">
        <f t="shared" si="7"/>
        <v>2.5938834035827165E-2</v>
      </c>
      <c r="E61" s="13">
        <f t="shared" si="7"/>
        <v>2.092955138715806E-2</v>
      </c>
      <c r="F61" s="16">
        <f>+B61*F60/B60</f>
        <v>1.5920268738488955E-2</v>
      </c>
      <c r="G61" s="57" t="s">
        <v>111</v>
      </c>
      <c r="H61" s="57" t="s">
        <v>111</v>
      </c>
      <c r="I61" s="57" t="s">
        <v>111</v>
      </c>
      <c r="J61" s="57" t="s">
        <v>111</v>
      </c>
      <c r="K61" s="57" t="s">
        <v>111</v>
      </c>
      <c r="L61" s="57" t="s">
        <v>111</v>
      </c>
      <c r="M61" s="3"/>
      <c r="N61" s="15">
        <v>3</v>
      </c>
    </row>
    <row r="62" spans="1:14" ht="15.75" thickBot="1" x14ac:dyDescent="0.35">
      <c r="A62" s="8" t="s">
        <v>33</v>
      </c>
      <c r="B62" s="20">
        <f>0.2*B33/[1]Fremskrivninger!S9*B19/100</f>
        <v>3.994088133423921E-4</v>
      </c>
      <c r="C62" s="20">
        <f t="shared" si="7"/>
        <v>3.7312393460972495E-4</v>
      </c>
      <c r="D62" s="20">
        <f t="shared" si="7"/>
        <v>3.4026783619389104E-4</v>
      </c>
      <c r="E62" s="20">
        <f t="shared" si="7"/>
        <v>2.7455563936222322E-4</v>
      </c>
      <c r="F62" s="20">
        <f>+B62*F61/B61</f>
        <v>2.0884344253055536E-4</v>
      </c>
      <c r="G62" s="57" t="s">
        <v>111</v>
      </c>
      <c r="H62" s="57" t="s">
        <v>111</v>
      </c>
      <c r="I62" s="57" t="s">
        <v>111</v>
      </c>
      <c r="J62" s="57" t="s">
        <v>111</v>
      </c>
      <c r="K62" s="57" t="s">
        <v>111</v>
      </c>
      <c r="L62" s="57" t="s">
        <v>111</v>
      </c>
      <c r="M62" s="3"/>
      <c r="N62" s="15">
        <v>3</v>
      </c>
    </row>
    <row r="63" spans="1:14" ht="15.75" thickBot="1" x14ac:dyDescent="0.35">
      <c r="A63" s="8" t="s">
        <v>34</v>
      </c>
      <c r="B63" s="16">
        <f>0.0053/[1]Fremskrivninger!S7</f>
        <v>3.2932673188578697E-3</v>
      </c>
      <c r="C63" s="16">
        <f t="shared" si="7"/>
        <v>3.0765391716093288E-3</v>
      </c>
      <c r="D63" s="16">
        <f t="shared" si="7"/>
        <v>2.8056289875486528E-3</v>
      </c>
      <c r="E63" s="16">
        <f t="shared" si="7"/>
        <v>2.2638086194273007E-3</v>
      </c>
      <c r="F63" s="20">
        <f>+B63*F62/B62</f>
        <v>1.7219882513059483E-3</v>
      </c>
      <c r="G63" s="57" t="s">
        <v>111</v>
      </c>
      <c r="H63" s="57" t="s">
        <v>111</v>
      </c>
      <c r="I63" s="57" t="s">
        <v>111</v>
      </c>
      <c r="J63" s="57" t="s">
        <v>111</v>
      </c>
      <c r="K63" s="57" t="s">
        <v>111</v>
      </c>
      <c r="L63" s="57" t="s">
        <v>111</v>
      </c>
      <c r="M63" s="3"/>
      <c r="N63" s="3">
        <v>3</v>
      </c>
    </row>
    <row r="64" spans="1:14" ht="15.75" thickBot="1" x14ac:dyDescent="0.35">
      <c r="A64" s="8" t="s">
        <v>35</v>
      </c>
      <c r="B64" s="13">
        <f>0.016/[1]Fremskrivninger!S7</f>
        <v>9.9419390757973427E-3</v>
      </c>
      <c r="C64" s="13">
        <f t="shared" si="7"/>
        <v>9.2876654237262768E-3</v>
      </c>
      <c r="D64" s="13">
        <f t="shared" si="7"/>
        <v>8.469823358637444E-3</v>
      </c>
      <c r="E64" s="13">
        <f t="shared" si="7"/>
        <v>6.8341392284597766E-3</v>
      </c>
      <c r="F64" s="16">
        <f>+B64*F63/B63</f>
        <v>5.1984550982821084E-3</v>
      </c>
      <c r="G64" s="57" t="s">
        <v>111</v>
      </c>
      <c r="H64" s="57" t="s">
        <v>111</v>
      </c>
      <c r="I64" s="57" t="s">
        <v>111</v>
      </c>
      <c r="J64" s="57" t="s">
        <v>111</v>
      </c>
      <c r="K64" s="57" t="s">
        <v>111</v>
      </c>
      <c r="L64" s="57" t="s">
        <v>111</v>
      </c>
      <c r="M64" s="3"/>
      <c r="N64" s="3">
        <v>3</v>
      </c>
    </row>
    <row r="65" spans="1:15" ht="15.75" thickBot="1" x14ac:dyDescent="0.35">
      <c r="A65" s="5" t="s">
        <v>54</v>
      </c>
      <c r="B65" s="32">
        <v>85.5</v>
      </c>
      <c r="C65" s="32">
        <v>83.490804597701157</v>
      </c>
      <c r="D65" s="32">
        <v>80.979310344827582</v>
      </c>
      <c r="E65" s="32">
        <v>75.956321839080459</v>
      </c>
      <c r="F65" s="32">
        <v>70.933333333333323</v>
      </c>
      <c r="G65" s="57" t="s">
        <v>111</v>
      </c>
      <c r="H65" s="57" t="s">
        <v>111</v>
      </c>
      <c r="I65" s="57" t="s">
        <v>111</v>
      </c>
      <c r="J65" s="57" t="s">
        <v>111</v>
      </c>
      <c r="K65" s="57" t="s">
        <v>111</v>
      </c>
      <c r="L65" s="57" t="s">
        <v>111</v>
      </c>
      <c r="M65" s="3"/>
      <c r="N65" s="3">
        <v>3</v>
      </c>
    </row>
    <row r="66" spans="1:15" ht="15.75" thickBot="1" x14ac:dyDescent="0.35">
      <c r="A66" s="73" t="s">
        <v>36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5"/>
    </row>
    <row r="67" spans="1:15" ht="15.75" thickBot="1" x14ac:dyDescent="0.35">
      <c r="A67" s="5" t="s">
        <v>37</v>
      </c>
      <c r="B67" s="3">
        <f>'Diesel B1'!B67</f>
        <v>12</v>
      </c>
      <c r="C67" s="3">
        <f>'Diesel B1'!C67</f>
        <v>12</v>
      </c>
      <c r="D67" s="3">
        <f>'Diesel B1'!D67</f>
        <v>12</v>
      </c>
      <c r="E67" s="3">
        <f>'Diesel B1'!E67</f>
        <v>12</v>
      </c>
      <c r="F67" s="3">
        <f>'Diesel B1'!F67</f>
        <v>12</v>
      </c>
      <c r="G67" s="3">
        <f>'Diesel B1'!G67</f>
        <v>8.4</v>
      </c>
      <c r="H67" s="3">
        <f>'Diesel B1'!H67</f>
        <v>15.6</v>
      </c>
      <c r="I67" s="57" t="s">
        <v>111</v>
      </c>
      <c r="J67" s="57" t="s">
        <v>111</v>
      </c>
      <c r="K67" s="57" t="s">
        <v>111</v>
      </c>
      <c r="L67" s="57" t="s">
        <v>111</v>
      </c>
      <c r="M67" s="3"/>
      <c r="N67" s="15">
        <v>4</v>
      </c>
    </row>
    <row r="68" spans="1:15" ht="15.75" thickBot="1" x14ac:dyDescent="0.35">
      <c r="A68" s="5" t="s">
        <v>38</v>
      </c>
      <c r="B68" s="3">
        <f>'Diesel L1'!B68</f>
        <v>2</v>
      </c>
      <c r="C68" s="3">
        <f>'Diesel L1'!C68</f>
        <v>2</v>
      </c>
      <c r="D68" s="3">
        <f>'Diesel L1'!D68</f>
        <v>2</v>
      </c>
      <c r="E68" s="3">
        <f>'Diesel L1'!E68</f>
        <v>2</v>
      </c>
      <c r="F68" s="3">
        <f>'Diesel L1'!F68</f>
        <v>2</v>
      </c>
      <c r="G68" s="3">
        <f>'Diesel L1'!G68</f>
        <v>1</v>
      </c>
      <c r="H68" s="3">
        <f>'Diesel L1'!H68</f>
        <v>6</v>
      </c>
      <c r="I68" s="57" t="s">
        <v>111</v>
      </c>
      <c r="J68" s="57" t="s">
        <v>111</v>
      </c>
      <c r="K68" s="57" t="s">
        <v>111</v>
      </c>
      <c r="L68" s="57" t="s">
        <v>111</v>
      </c>
      <c r="M68" s="3"/>
      <c r="N68" s="15">
        <v>4</v>
      </c>
    </row>
    <row r="69" spans="1:15" ht="15.75" thickBot="1" x14ac:dyDescent="0.35">
      <c r="A69" s="5" t="s">
        <v>39</v>
      </c>
      <c r="B69" s="3">
        <v>1200000</v>
      </c>
      <c r="C69" s="3">
        <v>1200000</v>
      </c>
      <c r="D69" s="3">
        <v>1200000</v>
      </c>
      <c r="E69" s="3">
        <v>1200000</v>
      </c>
      <c r="F69" s="3">
        <v>1200000</v>
      </c>
      <c r="G69" s="3">
        <v>800000</v>
      </c>
      <c r="H69" s="3">
        <v>2000000</v>
      </c>
      <c r="I69" s="57" t="s">
        <v>111</v>
      </c>
      <c r="J69" s="57" t="s">
        <v>111</v>
      </c>
      <c r="K69" s="57" t="s">
        <v>111</v>
      </c>
      <c r="L69" s="57" t="s">
        <v>111</v>
      </c>
      <c r="M69" s="3"/>
      <c r="N69" s="15">
        <v>4</v>
      </c>
    </row>
    <row r="70" spans="1:15" ht="15.75" thickBot="1" x14ac:dyDescent="0.35">
      <c r="A70" s="5" t="s">
        <v>40</v>
      </c>
      <c r="B70" s="14">
        <f>B69/7</f>
        <v>171428.57142857142</v>
      </c>
      <c r="C70" s="14">
        <f>C69/7</f>
        <v>171428.57142857142</v>
      </c>
      <c r="D70" s="14">
        <f>D69/7</f>
        <v>171428.57142857142</v>
      </c>
      <c r="E70" s="14">
        <f>E69/7</f>
        <v>171428.57142857142</v>
      </c>
      <c r="F70" s="14">
        <f>F69/7</f>
        <v>171428.57142857142</v>
      </c>
      <c r="G70" s="57" t="s">
        <v>111</v>
      </c>
      <c r="H70" s="57" t="s">
        <v>111</v>
      </c>
      <c r="I70" s="57" t="s">
        <v>111</v>
      </c>
      <c r="J70" s="57" t="s">
        <v>111</v>
      </c>
      <c r="K70" s="57" t="s">
        <v>111</v>
      </c>
      <c r="L70" s="57" t="s">
        <v>111</v>
      </c>
      <c r="M70" s="3"/>
      <c r="N70" s="15">
        <v>4</v>
      </c>
    </row>
    <row r="71" spans="1:15" ht="15.75" thickBot="1" x14ac:dyDescent="0.35">
      <c r="A71" s="5" t="s">
        <v>41</v>
      </c>
      <c r="B71" s="3">
        <v>259900</v>
      </c>
      <c r="C71" s="3">
        <v>259900</v>
      </c>
      <c r="D71" s="3">
        <v>259900</v>
      </c>
      <c r="E71" s="3">
        <v>259900</v>
      </c>
      <c r="F71" s="3">
        <v>259900</v>
      </c>
      <c r="G71" s="57" t="s">
        <v>111</v>
      </c>
      <c r="H71" s="57" t="s">
        <v>111</v>
      </c>
      <c r="I71" s="57" t="s">
        <v>111</v>
      </c>
      <c r="J71" s="57" t="s">
        <v>111</v>
      </c>
      <c r="K71" s="57" t="s">
        <v>111</v>
      </c>
      <c r="L71" s="57" t="s">
        <v>111</v>
      </c>
      <c r="M71" s="3"/>
      <c r="N71" s="15">
        <v>4</v>
      </c>
      <c r="O71" s="17"/>
    </row>
    <row r="72" spans="1:15" ht="15.75" thickBot="1" x14ac:dyDescent="0.35">
      <c r="A72" s="60" t="str">
        <f>'Diesel L1'!A72</f>
        <v>-           Cost of 24V battery</v>
      </c>
      <c r="B72" s="3">
        <f>+'Diesel L1'!B72</f>
        <v>300</v>
      </c>
      <c r="C72" s="3">
        <f>+'Diesel L1'!C72</f>
        <v>300</v>
      </c>
      <c r="D72" s="3">
        <f>+'Diesel L1'!D72</f>
        <v>300</v>
      </c>
      <c r="E72" s="3">
        <f>+'Diesel L1'!E72</f>
        <v>300</v>
      </c>
      <c r="F72" s="3">
        <f>+'Diesel L1'!F72</f>
        <v>300</v>
      </c>
      <c r="G72" s="57" t="s">
        <v>111</v>
      </c>
      <c r="H72" s="57" t="s">
        <v>111</v>
      </c>
      <c r="I72" s="57" t="s">
        <v>111</v>
      </c>
      <c r="J72" s="57" t="s">
        <v>111</v>
      </c>
      <c r="K72" s="57" t="s">
        <v>111</v>
      </c>
      <c r="L72" s="57" t="s">
        <v>111</v>
      </c>
      <c r="M72" s="3"/>
      <c r="N72" s="15">
        <v>4</v>
      </c>
    </row>
    <row r="73" spans="1:15" ht="15.75" thickBot="1" x14ac:dyDescent="0.35">
      <c r="A73" s="5" t="s">
        <v>137</v>
      </c>
      <c r="B73" s="3">
        <f>+'Diesel B1'!B73</f>
        <v>19000</v>
      </c>
      <c r="C73" s="3">
        <f>+'Diesel B1'!C73</f>
        <v>19000</v>
      </c>
      <c r="D73" s="3">
        <f>+'Diesel B1'!D73</f>
        <v>19000</v>
      </c>
      <c r="E73" s="3">
        <f>+'Diesel B1'!E73</f>
        <v>19000</v>
      </c>
      <c r="F73" s="3">
        <f>+'Diesel B1'!F73</f>
        <v>19000</v>
      </c>
      <c r="G73" s="59" t="s">
        <v>111</v>
      </c>
      <c r="H73" s="59" t="s">
        <v>111</v>
      </c>
      <c r="I73" s="59" t="s">
        <v>111</v>
      </c>
      <c r="J73" s="57" t="s">
        <v>111</v>
      </c>
      <c r="K73" s="57" t="s">
        <v>111</v>
      </c>
      <c r="L73" s="57" t="s">
        <v>111</v>
      </c>
      <c r="M73" s="3"/>
      <c r="N73" s="15">
        <v>4</v>
      </c>
    </row>
    <row r="74" spans="1:15" ht="15.75" thickBot="1" x14ac:dyDescent="0.35">
      <c r="A74" s="5" t="s">
        <v>113</v>
      </c>
      <c r="B74" s="14">
        <v>7200</v>
      </c>
      <c r="C74" s="14">
        <v>7200</v>
      </c>
      <c r="D74" s="14">
        <v>7200</v>
      </c>
      <c r="E74" s="14">
        <v>7200</v>
      </c>
      <c r="F74" s="14">
        <v>7200</v>
      </c>
      <c r="G74" s="47" t="str">
        <f>+'Diesel L1'!G74</f>
        <v>no data</v>
      </c>
      <c r="H74" s="47" t="str">
        <f>+'Diesel L1'!H74</f>
        <v>no data</v>
      </c>
      <c r="I74" s="61" t="s">
        <v>111</v>
      </c>
      <c r="J74" s="57" t="s">
        <v>111</v>
      </c>
      <c r="K74" s="57" t="s">
        <v>111</v>
      </c>
      <c r="L74" s="57" t="s">
        <v>111</v>
      </c>
      <c r="M74" s="3"/>
      <c r="N74" s="15">
        <v>4</v>
      </c>
    </row>
    <row r="75" spans="1:15" ht="15.75" thickBot="1" x14ac:dyDescent="0.35">
      <c r="A75" s="5" t="s">
        <v>112</v>
      </c>
      <c r="B75" s="13">
        <v>0.12</v>
      </c>
      <c r="C75" s="13">
        <v>0.12</v>
      </c>
      <c r="D75" s="13">
        <v>0.12</v>
      </c>
      <c r="E75" s="13">
        <v>0.12</v>
      </c>
      <c r="F75" s="13">
        <v>0.12</v>
      </c>
      <c r="G75" s="18" t="str">
        <f>+'Diesel L1'!G75</f>
        <v>no data</v>
      </c>
      <c r="H75" s="18" t="str">
        <f>+'Diesel L1'!H75</f>
        <v>no data</v>
      </c>
      <c r="I75" s="59" t="s">
        <v>111</v>
      </c>
      <c r="J75" s="59" t="s">
        <v>111</v>
      </c>
      <c r="K75" s="59" t="s">
        <v>111</v>
      </c>
      <c r="L75" s="59" t="s">
        <v>111</v>
      </c>
      <c r="M75" s="3"/>
      <c r="N75" s="15">
        <v>4</v>
      </c>
    </row>
  </sheetData>
  <mergeCells count="7">
    <mergeCell ref="A66:N66"/>
    <mergeCell ref="C1:N1"/>
    <mergeCell ref="G2:H2"/>
    <mergeCell ref="I2:J2"/>
    <mergeCell ref="K2:L2"/>
    <mergeCell ref="A17:N17"/>
    <mergeCell ref="A46:N46"/>
  </mergeCells>
  <hyperlinks>
    <hyperlink ref="A1" location="'START PAGE'!A1" display="Vehicle segment &amp; subcategory" xr:uid="{00000000-0004-0000-0800-000000000000}"/>
    <hyperlink ref="N2" location="References!A1" display="Ref" xr:uid="{5EB30E00-9B69-4CB3-B6C0-636341346615}"/>
  </hyperlinks>
  <pageMargins left="0.7" right="0.7" top="0.75" bottom="0.75" header="0.3" footer="0.3"/>
  <pageSetup paperSize="9" scale="5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046dfdb-efad-46be-9cff-c8f3946ed5ca">SYS00-2027247272-30</_dlc_DocId>
    <_dlc_DocIdUrl xmlns="6046dfdb-efad-46be-9cff-c8f3946ed5ca">
      <Url>https://sp.ens.dk/sites/sys/trans/_layouts/15/DocIdRedir.aspx?ID=SYS00-2027247272-30</Url>
      <Description>SYS00-2027247272-30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F62CB4C5132B4DB2774D3B9EA6602B" ma:contentTypeVersion="0" ma:contentTypeDescription="Opret et nyt dokument." ma:contentTypeScope="" ma:versionID="5ffcdd0aa86062f477a486cb468323df">
  <xsd:schema xmlns:xsd="http://www.w3.org/2001/XMLSchema" xmlns:xs="http://www.w3.org/2001/XMLSchema" xmlns:p="http://schemas.microsoft.com/office/2006/metadata/properties" xmlns:ns2="6046dfdb-efad-46be-9cff-c8f3946ed5ca" targetNamespace="http://schemas.microsoft.com/office/2006/metadata/properties" ma:root="true" ma:fieldsID="5fcf073eeaf116797753df7c17a83c51" ns2:_="">
    <xsd:import namespace="6046dfdb-efad-46be-9cff-c8f3946ed5c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6dfdb-efad-46be-9cff-c8f3946ed5c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ærdi for dokument-id" ma:description="Værdien af det dokument-id, der er tildelt dette element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 link til dette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3ACDC22-F9F9-487A-BA4A-8DEEAA43096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046dfdb-efad-46be-9cff-c8f3946ed5c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6EC8F4-7C11-4D38-98B4-E205FB797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46dfdb-efad-46be-9cff-c8f3946ed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7ECC4E-75B1-4D9B-AA81-21D004195F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033F09-D4B5-44EB-89B3-2AD07264498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19</vt:i4>
      </vt:variant>
    </vt:vector>
  </HeadingPairs>
  <TitlesOfParts>
    <vt:vector size="19" baseType="lpstr">
      <vt:lpstr>START PAGE</vt:lpstr>
      <vt:lpstr>Graphs</vt:lpstr>
      <vt:lpstr>Simulations</vt:lpstr>
      <vt:lpstr>References</vt:lpstr>
      <vt:lpstr>Diesel L1</vt:lpstr>
      <vt:lpstr>Diesel L2</vt:lpstr>
      <vt:lpstr>Diesel L3</vt:lpstr>
      <vt:lpstr>Diesel B1</vt:lpstr>
      <vt:lpstr>Diesel B2</vt:lpstr>
      <vt:lpstr>BEV L1</vt:lpstr>
      <vt:lpstr>BEV L2</vt:lpstr>
      <vt:lpstr>BEV L3</vt:lpstr>
      <vt:lpstr>BEV B1</vt:lpstr>
      <vt:lpstr>BEV B2</vt:lpstr>
      <vt:lpstr>FCV L1</vt:lpstr>
      <vt:lpstr>FCV L2</vt:lpstr>
      <vt:lpstr>FCV L3</vt:lpstr>
      <vt:lpstr>FCV B1</vt:lpstr>
      <vt:lpstr>FCV 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Winther</dc:creator>
  <cp:lastModifiedBy>Kim Winther</cp:lastModifiedBy>
  <cp:lastPrinted>2022-11-29T08:09:24Z</cp:lastPrinted>
  <dcterms:created xsi:type="dcterms:W3CDTF">2022-07-13T10:37:45Z</dcterms:created>
  <dcterms:modified xsi:type="dcterms:W3CDTF">2024-02-29T10:23:56Z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0x0101008EF62CB4C5132B4DB2774D3B9EA6602B</vt:lpwstr>
  </property>
  <property fmtid="{D5CDD505-2E9C-101B-9397-08002B2CF9AE}" pid="3" name="_dlc_DocIdItemGuid">
    <vt:lpwstr>3342b8e2-af30-4a69-b6e9-0afa3e3a15fc</vt:lpwstr>
  </property>
</Properties>
</file>