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cuments\Downloads\"/>
    </mc:Choice>
  </mc:AlternateContent>
  <bookViews>
    <workbookView xWindow="0" yWindow="0" windowWidth="28125" windowHeight="12540" tabRatio="889"/>
  </bookViews>
  <sheets>
    <sheet name="当日报价单" sheetId="13" r:id="rId1"/>
    <sheet name="信息汇总" sheetId="7" r:id="rId2"/>
    <sheet name="螺纹 &gt;&gt;" sheetId="14" r:id="rId3"/>
    <sheet name="青岛 - 螺纹" sheetId="11" r:id="rId4"/>
    <sheet name="连云港 - 螺纹" sheetId="24" r:id="rId5"/>
    <sheet name="苏南 - 螺纹" sheetId="25" r:id="rId6"/>
    <sheet name="盘螺 &gt;&gt;" sheetId="29" r:id="rId7"/>
    <sheet name="青岛 - 盘螺" sheetId="26" r:id="rId8"/>
    <sheet name="连云港 - 盘螺" sheetId="27" r:id="rId9"/>
    <sheet name="苏南 - 盘螺" sheetId="28" r:id="rId10"/>
    <sheet name="每日销量追踪" sheetId="32" r:id="rId11"/>
    <sheet name="周复盘数据" sheetId="33" r:id="rId12"/>
    <sheet name="苏南 - 盘螺2" sheetId="20" state="hidden" r:id="rId13"/>
    <sheet name="连云港 - 盘螺2" sheetId="18" state="hidden" r:id="rId14"/>
    <sheet name="连云港 - 螺纹2" sheetId="17" state="hidden" r:id="rId15"/>
    <sheet name="苏南 - 螺纹2" sheetId="19" state="hidden" r:id="rId16"/>
    <sheet name="青岛 - 盘螺2" sheetId="16" state="hidden" r:id="rId17"/>
  </sheets>
  <definedNames>
    <definedName name="_xlnm.Print_Area" localSheetId="11">周复盘数据!$A$1:$AL$14</definedName>
  </definedNames>
  <calcPr calcId="162913"/>
</workbook>
</file>

<file path=xl/calcChain.xml><?xml version="1.0" encoding="utf-8"?>
<calcChain xmlns="http://schemas.openxmlformats.org/spreadsheetml/2006/main">
  <c r="T29" i="16" l="1"/>
  <c r="R29" i="16"/>
  <c r="I29" i="16"/>
  <c r="F29" i="16"/>
  <c r="T28" i="16"/>
  <c r="R28" i="16"/>
  <c r="I28" i="16"/>
  <c r="F28" i="16"/>
  <c r="T27" i="16"/>
  <c r="R27" i="16"/>
  <c r="I27" i="16"/>
  <c r="F27" i="16"/>
  <c r="T26" i="16"/>
  <c r="R26" i="16"/>
  <c r="I26" i="16"/>
  <c r="F26" i="16"/>
  <c r="T25" i="16"/>
  <c r="R25" i="16"/>
  <c r="I25" i="16"/>
  <c r="F25" i="16"/>
  <c r="T24" i="16"/>
  <c r="R24" i="16"/>
  <c r="I24" i="16"/>
  <c r="F24" i="16"/>
  <c r="T23" i="16"/>
  <c r="R23" i="16"/>
  <c r="I23" i="16"/>
  <c r="F23" i="16"/>
  <c r="T22" i="16"/>
  <c r="R22" i="16"/>
  <c r="I22" i="16"/>
  <c r="F22" i="16"/>
  <c r="T21" i="16"/>
  <c r="R21" i="16"/>
  <c r="I21" i="16"/>
  <c r="F21" i="16"/>
  <c r="T20" i="16"/>
  <c r="R20" i="16"/>
  <c r="I20" i="16"/>
  <c r="F20" i="16"/>
  <c r="T19" i="16"/>
  <c r="I19" i="16"/>
  <c r="F19" i="16"/>
  <c r="T18" i="16"/>
  <c r="R18" i="16"/>
  <c r="I18" i="16"/>
  <c r="F18" i="16"/>
  <c r="B18" i="16"/>
  <c r="T17" i="16"/>
  <c r="I17" i="16"/>
  <c r="F17" i="16"/>
  <c r="B17" i="16"/>
  <c r="AG16" i="16"/>
  <c r="T16" i="16"/>
  <c r="I16" i="16"/>
  <c r="F16" i="16"/>
  <c r="AG15" i="16"/>
  <c r="AE15" i="16"/>
  <c r="T15" i="16"/>
  <c r="I15" i="16"/>
  <c r="F15" i="16"/>
  <c r="AG14" i="16"/>
  <c r="AE14" i="16"/>
  <c r="T14" i="16"/>
  <c r="U14" i="16" s="1"/>
  <c r="I14" i="16" s="1"/>
  <c r="AG13" i="16"/>
  <c r="F14" i="16" s="1"/>
  <c r="AE13" i="16"/>
  <c r="T13" i="16"/>
  <c r="U13" i="16" s="1"/>
  <c r="I13" i="16" s="1"/>
  <c r="R13" i="16"/>
  <c r="F13" i="16"/>
  <c r="AG12" i="16"/>
  <c r="AE12" i="16"/>
  <c r="U12" i="16"/>
  <c r="I12" i="16" s="1"/>
  <c r="T12" i="16"/>
  <c r="R12" i="16"/>
  <c r="F12" i="16"/>
  <c r="AG11" i="16"/>
  <c r="AE11" i="16"/>
  <c r="T11" i="16"/>
  <c r="U11" i="16" s="1"/>
  <c r="I11" i="16" s="1"/>
  <c r="R11" i="16"/>
  <c r="AG10" i="16"/>
  <c r="F11" i="16" s="1"/>
  <c r="T10" i="16"/>
  <c r="U10" i="16" s="1"/>
  <c r="I10" i="16" s="1"/>
  <c r="R10" i="16"/>
  <c r="F10" i="16"/>
  <c r="T9" i="16"/>
  <c r="U9" i="16" s="1"/>
  <c r="I9" i="16" s="1"/>
  <c r="R9" i="16"/>
  <c r="L9" i="16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AE8" i="16"/>
  <c r="T8" i="16"/>
  <c r="U8" i="16" s="1"/>
  <c r="I8" i="16" s="1"/>
  <c r="R8" i="16"/>
  <c r="AH7" i="16"/>
  <c r="AH8" i="16" s="1"/>
  <c r="AH9" i="16" s="1"/>
  <c r="AH10" i="16" s="1"/>
  <c r="AH11" i="16" s="1"/>
  <c r="AH12" i="16" s="1"/>
  <c r="AH13" i="16" s="1"/>
  <c r="AG7" i="16"/>
  <c r="F8" i="16" s="1"/>
  <c r="AE7" i="16"/>
  <c r="T7" i="16"/>
  <c r="U7" i="16" s="1"/>
  <c r="I7" i="16" s="1"/>
  <c r="R7" i="16"/>
  <c r="M7" i="16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AG6" i="16"/>
  <c r="F7" i="16" s="1"/>
  <c r="AE6" i="16"/>
  <c r="T6" i="16"/>
  <c r="U6" i="16" s="1"/>
  <c r="I6" i="16" s="1"/>
  <c r="R6" i="16"/>
  <c r="F6" i="16"/>
  <c r="AG5" i="16"/>
  <c r="AE5" i="16"/>
  <c r="U5" i="16"/>
  <c r="I5" i="16" s="1"/>
  <c r="T5" i="16"/>
  <c r="R5" i="16"/>
  <c r="Q5" i="16"/>
  <c r="P5" i="16"/>
  <c r="P6" i="16" s="1"/>
  <c r="F5" i="16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H4" i="16"/>
  <c r="AH5" i="16" s="1"/>
  <c r="AH6" i="16" s="1"/>
  <c r="AD4" i="16"/>
  <c r="AA4" i="16"/>
  <c r="X4" i="16"/>
  <c r="U4" i="16"/>
  <c r="T4" i="16"/>
  <c r="R4" i="16"/>
  <c r="Q4" i="16"/>
  <c r="G4" i="16" s="1"/>
  <c r="P4" i="16"/>
  <c r="M4" i="16"/>
  <c r="M5" i="16" s="1"/>
  <c r="M6" i="16" s="1"/>
  <c r="L4" i="16"/>
  <c r="L5" i="16" s="1"/>
  <c r="L6" i="16" s="1"/>
  <c r="L7" i="16" s="1"/>
  <c r="L8" i="16" s="1"/>
  <c r="J4" i="16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I4" i="16"/>
  <c r="H4" i="16"/>
  <c r="H5" i="16" s="1"/>
  <c r="A4" i="16"/>
  <c r="AD3" i="16"/>
  <c r="AA3" i="16"/>
  <c r="X3" i="16"/>
  <c r="U3" i="16"/>
  <c r="Q3" i="16"/>
  <c r="G3" i="16" s="1"/>
  <c r="I3" i="16"/>
  <c r="C3" i="16"/>
  <c r="D3" i="16" s="1"/>
  <c r="E4" i="16" s="1"/>
  <c r="A1" i="16"/>
  <c r="S29" i="19"/>
  <c r="R29" i="19"/>
  <c r="F29" i="19"/>
  <c r="S28" i="19"/>
  <c r="R28" i="19"/>
  <c r="F28" i="19"/>
  <c r="T27" i="19"/>
  <c r="S27" i="19"/>
  <c r="R27" i="19"/>
  <c r="F27" i="19"/>
  <c r="U26" i="19"/>
  <c r="I26" i="19" s="1"/>
  <c r="T26" i="19"/>
  <c r="S26" i="19"/>
  <c r="R26" i="19"/>
  <c r="F26" i="19"/>
  <c r="A26" i="19"/>
  <c r="A27" i="19" s="1"/>
  <c r="A28" i="19" s="1"/>
  <c r="A29" i="19" s="1"/>
  <c r="S25" i="19"/>
  <c r="R25" i="19"/>
  <c r="F25" i="19"/>
  <c r="S24" i="19"/>
  <c r="R24" i="19"/>
  <c r="F24" i="19"/>
  <c r="T23" i="19"/>
  <c r="S23" i="19"/>
  <c r="R23" i="19"/>
  <c r="F23" i="19"/>
  <c r="A23" i="19"/>
  <c r="A24" i="19" s="1"/>
  <c r="A25" i="19" s="1"/>
  <c r="S22" i="19"/>
  <c r="R22" i="19"/>
  <c r="F22" i="19"/>
  <c r="S21" i="19"/>
  <c r="R21" i="19"/>
  <c r="F21" i="19"/>
  <c r="T20" i="19"/>
  <c r="S20" i="19"/>
  <c r="R20" i="19"/>
  <c r="F20" i="19"/>
  <c r="T19" i="19"/>
  <c r="U19" i="19" s="1"/>
  <c r="S19" i="19"/>
  <c r="R19" i="19"/>
  <c r="I19" i="19"/>
  <c r="F19" i="19"/>
  <c r="T18" i="19"/>
  <c r="U18" i="19" s="1"/>
  <c r="I18" i="19" s="1"/>
  <c r="S18" i="19"/>
  <c r="R18" i="19"/>
  <c r="F18" i="19"/>
  <c r="B18" i="19"/>
  <c r="T17" i="19"/>
  <c r="S17" i="19"/>
  <c r="R17" i="19"/>
  <c r="AG16" i="19"/>
  <c r="F17" i="19" s="1"/>
  <c r="T16" i="19"/>
  <c r="U16" i="19" s="1"/>
  <c r="I16" i="19" s="1"/>
  <c r="S16" i="19"/>
  <c r="R16" i="19"/>
  <c r="F16" i="19"/>
  <c r="AG15" i="19"/>
  <c r="AE15" i="19"/>
  <c r="S15" i="19"/>
  <c r="R15" i="19"/>
  <c r="AG14" i="19"/>
  <c r="F15" i="19" s="1"/>
  <c r="AE14" i="19"/>
  <c r="S14" i="19"/>
  <c r="T15" i="19" s="1"/>
  <c r="R14" i="19"/>
  <c r="F14" i="19"/>
  <c r="B14" i="19"/>
  <c r="AG13" i="19"/>
  <c r="AE13" i="19"/>
  <c r="S13" i="19"/>
  <c r="R13" i="19"/>
  <c r="F13" i="19"/>
  <c r="AG12" i="19"/>
  <c r="AE12" i="19"/>
  <c r="S12" i="19"/>
  <c r="T13" i="19" s="1"/>
  <c r="R12" i="19"/>
  <c r="AG11" i="19"/>
  <c r="F12" i="19" s="1"/>
  <c r="AE11" i="19"/>
  <c r="S11" i="19"/>
  <c r="R11" i="19"/>
  <c r="AG10" i="19"/>
  <c r="F11" i="19" s="1"/>
  <c r="S10" i="19"/>
  <c r="T11" i="19" s="1"/>
  <c r="R10" i="19"/>
  <c r="F10" i="19"/>
  <c r="T9" i="19"/>
  <c r="S9" i="19"/>
  <c r="R9" i="19"/>
  <c r="M9" i="19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AE8" i="19"/>
  <c r="T8" i="19"/>
  <c r="S8" i="19"/>
  <c r="R8" i="19"/>
  <c r="M8" i="19"/>
  <c r="J8" i="19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F8" i="19"/>
  <c r="AG7" i="19"/>
  <c r="AE7" i="19"/>
  <c r="S7" i="19"/>
  <c r="R7" i="19"/>
  <c r="AG6" i="19"/>
  <c r="F7" i="19" s="1"/>
  <c r="AE6" i="19"/>
  <c r="S6" i="19"/>
  <c r="R6" i="19"/>
  <c r="M6" i="19"/>
  <c r="M7" i="19" s="1"/>
  <c r="L6" i="19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H6" i="19"/>
  <c r="H7" i="19" s="1"/>
  <c r="F6" i="19"/>
  <c r="A6" i="19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G5" i="19"/>
  <c r="AE5" i="19"/>
  <c r="T5" i="19"/>
  <c r="U5" i="19" s="1"/>
  <c r="I5" i="19" s="1"/>
  <c r="S5" i="19"/>
  <c r="T6" i="19" s="1"/>
  <c r="R5" i="19"/>
  <c r="P5" i="19"/>
  <c r="F5" i="19"/>
  <c r="A5" i="19"/>
  <c r="AD4" i="19"/>
  <c r="AA4" i="19"/>
  <c r="X4" i="19"/>
  <c r="T4" i="19"/>
  <c r="U4" i="19" s="1"/>
  <c r="S4" i="19"/>
  <c r="R4" i="19"/>
  <c r="Q4" i="19"/>
  <c r="P4" i="19"/>
  <c r="Q5" i="19" s="1"/>
  <c r="G5" i="19" s="1"/>
  <c r="M4" i="19"/>
  <c r="M5" i="19" s="1"/>
  <c r="L4" i="19"/>
  <c r="L5" i="19" s="1"/>
  <c r="J4" i="19"/>
  <c r="J5" i="19" s="1"/>
  <c r="J6" i="19" s="1"/>
  <c r="J7" i="19" s="1"/>
  <c r="I4" i="19"/>
  <c r="H4" i="19"/>
  <c r="H5" i="19" s="1"/>
  <c r="G4" i="19"/>
  <c r="A4" i="19"/>
  <c r="AD3" i="19"/>
  <c r="AA3" i="19"/>
  <c r="X3" i="19"/>
  <c r="U3" i="19"/>
  <c r="Q3" i="19"/>
  <c r="G3" i="19" s="1"/>
  <c r="C3" i="19" s="1"/>
  <c r="I3" i="19"/>
  <c r="D3" i="19"/>
  <c r="E4" i="19" s="1"/>
  <c r="A1" i="19"/>
  <c r="T29" i="17"/>
  <c r="S29" i="17"/>
  <c r="R29" i="17"/>
  <c r="J29" i="17"/>
  <c r="F29" i="17"/>
  <c r="T28" i="17"/>
  <c r="U28" i="17" s="1"/>
  <c r="I28" i="17" s="1"/>
  <c r="S28" i="17"/>
  <c r="R28" i="17"/>
  <c r="F28" i="17"/>
  <c r="S27" i="17"/>
  <c r="R27" i="17"/>
  <c r="F27" i="17"/>
  <c r="S26" i="17"/>
  <c r="R26" i="17"/>
  <c r="F26" i="17"/>
  <c r="T25" i="17"/>
  <c r="S25" i="17"/>
  <c r="R25" i="17"/>
  <c r="F25" i="17"/>
  <c r="S24" i="17"/>
  <c r="R24" i="17"/>
  <c r="F24" i="17"/>
  <c r="S23" i="17"/>
  <c r="R23" i="17"/>
  <c r="F23" i="17"/>
  <c r="T22" i="17"/>
  <c r="S22" i="17"/>
  <c r="R22" i="17"/>
  <c r="F22" i="17"/>
  <c r="U21" i="17"/>
  <c r="T21" i="17"/>
  <c r="S21" i="17"/>
  <c r="R21" i="17"/>
  <c r="I21" i="17"/>
  <c r="F21" i="17"/>
  <c r="T20" i="17"/>
  <c r="U20" i="17" s="1"/>
  <c r="I20" i="17" s="1"/>
  <c r="S20" i="17"/>
  <c r="R20" i="17"/>
  <c r="F20" i="17"/>
  <c r="S19" i="17"/>
  <c r="R19" i="17"/>
  <c r="M19" i="17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F19" i="17"/>
  <c r="T18" i="17"/>
  <c r="S18" i="17"/>
  <c r="R18" i="17"/>
  <c r="F18" i="17"/>
  <c r="B18" i="17"/>
  <c r="S17" i="17"/>
  <c r="R17" i="17"/>
  <c r="AG16" i="17"/>
  <c r="F17" i="17" s="1"/>
  <c r="T16" i="17"/>
  <c r="S16" i="17"/>
  <c r="R16" i="17"/>
  <c r="AG15" i="17"/>
  <c r="F16" i="17" s="1"/>
  <c r="AE15" i="17"/>
  <c r="S15" i="17"/>
  <c r="U15" i="17" s="1"/>
  <c r="I15" i="17" s="1"/>
  <c r="R15" i="17"/>
  <c r="F15" i="17"/>
  <c r="AG14" i="17"/>
  <c r="AE14" i="17"/>
  <c r="S14" i="17"/>
  <c r="T15" i="17" s="1"/>
  <c r="R14" i="17"/>
  <c r="AG13" i="17"/>
  <c r="F14" i="17" s="1"/>
  <c r="AE13" i="17"/>
  <c r="S13" i="17"/>
  <c r="T14" i="17" s="1"/>
  <c r="U14" i="17" s="1"/>
  <c r="I14" i="17" s="1"/>
  <c r="R13" i="17"/>
  <c r="AG12" i="17"/>
  <c r="F13" i="17" s="1"/>
  <c r="AE12" i="17"/>
  <c r="S12" i="17"/>
  <c r="R12" i="17"/>
  <c r="AG11" i="17"/>
  <c r="F12" i="17" s="1"/>
  <c r="AE11" i="17"/>
  <c r="S11" i="17"/>
  <c r="U11" i="17" s="1"/>
  <c r="I11" i="17" s="1"/>
  <c r="R11" i="17"/>
  <c r="F11" i="17"/>
  <c r="AG10" i="17"/>
  <c r="U10" i="17"/>
  <c r="T10" i="17"/>
  <c r="S10" i="17"/>
  <c r="T11" i="17" s="1"/>
  <c r="R10" i="17"/>
  <c r="I10" i="17"/>
  <c r="F10" i="17"/>
  <c r="T9" i="17"/>
  <c r="U9" i="17" s="1"/>
  <c r="I9" i="17" s="1"/>
  <c r="S9" i="17"/>
  <c r="R9" i="17"/>
  <c r="L9" i="17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AE8" i="17"/>
  <c r="U8" i="17"/>
  <c r="I8" i="17" s="1"/>
  <c r="S8" i="17"/>
  <c r="R8" i="17"/>
  <c r="M8" i="17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AE7" i="17"/>
  <c r="S7" i="17"/>
  <c r="T8" i="17" s="1"/>
  <c r="R7" i="17"/>
  <c r="AE6" i="17"/>
  <c r="T6" i="17"/>
  <c r="S6" i="17"/>
  <c r="T7" i="17" s="1"/>
  <c r="U7" i="17" s="1"/>
  <c r="I7" i="17" s="1"/>
  <c r="R6" i="17"/>
  <c r="M6" i="17"/>
  <c r="M7" i="17" s="1"/>
  <c r="A6" i="17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G5" i="17"/>
  <c r="AE5" i="17"/>
  <c r="S5" i="17"/>
  <c r="R5" i="17"/>
  <c r="L5" i="17"/>
  <c r="L6" i="17" s="1"/>
  <c r="L7" i="17" s="1"/>
  <c r="L8" i="17" s="1"/>
  <c r="F5" i="17"/>
  <c r="AD4" i="17"/>
  <c r="AA4" i="17"/>
  <c r="X4" i="17"/>
  <c r="T4" i="17"/>
  <c r="S4" i="17"/>
  <c r="R4" i="17"/>
  <c r="M4" i="17"/>
  <c r="M5" i="17" s="1"/>
  <c r="L4" i="17"/>
  <c r="G4" i="17" s="1"/>
  <c r="J4" i="17"/>
  <c r="J5" i="17" s="1"/>
  <c r="J6" i="17" s="1"/>
  <c r="J7" i="17" s="1"/>
  <c r="J8" i="17" s="1"/>
  <c r="J9" i="17" s="1"/>
  <c r="J10" i="17" s="1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H4" i="17"/>
  <c r="H5" i="17" s="1"/>
  <c r="A4" i="17"/>
  <c r="A5" i="17" s="1"/>
  <c r="AD3" i="17"/>
  <c r="AA3" i="17"/>
  <c r="X3" i="17"/>
  <c r="U3" i="17"/>
  <c r="S3" i="17"/>
  <c r="Q3" i="17"/>
  <c r="G3" i="17" s="1"/>
  <c r="P3" i="17"/>
  <c r="Q4" i="17" s="1"/>
  <c r="I3" i="17"/>
  <c r="D3" i="17"/>
  <c r="E4" i="17" s="1"/>
  <c r="C3" i="17"/>
  <c r="A1" i="17"/>
  <c r="S29" i="18"/>
  <c r="R29" i="18"/>
  <c r="I29" i="18"/>
  <c r="F29" i="18"/>
  <c r="S28" i="18"/>
  <c r="T29" i="18" s="1"/>
  <c r="R28" i="18"/>
  <c r="I28" i="18"/>
  <c r="F28" i="18"/>
  <c r="S27" i="18"/>
  <c r="T28" i="18" s="1"/>
  <c r="R27" i="18"/>
  <c r="I27" i="18"/>
  <c r="F27" i="18"/>
  <c r="S26" i="18"/>
  <c r="T27" i="18" s="1"/>
  <c r="R26" i="18"/>
  <c r="I26" i="18"/>
  <c r="F26" i="18"/>
  <c r="S25" i="18"/>
  <c r="T26" i="18" s="1"/>
  <c r="R25" i="18"/>
  <c r="I25" i="18"/>
  <c r="F25" i="18"/>
  <c r="S24" i="18"/>
  <c r="T25" i="18" s="1"/>
  <c r="R24" i="18"/>
  <c r="I24" i="18"/>
  <c r="F24" i="18"/>
  <c r="S23" i="18"/>
  <c r="T24" i="18" s="1"/>
  <c r="R23" i="18"/>
  <c r="I23" i="18"/>
  <c r="F23" i="18"/>
  <c r="S22" i="18"/>
  <c r="T23" i="18" s="1"/>
  <c r="R22" i="18"/>
  <c r="I22" i="18"/>
  <c r="F22" i="18"/>
  <c r="T21" i="18"/>
  <c r="S21" i="18"/>
  <c r="T22" i="18" s="1"/>
  <c r="R21" i="18"/>
  <c r="I21" i="18"/>
  <c r="F21" i="18"/>
  <c r="S20" i="18"/>
  <c r="R20" i="18"/>
  <c r="I20" i="18"/>
  <c r="F20" i="18"/>
  <c r="T19" i="18"/>
  <c r="S19" i="18"/>
  <c r="T20" i="18" s="1"/>
  <c r="R19" i="18"/>
  <c r="I19" i="18"/>
  <c r="F19" i="18"/>
  <c r="T18" i="18"/>
  <c r="S18" i="18"/>
  <c r="R18" i="18"/>
  <c r="I18" i="18"/>
  <c r="F18" i="18"/>
  <c r="B18" i="18"/>
  <c r="T17" i="18"/>
  <c r="S17" i="18"/>
  <c r="R17" i="18"/>
  <c r="I17" i="18"/>
  <c r="AG16" i="18"/>
  <c r="F17" i="18" s="1"/>
  <c r="S16" i="18"/>
  <c r="R16" i="18"/>
  <c r="L16" i="18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I16" i="18"/>
  <c r="F16" i="18"/>
  <c r="AG15" i="18"/>
  <c r="AE15" i="18"/>
  <c r="S15" i="18"/>
  <c r="T16" i="18" s="1"/>
  <c r="R15" i="18"/>
  <c r="I15" i="18"/>
  <c r="AG14" i="18"/>
  <c r="F15" i="18" s="1"/>
  <c r="AE14" i="18"/>
  <c r="S14" i="18"/>
  <c r="R14" i="18"/>
  <c r="AG13" i="18"/>
  <c r="F14" i="18" s="1"/>
  <c r="AE13" i="18"/>
  <c r="S13" i="18"/>
  <c r="R13" i="18"/>
  <c r="AG12" i="18"/>
  <c r="F13" i="18" s="1"/>
  <c r="AE12" i="18"/>
  <c r="S12" i="18"/>
  <c r="R12" i="18"/>
  <c r="AG11" i="18"/>
  <c r="F12" i="18" s="1"/>
  <c r="AE11" i="18"/>
  <c r="S11" i="18"/>
  <c r="R11" i="18"/>
  <c r="AG10" i="18"/>
  <c r="F11" i="18" s="1"/>
  <c r="S10" i="18"/>
  <c r="T11" i="18" s="1"/>
  <c r="R10" i="18"/>
  <c r="F10" i="18"/>
  <c r="T9" i="18"/>
  <c r="S9" i="18"/>
  <c r="R9" i="18"/>
  <c r="AE8" i="18"/>
  <c r="U8" i="18"/>
  <c r="I8" i="18" s="1"/>
  <c r="S8" i="18"/>
  <c r="R8" i="18"/>
  <c r="AE7" i="18"/>
  <c r="T7" i="18"/>
  <c r="U7" i="18" s="1"/>
  <c r="S7" i="18"/>
  <c r="T8" i="18" s="1"/>
  <c r="R7" i="18"/>
  <c r="P7" i="18"/>
  <c r="I7" i="18"/>
  <c r="AH6" i="18"/>
  <c r="AH7" i="18" s="1"/>
  <c r="AH8" i="18" s="1"/>
  <c r="AH9" i="18" s="1"/>
  <c r="AH10" i="18" s="1"/>
  <c r="AH11" i="18" s="1"/>
  <c r="AH12" i="18" s="1"/>
  <c r="AH13" i="18" s="1"/>
  <c r="AE6" i="18"/>
  <c r="U6" i="18"/>
  <c r="I6" i="18" s="1"/>
  <c r="T6" i="18"/>
  <c r="S6" i="18"/>
  <c r="R6" i="18"/>
  <c r="F6" i="18"/>
  <c r="A6" i="18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G5" i="18"/>
  <c r="AG6" i="18" s="1"/>
  <c r="AE5" i="18"/>
  <c r="U5" i="18"/>
  <c r="I5" i="18" s="1"/>
  <c r="T5" i="18"/>
  <c r="S5" i="18"/>
  <c r="R5" i="18"/>
  <c r="Q5" i="18"/>
  <c r="G5" i="18" s="1"/>
  <c r="M5" i="18"/>
  <c r="M6" i="18" s="1"/>
  <c r="M7" i="18" s="1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H5" i="18"/>
  <c r="H6" i="18" s="1"/>
  <c r="F5" i="18"/>
  <c r="A5" i="18"/>
  <c r="AH4" i="18"/>
  <c r="AH5" i="18" s="1"/>
  <c r="AD4" i="18"/>
  <c r="AA4" i="18"/>
  <c r="X4" i="18"/>
  <c r="U4" i="18"/>
  <c r="I4" i="18" s="1"/>
  <c r="T4" i="18"/>
  <c r="S4" i="18"/>
  <c r="R4" i="18"/>
  <c r="G4" i="18" s="1"/>
  <c r="C4" i="18" s="1"/>
  <c r="D4" i="18" s="1"/>
  <c r="E5" i="18" s="1"/>
  <c r="Q4" i="18"/>
  <c r="M4" i="18"/>
  <c r="L4" i="18"/>
  <c r="L5" i="18" s="1"/>
  <c r="L6" i="18" s="1"/>
  <c r="L7" i="18" s="1"/>
  <c r="L8" i="18" s="1"/>
  <c r="L9" i="18" s="1"/>
  <c r="L10" i="18" s="1"/>
  <c r="L11" i="18" s="1"/>
  <c r="L12" i="18" s="1"/>
  <c r="L13" i="18" s="1"/>
  <c r="L14" i="18" s="1"/>
  <c r="L15" i="18" s="1"/>
  <c r="J4" i="18"/>
  <c r="J5" i="18" s="1"/>
  <c r="J6" i="18" s="1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H4" i="18"/>
  <c r="A4" i="18"/>
  <c r="AD3" i="18"/>
  <c r="AA3" i="18"/>
  <c r="X3" i="18"/>
  <c r="U3" i="18"/>
  <c r="I3" i="18" s="1"/>
  <c r="Q3" i="18"/>
  <c r="G3" i="18" s="1"/>
  <c r="C3" i="18" s="1"/>
  <c r="D3" i="18" s="1"/>
  <c r="E4" i="18" s="1"/>
  <c r="P3" i="18"/>
  <c r="P4" i="18" s="1"/>
  <c r="P5" i="18" s="1"/>
  <c r="P6" i="18" s="1"/>
  <c r="Q7" i="18" s="1"/>
  <c r="A1" i="18"/>
  <c r="T29" i="20"/>
  <c r="S29" i="20"/>
  <c r="R29" i="20"/>
  <c r="I29" i="20"/>
  <c r="F29" i="20"/>
  <c r="T28" i="20"/>
  <c r="S28" i="20"/>
  <c r="R28" i="20"/>
  <c r="I28" i="20"/>
  <c r="F28" i="20"/>
  <c r="T27" i="20"/>
  <c r="S27" i="20"/>
  <c r="R27" i="20"/>
  <c r="I27" i="20"/>
  <c r="F27" i="20"/>
  <c r="T26" i="20"/>
  <c r="S26" i="20"/>
  <c r="R26" i="20"/>
  <c r="I26" i="20"/>
  <c r="F26" i="20"/>
  <c r="T25" i="20"/>
  <c r="S25" i="20"/>
  <c r="R25" i="20"/>
  <c r="I25" i="20"/>
  <c r="F25" i="20"/>
  <c r="T24" i="20"/>
  <c r="S24" i="20"/>
  <c r="R24" i="20"/>
  <c r="I24" i="20"/>
  <c r="F24" i="20"/>
  <c r="T23" i="20"/>
  <c r="S23" i="20"/>
  <c r="R23" i="20"/>
  <c r="I23" i="20"/>
  <c r="F23" i="20"/>
  <c r="T22" i="20"/>
  <c r="S22" i="20"/>
  <c r="R22" i="20"/>
  <c r="I22" i="20"/>
  <c r="F22" i="20"/>
  <c r="T21" i="20"/>
  <c r="S21" i="20"/>
  <c r="R21" i="20"/>
  <c r="I21" i="20"/>
  <c r="F21" i="20"/>
  <c r="T20" i="20"/>
  <c r="S20" i="20"/>
  <c r="R20" i="20"/>
  <c r="I20" i="20"/>
  <c r="F20" i="20"/>
  <c r="T19" i="20"/>
  <c r="S19" i="20"/>
  <c r="R19" i="20"/>
  <c r="I19" i="20"/>
  <c r="F19" i="20"/>
  <c r="T18" i="20"/>
  <c r="S18" i="20"/>
  <c r="R18" i="20"/>
  <c r="I18" i="20"/>
  <c r="F18" i="20"/>
  <c r="B18" i="20"/>
  <c r="T17" i="20"/>
  <c r="S17" i="20"/>
  <c r="I17" i="20"/>
  <c r="AG16" i="20"/>
  <c r="F17" i="20" s="1"/>
  <c r="S16" i="20"/>
  <c r="O16" i="20"/>
  <c r="I16" i="20"/>
  <c r="AG15" i="20"/>
  <c r="F16" i="20" s="1"/>
  <c r="AE15" i="20"/>
  <c r="S15" i="20"/>
  <c r="T16" i="20" s="1"/>
  <c r="L15" i="20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I15" i="20"/>
  <c r="F15" i="20"/>
  <c r="AG14" i="20"/>
  <c r="AE14" i="20"/>
  <c r="S14" i="20"/>
  <c r="T15" i="20" s="1"/>
  <c r="AG13" i="20"/>
  <c r="F14" i="20" s="1"/>
  <c r="AE13" i="20"/>
  <c r="S13" i="20"/>
  <c r="AG12" i="20"/>
  <c r="F13" i="20" s="1"/>
  <c r="AE12" i="20"/>
  <c r="S12" i="20"/>
  <c r="F12" i="20"/>
  <c r="A12" i="20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G11" i="20"/>
  <c r="AE11" i="20"/>
  <c r="S11" i="20"/>
  <c r="T12" i="20" s="1"/>
  <c r="F11" i="20"/>
  <c r="AH10" i="20"/>
  <c r="AH11" i="20" s="1"/>
  <c r="AH12" i="20" s="1"/>
  <c r="AH13" i="20" s="1"/>
  <c r="AG10" i="20"/>
  <c r="T10" i="20"/>
  <c r="S10" i="20"/>
  <c r="F10" i="20"/>
  <c r="T9" i="20"/>
  <c r="U9" i="20" s="1"/>
  <c r="I9" i="20" s="1"/>
  <c r="S9" i="20"/>
  <c r="AE8" i="20"/>
  <c r="S8" i="20"/>
  <c r="I8" i="20"/>
  <c r="AH7" i="20"/>
  <c r="AH8" i="20" s="1"/>
  <c r="AH9" i="20" s="1"/>
  <c r="AE7" i="20"/>
  <c r="S7" i="20"/>
  <c r="T8" i="20" s="1"/>
  <c r="U8" i="20" s="1"/>
  <c r="AG6" i="20"/>
  <c r="AE6" i="20"/>
  <c r="S6" i="20"/>
  <c r="M6" i="20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H6" i="20"/>
  <c r="AG5" i="20"/>
  <c r="F6" i="20" s="1"/>
  <c r="AE5" i="20"/>
  <c r="S5" i="20"/>
  <c r="Q5" i="20"/>
  <c r="L5" i="20"/>
  <c r="L6" i="20" s="1"/>
  <c r="L7" i="20" s="1"/>
  <c r="L8" i="20" s="1"/>
  <c r="L9" i="20" s="1"/>
  <c r="L10" i="20" s="1"/>
  <c r="L11" i="20" s="1"/>
  <c r="L12" i="20" s="1"/>
  <c r="L13" i="20" s="1"/>
  <c r="L14" i="20" s="1"/>
  <c r="G5" i="20"/>
  <c r="F5" i="20"/>
  <c r="AH4" i="20"/>
  <c r="AH5" i="20" s="1"/>
  <c r="AH6" i="20" s="1"/>
  <c r="AD4" i="20"/>
  <c r="AA4" i="20"/>
  <c r="X4" i="20"/>
  <c r="T4" i="20"/>
  <c r="S4" i="20"/>
  <c r="Q4" i="20"/>
  <c r="G4" i="20" s="1"/>
  <c r="P4" i="20"/>
  <c r="P5" i="20" s="1"/>
  <c r="M4" i="20"/>
  <c r="M5" i="20" s="1"/>
  <c r="L4" i="20"/>
  <c r="J4" i="20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H4" i="20"/>
  <c r="H5" i="20" s="1"/>
  <c r="A4" i="20"/>
  <c r="A5" i="20" s="1"/>
  <c r="A6" i="20" s="1"/>
  <c r="A7" i="20" s="1"/>
  <c r="A8" i="20" s="1"/>
  <c r="A9" i="20" s="1"/>
  <c r="A10" i="20" s="1"/>
  <c r="A11" i="20" s="1"/>
  <c r="AD3" i="20"/>
  <c r="AA3" i="20"/>
  <c r="X3" i="20"/>
  <c r="U3" i="20"/>
  <c r="I3" i="20" s="1"/>
  <c r="Q3" i="20"/>
  <c r="G3" i="20" s="1"/>
  <c r="C3" i="20" s="1"/>
  <c r="D3" i="20" s="1"/>
  <c r="E4" i="20" s="1"/>
  <c r="A1" i="20"/>
  <c r="X6" i="33"/>
  <c r="V6" i="33"/>
  <c r="T6" i="33"/>
  <c r="P6" i="33"/>
  <c r="B6" i="33"/>
  <c r="BH52" i="32"/>
  <c r="BF52" i="32"/>
  <c r="BD52" i="32"/>
  <c r="BB52" i="32"/>
  <c r="BA52" i="32"/>
  <c r="AZ52" i="32"/>
  <c r="AY52" i="32"/>
  <c r="AX52" i="32"/>
  <c r="AW52" i="32"/>
  <c r="AV52" i="32"/>
  <c r="AH52" i="32"/>
  <c r="AF52" i="32"/>
  <c r="AD52" i="32"/>
  <c r="P52" i="32"/>
  <c r="BC51" i="32"/>
  <c r="BB51" i="32"/>
  <c r="BA51" i="32"/>
  <c r="AZ51" i="32"/>
  <c r="AY51" i="32"/>
  <c r="AX51" i="32"/>
  <c r="AW51" i="32"/>
  <c r="AV51" i="32"/>
  <c r="AG51" i="32"/>
  <c r="P51" i="32"/>
  <c r="BE51" i="32" s="1"/>
  <c r="BF50" i="32"/>
  <c r="BE50" i="32"/>
  <c r="BB50" i="32"/>
  <c r="BA50" i="32"/>
  <c r="BH50" i="32" s="1"/>
  <c r="AZ50" i="32"/>
  <c r="AY50" i="32"/>
  <c r="AX50" i="32"/>
  <c r="AW50" i="32"/>
  <c r="AV50" i="32"/>
  <c r="AH50" i="32"/>
  <c r="AG50" i="32"/>
  <c r="AF50" i="32"/>
  <c r="P50" i="32"/>
  <c r="BH49" i="32"/>
  <c r="BG49" i="32"/>
  <c r="BY49" i="32" s="1"/>
  <c r="BF49" i="32"/>
  <c r="BD49" i="32"/>
  <c r="BV49" i="32" s="1"/>
  <c r="BB49" i="32"/>
  <c r="BA49" i="32"/>
  <c r="AZ49" i="32"/>
  <c r="AY49" i="32"/>
  <c r="AX49" i="32"/>
  <c r="AW49" i="32"/>
  <c r="AV49" i="32"/>
  <c r="BC49" i="32" s="1"/>
  <c r="AI49" i="32"/>
  <c r="BZ49" i="32" s="1"/>
  <c r="AH49" i="32"/>
  <c r="AF49" i="32"/>
  <c r="AE49" i="32"/>
  <c r="AD49" i="32"/>
  <c r="P49" i="32"/>
  <c r="BG48" i="32"/>
  <c r="BC48" i="32"/>
  <c r="BU48" i="32" s="1"/>
  <c r="BB48" i="32"/>
  <c r="BA48" i="32"/>
  <c r="AZ48" i="32"/>
  <c r="AY48" i="32"/>
  <c r="AX48" i="32"/>
  <c r="BE48" i="32" s="1"/>
  <c r="AW48" i="32"/>
  <c r="AV48" i="32"/>
  <c r="AI48" i="32"/>
  <c r="AG48" i="32"/>
  <c r="AE48" i="32"/>
  <c r="AD48" i="32"/>
  <c r="P48" i="32"/>
  <c r="BF47" i="32"/>
  <c r="BX47" i="32" s="1"/>
  <c r="BE47" i="32"/>
  <c r="BD47" i="32"/>
  <c r="BB47" i="32"/>
  <c r="BA47" i="32"/>
  <c r="AZ47" i="32"/>
  <c r="AY47" i="32"/>
  <c r="AX47" i="32"/>
  <c r="AW47" i="32"/>
  <c r="AV47" i="32"/>
  <c r="AG47" i="32"/>
  <c r="AF47" i="32"/>
  <c r="AD47" i="32"/>
  <c r="P47" i="32"/>
  <c r="BB46" i="32"/>
  <c r="BA46" i="32"/>
  <c r="AZ46" i="32"/>
  <c r="AY46" i="32"/>
  <c r="AX46" i="32"/>
  <c r="AW46" i="32"/>
  <c r="AV46" i="32"/>
  <c r="P46" i="32"/>
  <c r="BH45" i="32"/>
  <c r="BZ45" i="32" s="1"/>
  <c r="BG45" i="32"/>
  <c r="BF45" i="32"/>
  <c r="BD45" i="32"/>
  <c r="BC45" i="32"/>
  <c r="BU45" i="32" s="1"/>
  <c r="BB45" i="32"/>
  <c r="BA45" i="32"/>
  <c r="AZ45" i="32"/>
  <c r="AY45" i="32"/>
  <c r="AX45" i="32"/>
  <c r="AW45" i="32"/>
  <c r="AV45" i="32"/>
  <c r="AI45" i="32"/>
  <c r="AH45" i="32"/>
  <c r="AF45" i="32"/>
  <c r="AE45" i="32"/>
  <c r="BV45" i="32" s="1"/>
  <c r="AD45" i="32"/>
  <c r="P45" i="32"/>
  <c r="BE45" i="32" s="1"/>
  <c r="BW45" i="32" s="1"/>
  <c r="BE44" i="32"/>
  <c r="BB44" i="32"/>
  <c r="BA44" i="32"/>
  <c r="AZ44" i="32"/>
  <c r="AY44" i="32"/>
  <c r="AX44" i="32"/>
  <c r="AW44" i="32"/>
  <c r="AV44" i="32"/>
  <c r="AH44" i="32"/>
  <c r="AE44" i="32"/>
  <c r="P44" i="32"/>
  <c r="BC44" i="32" s="1"/>
  <c r="BF43" i="32"/>
  <c r="BB43" i="32"/>
  <c r="BA43" i="32"/>
  <c r="AZ43" i="32"/>
  <c r="AY43" i="32"/>
  <c r="AX43" i="32"/>
  <c r="AW43" i="32"/>
  <c r="AV43" i="32"/>
  <c r="AG43" i="32"/>
  <c r="P43" i="32"/>
  <c r="BH43" i="32" s="1"/>
  <c r="BH42" i="32"/>
  <c r="BZ42" i="32" s="1"/>
  <c r="BE42" i="32"/>
  <c r="BB42" i="32"/>
  <c r="BA42" i="32"/>
  <c r="AZ42" i="32"/>
  <c r="AY42" i="32"/>
  <c r="AX42" i="32"/>
  <c r="AW42" i="32"/>
  <c r="AV42" i="32"/>
  <c r="AI42" i="32"/>
  <c r="AE42" i="32"/>
  <c r="P42" i="32"/>
  <c r="BC42" i="32" s="1"/>
  <c r="BH41" i="32"/>
  <c r="BG41" i="32"/>
  <c r="BY41" i="32" s="1"/>
  <c r="BD41" i="32"/>
  <c r="BC41" i="32"/>
  <c r="BU41" i="32" s="1"/>
  <c r="BB41" i="32"/>
  <c r="BA41" i="32"/>
  <c r="AZ41" i="32"/>
  <c r="AY41" i="32"/>
  <c r="BF41" i="32" s="1"/>
  <c r="AX41" i="32"/>
  <c r="AW41" i="32"/>
  <c r="AV41" i="32"/>
  <c r="AJ41" i="32"/>
  <c r="AI41" i="32"/>
  <c r="BZ41" i="32" s="1"/>
  <c r="AH41" i="32"/>
  <c r="AF41" i="32"/>
  <c r="AE41" i="32"/>
  <c r="AD41" i="32"/>
  <c r="P41" i="32"/>
  <c r="BF40" i="32"/>
  <c r="BB40" i="32"/>
  <c r="BA40" i="32"/>
  <c r="AZ40" i="32"/>
  <c r="AY40" i="32"/>
  <c r="AX40" i="32"/>
  <c r="AW40" i="32"/>
  <c r="AV40" i="32"/>
  <c r="AH40" i="32"/>
  <c r="AD40" i="32"/>
  <c r="P40" i="32"/>
  <c r="BF39" i="32"/>
  <c r="BD39" i="32"/>
  <c r="BB39" i="32"/>
  <c r="BA39" i="32"/>
  <c r="AZ39" i="32"/>
  <c r="AY39" i="32"/>
  <c r="AX39" i="32"/>
  <c r="AW39" i="32"/>
  <c r="AV39" i="32"/>
  <c r="AS39" i="32"/>
  <c r="AH39" i="32"/>
  <c r="AG39" i="32"/>
  <c r="AD39" i="32"/>
  <c r="P39" i="32"/>
  <c r="BG38" i="32"/>
  <c r="BB38" i="32"/>
  <c r="BA38" i="32"/>
  <c r="AZ38" i="32"/>
  <c r="AY38" i="32"/>
  <c r="AX38" i="32"/>
  <c r="AW38" i="32"/>
  <c r="AV38" i="32"/>
  <c r="P38" i="32"/>
  <c r="BH37" i="32"/>
  <c r="BZ37" i="32" s="1"/>
  <c r="BG37" i="32"/>
  <c r="BD37" i="32"/>
  <c r="BC37" i="32"/>
  <c r="BU37" i="32" s="1"/>
  <c r="BB37" i="32"/>
  <c r="BA37" i="32"/>
  <c r="AZ37" i="32"/>
  <c r="AY37" i="32"/>
  <c r="BF37" i="32" s="1"/>
  <c r="AX37" i="32"/>
  <c r="AW37" i="32"/>
  <c r="AV37" i="32"/>
  <c r="AI37" i="32"/>
  <c r="AH37" i="32"/>
  <c r="AF37" i="32"/>
  <c r="AE37" i="32"/>
  <c r="BV37" i="32" s="1"/>
  <c r="AD37" i="32"/>
  <c r="P37" i="32"/>
  <c r="BE37" i="32" s="1"/>
  <c r="BW37" i="32" s="1"/>
  <c r="BF36" i="32"/>
  <c r="BB36" i="32"/>
  <c r="BA36" i="32"/>
  <c r="AZ36" i="32"/>
  <c r="AY36" i="32"/>
  <c r="AX36" i="32"/>
  <c r="AW36" i="32"/>
  <c r="AV36" i="32"/>
  <c r="P36" i="32"/>
  <c r="BH35" i="32"/>
  <c r="BB35" i="32"/>
  <c r="BA35" i="32"/>
  <c r="AZ35" i="32"/>
  <c r="AY35" i="32"/>
  <c r="AX35" i="32"/>
  <c r="AW35" i="32"/>
  <c r="AV35" i="32"/>
  <c r="P35" i="32"/>
  <c r="BH34" i="32"/>
  <c r="BE34" i="32"/>
  <c r="BC34" i="32"/>
  <c r="BB34" i="32"/>
  <c r="BA34" i="32"/>
  <c r="AZ34" i="32"/>
  <c r="AY34" i="32"/>
  <c r="AX34" i="32"/>
  <c r="AW34" i="32"/>
  <c r="AV34" i="32"/>
  <c r="AG34" i="32"/>
  <c r="AE34" i="32"/>
  <c r="P34" i="32"/>
  <c r="BD34" i="32" s="1"/>
  <c r="BV34" i="32" s="1"/>
  <c r="BZ33" i="32"/>
  <c r="BH33" i="32"/>
  <c r="BD33" i="32"/>
  <c r="BV33" i="32" s="1"/>
  <c r="BB33" i="32"/>
  <c r="BA33" i="32"/>
  <c r="AZ33" i="32"/>
  <c r="BG33" i="32" s="1"/>
  <c r="BY33" i="32" s="1"/>
  <c r="AY33" i="32"/>
  <c r="BF33" i="32" s="1"/>
  <c r="AX33" i="32"/>
  <c r="AW33" i="32"/>
  <c r="AV33" i="32"/>
  <c r="BC33" i="32" s="1"/>
  <c r="BU33" i="32" s="1"/>
  <c r="AI33" i="32"/>
  <c r="AH33" i="32"/>
  <c r="AF33" i="32"/>
  <c r="AE33" i="32"/>
  <c r="AD33" i="32"/>
  <c r="P33" i="32"/>
  <c r="BG32" i="32"/>
  <c r="BB32" i="32"/>
  <c r="BA32" i="32"/>
  <c r="AZ32" i="32"/>
  <c r="AY32" i="32"/>
  <c r="AX32" i="32"/>
  <c r="BE32" i="32" s="1"/>
  <c r="AW32" i="32"/>
  <c r="AV32" i="32"/>
  <c r="AI32" i="32"/>
  <c r="AG32" i="32"/>
  <c r="AD32" i="32"/>
  <c r="P32" i="32"/>
  <c r="BC32" i="32" s="1"/>
  <c r="BF31" i="32"/>
  <c r="BB31" i="32"/>
  <c r="BA31" i="32"/>
  <c r="AZ31" i="32"/>
  <c r="AY31" i="32"/>
  <c r="AX31" i="32"/>
  <c r="AW31" i="32"/>
  <c r="AV31" i="32"/>
  <c r="AH31" i="32"/>
  <c r="AF31" i="32"/>
  <c r="AD31" i="32"/>
  <c r="P31" i="32"/>
  <c r="O31" i="32"/>
  <c r="BF30" i="32"/>
  <c r="BB30" i="32"/>
  <c r="BA30" i="32"/>
  <c r="AZ30" i="32"/>
  <c r="AY30" i="32"/>
  <c r="AX30" i="32"/>
  <c r="AW30" i="32"/>
  <c r="AV30" i="32"/>
  <c r="AH30" i="32"/>
  <c r="AD30" i="32"/>
  <c r="P30" i="32"/>
  <c r="BE30" i="32" s="1"/>
  <c r="O30" i="32"/>
  <c r="BF29" i="32"/>
  <c r="BB29" i="32"/>
  <c r="BA29" i="32"/>
  <c r="AZ29" i="32"/>
  <c r="AY29" i="32"/>
  <c r="AX29" i="32"/>
  <c r="AW29" i="32"/>
  <c r="AV29" i="32"/>
  <c r="AI29" i="32"/>
  <c r="AH29" i="32"/>
  <c r="AF29" i="32"/>
  <c r="AE29" i="32"/>
  <c r="AD29" i="32"/>
  <c r="P29" i="32"/>
  <c r="O29" i="32"/>
  <c r="BF28" i="32"/>
  <c r="BB28" i="32"/>
  <c r="BA28" i="32"/>
  <c r="AZ28" i="32"/>
  <c r="AY28" i="32"/>
  <c r="AX28" i="32"/>
  <c r="AW28" i="32"/>
  <c r="AV28" i="32"/>
  <c r="AT28" i="32"/>
  <c r="AH28" i="32"/>
  <c r="AT31" i="32" s="1"/>
  <c r="AD28" i="32"/>
  <c r="P28" i="32"/>
  <c r="BE28" i="32" s="1"/>
  <c r="O28" i="32"/>
  <c r="BR27" i="32"/>
  <c r="BF27" i="32"/>
  <c r="BB27" i="32"/>
  <c r="BA27" i="32"/>
  <c r="AZ27" i="32"/>
  <c r="AY27" i="32"/>
  <c r="AX27" i="32"/>
  <c r="AW27" i="32"/>
  <c r="AV27" i="32"/>
  <c r="AT27" i="32"/>
  <c r="AH27" i="32"/>
  <c r="AD27" i="32"/>
  <c r="P27" i="32"/>
  <c r="BE27" i="32" s="1"/>
  <c r="O27" i="32"/>
  <c r="BR26" i="32"/>
  <c r="BF26" i="32"/>
  <c r="BB26" i="32"/>
  <c r="BA26" i="32"/>
  <c r="AZ26" i="32"/>
  <c r="AY26" i="32"/>
  <c r="AX26" i="32"/>
  <c r="AW26" i="32"/>
  <c r="AV26" i="32"/>
  <c r="AT26" i="32"/>
  <c r="AH26" i="32"/>
  <c r="AD26" i="32"/>
  <c r="P26" i="32"/>
  <c r="BE26" i="32" s="1"/>
  <c r="O26" i="32"/>
  <c r="BR25" i="32"/>
  <c r="BF25" i="32"/>
  <c r="BB25" i="32"/>
  <c r="BA25" i="32"/>
  <c r="AZ25" i="32"/>
  <c r="AY25" i="32"/>
  <c r="AX25" i="32"/>
  <c r="AW25" i="32"/>
  <c r="AV25" i="32"/>
  <c r="AL25" i="32"/>
  <c r="AI25" i="32"/>
  <c r="AH25" i="32"/>
  <c r="AT29" i="32" s="1"/>
  <c r="AF25" i="32"/>
  <c r="AE25" i="32"/>
  <c r="AD25" i="32"/>
  <c r="P25" i="32"/>
  <c r="O25" i="32"/>
  <c r="BF24" i="32"/>
  <c r="BB24" i="32"/>
  <c r="BA24" i="32"/>
  <c r="AZ24" i="32"/>
  <c r="AY24" i="32"/>
  <c r="AX24" i="32"/>
  <c r="AW24" i="32"/>
  <c r="AV24" i="32"/>
  <c r="AH24" i="32"/>
  <c r="AD24" i="32"/>
  <c r="P24" i="32"/>
  <c r="BE24" i="32" s="1"/>
  <c r="N24" i="32"/>
  <c r="K24" i="32"/>
  <c r="J24" i="32"/>
  <c r="I24" i="32"/>
  <c r="H24" i="32"/>
  <c r="E24" i="32"/>
  <c r="C24" i="32"/>
  <c r="BB23" i="32"/>
  <c r="BA23" i="32"/>
  <c r="AZ23" i="32"/>
  <c r="AY23" i="32"/>
  <c r="AX23" i="32"/>
  <c r="AW23" i="32"/>
  <c r="AV23" i="32"/>
  <c r="P23" i="32"/>
  <c r="N23" i="32"/>
  <c r="K23" i="32"/>
  <c r="H23" i="32"/>
  <c r="E23" i="32"/>
  <c r="C23" i="32"/>
  <c r="BF22" i="32"/>
  <c r="BB22" i="32"/>
  <c r="BA22" i="32"/>
  <c r="AZ22" i="32"/>
  <c r="AY22" i="32"/>
  <c r="AX22" i="32"/>
  <c r="AW22" i="32"/>
  <c r="AV22" i="32"/>
  <c r="AH22" i="32"/>
  <c r="AD22" i="32"/>
  <c r="P22" i="32"/>
  <c r="BE22" i="32" s="1"/>
  <c r="N22" i="32"/>
  <c r="K22" i="32"/>
  <c r="I22" i="32"/>
  <c r="H22" i="32"/>
  <c r="E22" i="32"/>
  <c r="C22" i="32"/>
  <c r="BH21" i="32"/>
  <c r="BD21" i="32"/>
  <c r="BB21" i="32"/>
  <c r="BA21" i="32"/>
  <c r="AZ21" i="32"/>
  <c r="AY21" i="32"/>
  <c r="AX21" i="32"/>
  <c r="AW21" i="32"/>
  <c r="AV21" i="32"/>
  <c r="AF21" i="32"/>
  <c r="P21" i="32"/>
  <c r="BG21" i="32" s="1"/>
  <c r="N21" i="32"/>
  <c r="K21" i="32"/>
  <c r="I21" i="32"/>
  <c r="H21" i="32"/>
  <c r="E21" i="32"/>
  <c r="C21" i="32"/>
  <c r="BB20" i="32"/>
  <c r="BA20" i="32"/>
  <c r="AZ20" i="32"/>
  <c r="AY20" i="32"/>
  <c r="AX20" i="32"/>
  <c r="AW20" i="32"/>
  <c r="AV20" i="32"/>
  <c r="AI20" i="32"/>
  <c r="AF20" i="32"/>
  <c r="AE20" i="32"/>
  <c r="P20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BH19" i="32"/>
  <c r="BZ19" i="32" s="1"/>
  <c r="BG19" i="32"/>
  <c r="BD19" i="32"/>
  <c r="BV19" i="32" s="1"/>
  <c r="BC19" i="32"/>
  <c r="BB19" i="32"/>
  <c r="BA19" i="32"/>
  <c r="AZ19" i="32"/>
  <c r="AY19" i="32"/>
  <c r="AX19" i="32"/>
  <c r="AW19" i="32"/>
  <c r="AV19" i="32"/>
  <c r="AI19" i="32"/>
  <c r="AF19" i="32"/>
  <c r="AE19" i="32"/>
  <c r="P19" i="32"/>
  <c r="BF19" i="32" s="1"/>
  <c r="N19" i="32"/>
  <c r="K19" i="32"/>
  <c r="I19" i="32"/>
  <c r="H19" i="32"/>
  <c r="E19" i="32"/>
  <c r="C19" i="32"/>
  <c r="BB18" i="32"/>
  <c r="BA18" i="32"/>
  <c r="AZ18" i="32"/>
  <c r="AY18" i="32"/>
  <c r="AX18" i="32"/>
  <c r="AW18" i="32"/>
  <c r="AV18" i="32"/>
  <c r="P18" i="32"/>
  <c r="BH18" i="32" s="1"/>
  <c r="N18" i="32"/>
  <c r="K18" i="32"/>
  <c r="I18" i="32"/>
  <c r="H18" i="32"/>
  <c r="E18" i="32"/>
  <c r="C18" i="32"/>
  <c r="BH17" i="32"/>
  <c r="BZ17" i="32" s="1"/>
  <c r="BG17" i="32"/>
  <c r="BD17" i="32"/>
  <c r="BV17" i="32" s="1"/>
  <c r="BC17" i="32"/>
  <c r="BB17" i="32"/>
  <c r="BA17" i="32"/>
  <c r="AZ17" i="32"/>
  <c r="AY17" i="32"/>
  <c r="AX17" i="32"/>
  <c r="AW17" i="32"/>
  <c r="AV17" i="32"/>
  <c r="AI17" i="32"/>
  <c r="AF17" i="32"/>
  <c r="AE17" i="32"/>
  <c r="P17" i="32"/>
  <c r="BF17" i="32" s="1"/>
  <c r="N17" i="32"/>
  <c r="K17" i="32"/>
  <c r="J17" i="32"/>
  <c r="I17" i="32"/>
  <c r="H17" i="32"/>
  <c r="E17" i="32"/>
  <c r="C17" i="32"/>
  <c r="BG16" i="32"/>
  <c r="BY16" i="32" s="1"/>
  <c r="BF16" i="32"/>
  <c r="BC16" i="32"/>
  <c r="BU16" i="32" s="1"/>
  <c r="BB16" i="32"/>
  <c r="BA16" i="32"/>
  <c r="AZ16" i="32"/>
  <c r="AY16" i="32"/>
  <c r="AX16" i="32"/>
  <c r="AW16" i="32"/>
  <c r="AV16" i="32"/>
  <c r="AI16" i="32"/>
  <c r="AH16" i="32"/>
  <c r="AF16" i="32"/>
  <c r="AE16" i="32"/>
  <c r="AD16" i="32"/>
  <c r="P16" i="32"/>
  <c r="BE16" i="32" s="1"/>
  <c r="BW16" i="32" s="1"/>
  <c r="K16" i="32"/>
  <c r="I16" i="32"/>
  <c r="H16" i="32"/>
  <c r="E16" i="32"/>
  <c r="C16" i="32"/>
  <c r="BH15" i="32"/>
  <c r="BZ15" i="32" s="1"/>
  <c r="BG15" i="32"/>
  <c r="BD15" i="32"/>
  <c r="BV15" i="32" s="1"/>
  <c r="BC15" i="32"/>
  <c r="BB15" i="32"/>
  <c r="BA15" i="32"/>
  <c r="AZ15" i="32"/>
  <c r="AY15" i="32"/>
  <c r="AX15" i="32"/>
  <c r="AW15" i="32"/>
  <c r="AV15" i="32"/>
  <c r="AI15" i="32"/>
  <c r="AF15" i="32"/>
  <c r="AE15" i="32"/>
  <c r="P15" i="32"/>
  <c r="BF15" i="32" s="1"/>
  <c r="N15" i="32"/>
  <c r="K15" i="32"/>
  <c r="I15" i="32"/>
  <c r="H15" i="32"/>
  <c r="E15" i="32"/>
  <c r="C15" i="32"/>
  <c r="BB14" i="32"/>
  <c r="BA14" i="32"/>
  <c r="AZ14" i="32"/>
  <c r="AY14" i="32"/>
  <c r="AX14" i="32"/>
  <c r="AW14" i="32"/>
  <c r="AV14" i="32"/>
  <c r="P14" i="32"/>
  <c r="BH14" i="32" s="1"/>
  <c r="N14" i="32"/>
  <c r="BT14" i="32" s="1"/>
  <c r="K14" i="32"/>
  <c r="I14" i="32"/>
  <c r="H14" i="32"/>
  <c r="E14" i="32"/>
  <c r="C14" i="32"/>
  <c r="BH13" i="32"/>
  <c r="BZ13" i="32" s="1"/>
  <c r="BG13" i="32"/>
  <c r="BY13" i="32" s="1"/>
  <c r="BD13" i="32"/>
  <c r="BV13" i="32" s="1"/>
  <c r="BC13" i="32"/>
  <c r="BU13" i="32" s="1"/>
  <c r="BB13" i="32"/>
  <c r="BA13" i="32"/>
  <c r="AZ13" i="32"/>
  <c r="AY13" i="32"/>
  <c r="AX13" i="32"/>
  <c r="AW13" i="32"/>
  <c r="AV13" i="32"/>
  <c r="AI13" i="32"/>
  <c r="AH13" i="32"/>
  <c r="AF13" i="32"/>
  <c r="AE13" i="32"/>
  <c r="AD13" i="32"/>
  <c r="P13" i="32"/>
  <c r="BF13" i="32" s="1"/>
  <c r="O13" i="32"/>
  <c r="BH12" i="32"/>
  <c r="BZ12" i="32" s="1"/>
  <c r="BG12" i="32"/>
  <c r="BD12" i="32"/>
  <c r="BV12" i="32" s="1"/>
  <c r="BC12" i="32"/>
  <c r="BB12" i="32"/>
  <c r="BA12" i="32"/>
  <c r="AZ12" i="32"/>
  <c r="AY12" i="32"/>
  <c r="AX12" i="32"/>
  <c r="AW12" i="32"/>
  <c r="AV12" i="32"/>
  <c r="AI12" i="32"/>
  <c r="AF12" i="32"/>
  <c r="AE12" i="32"/>
  <c r="P12" i="32"/>
  <c r="BF12" i="32" s="1"/>
  <c r="O12" i="32"/>
  <c r="BH11" i="32"/>
  <c r="BG11" i="32"/>
  <c r="BD11" i="32"/>
  <c r="BC11" i="32"/>
  <c r="BB11" i="32"/>
  <c r="BA11" i="32"/>
  <c r="AZ11" i="32"/>
  <c r="AY11" i="32"/>
  <c r="AX11" i="32"/>
  <c r="AW11" i="32"/>
  <c r="AV11" i="32"/>
  <c r="AI11" i="32"/>
  <c r="AF11" i="32"/>
  <c r="AE11" i="32"/>
  <c r="P11" i="32"/>
  <c r="BF11" i="32" s="1"/>
  <c r="O11" i="32"/>
  <c r="BH10" i="32"/>
  <c r="BZ10" i="32" s="1"/>
  <c r="BG10" i="32"/>
  <c r="BD10" i="32"/>
  <c r="BV10" i="32" s="1"/>
  <c r="BC10" i="32"/>
  <c r="BU10" i="32" s="1"/>
  <c r="BB10" i="32"/>
  <c r="BA10" i="32"/>
  <c r="AZ10" i="32"/>
  <c r="AY10" i="32"/>
  <c r="AX10" i="32"/>
  <c r="AW10" i="32"/>
  <c r="AV10" i="32"/>
  <c r="AI10" i="32"/>
  <c r="AF10" i="32"/>
  <c r="AE10" i="32"/>
  <c r="AD10" i="32"/>
  <c r="P10" i="32"/>
  <c r="BF10" i="32" s="1"/>
  <c r="O10" i="32"/>
  <c r="BH9" i="32"/>
  <c r="BZ9" i="32" s="1"/>
  <c r="BG9" i="32"/>
  <c r="BD9" i="32"/>
  <c r="BV9" i="32" s="1"/>
  <c r="BC9" i="32"/>
  <c r="BU9" i="32" s="1"/>
  <c r="BB9" i="32"/>
  <c r="BA9" i="32"/>
  <c r="AZ9" i="32"/>
  <c r="AY9" i="32"/>
  <c r="AX9" i="32"/>
  <c r="AW9" i="32"/>
  <c r="AV9" i="32"/>
  <c r="AI9" i="32"/>
  <c r="AF9" i="32"/>
  <c r="AE9" i="32"/>
  <c r="AD9" i="32"/>
  <c r="P9" i="32"/>
  <c r="BF9" i="32" s="1"/>
  <c r="O9" i="32"/>
  <c r="BH8" i="32"/>
  <c r="BZ8" i="32" s="1"/>
  <c r="BG8" i="32"/>
  <c r="BY8" i="32" s="1"/>
  <c r="BD8" i="32"/>
  <c r="BV8" i="32" s="1"/>
  <c r="BC8" i="32"/>
  <c r="BU8" i="32" s="1"/>
  <c r="BB8" i="32"/>
  <c r="BA8" i="32"/>
  <c r="AZ8" i="32"/>
  <c r="AY8" i="32"/>
  <c r="AX8" i="32"/>
  <c r="AW8" i="32"/>
  <c r="AV8" i="32"/>
  <c r="AI8" i="32"/>
  <c r="AH8" i="32"/>
  <c r="AF8" i="32"/>
  <c r="AE8" i="32"/>
  <c r="AD8" i="32"/>
  <c r="P8" i="32"/>
  <c r="BF8" i="32" s="1"/>
  <c r="O8" i="32"/>
  <c r="BH7" i="32"/>
  <c r="BZ7" i="32" s="1"/>
  <c r="BG7" i="32"/>
  <c r="BY7" i="32" s="1"/>
  <c r="BD7" i="32"/>
  <c r="BV7" i="32" s="1"/>
  <c r="BC7" i="32"/>
  <c r="BU7" i="32" s="1"/>
  <c r="BB7" i="32"/>
  <c r="BA7" i="32"/>
  <c r="AZ7" i="32"/>
  <c r="AY7" i="32"/>
  <c r="AX7" i="32"/>
  <c r="AW7" i="32"/>
  <c r="AV7" i="32"/>
  <c r="AN7" i="32"/>
  <c r="AJ7" i="32"/>
  <c r="AI7" i="32"/>
  <c r="AH7" i="32"/>
  <c r="AF7" i="32"/>
  <c r="AE7" i="32"/>
  <c r="AD7" i="32"/>
  <c r="P7" i="32"/>
  <c r="BF7" i="32" s="1"/>
  <c r="O7" i="32"/>
  <c r="BH6" i="32"/>
  <c r="BZ6" i="32" s="1"/>
  <c r="BG6" i="32"/>
  <c r="BY6" i="32" s="1"/>
  <c r="BD6" i="32"/>
  <c r="BV6" i="32" s="1"/>
  <c r="BC6" i="32"/>
  <c r="BU6" i="32" s="1"/>
  <c r="BB6" i="32"/>
  <c r="BA6" i="32"/>
  <c r="AZ6" i="32"/>
  <c r="AY6" i="32"/>
  <c r="AX6" i="32"/>
  <c r="AW6" i="32"/>
  <c r="AV6" i="32"/>
  <c r="AN6" i="32"/>
  <c r="AJ6" i="32"/>
  <c r="AI6" i="32"/>
  <c r="AH6" i="32"/>
  <c r="AF6" i="32"/>
  <c r="AE6" i="32"/>
  <c r="AD6" i="32"/>
  <c r="P6" i="32"/>
  <c r="BF6" i="32" s="1"/>
  <c r="O6" i="32"/>
  <c r="BH5" i="32"/>
  <c r="BZ5" i="32" s="1"/>
  <c r="BG5" i="32"/>
  <c r="BY5" i="32" s="1"/>
  <c r="BD5" i="32"/>
  <c r="BV5" i="32" s="1"/>
  <c r="BC5" i="32"/>
  <c r="BU5" i="32" s="1"/>
  <c r="BB5" i="32"/>
  <c r="BA5" i="32"/>
  <c r="AZ5" i="32"/>
  <c r="AY5" i="32"/>
  <c r="AX5" i="32"/>
  <c r="AW5" i="32"/>
  <c r="AV5" i="32"/>
  <c r="AN5" i="32"/>
  <c r="AJ5" i="32"/>
  <c r="AI5" i="32"/>
  <c r="AH5" i="32"/>
  <c r="AF5" i="32"/>
  <c r="AE5" i="32"/>
  <c r="AD5" i="32"/>
  <c r="P5" i="32"/>
  <c r="BF5" i="32" s="1"/>
  <c r="O5" i="32"/>
  <c r="BH4" i="32"/>
  <c r="BN10" i="32" s="1"/>
  <c r="BG4" i="32"/>
  <c r="BM10" i="32" s="1"/>
  <c r="BD4" i="32"/>
  <c r="BJ10" i="32" s="1"/>
  <c r="BC4" i="32"/>
  <c r="BI10" i="32" s="1"/>
  <c r="BB4" i="32"/>
  <c r="BA4" i="32"/>
  <c r="AZ4" i="32"/>
  <c r="AY4" i="32"/>
  <c r="AX4" i="32"/>
  <c r="AW4" i="32"/>
  <c r="AV4" i="32"/>
  <c r="AN4" i="32"/>
  <c r="AJ4" i="32"/>
  <c r="AI4" i="32"/>
  <c r="AO10" i="32" s="1"/>
  <c r="CG10" i="32" s="1"/>
  <c r="AH4" i="32"/>
  <c r="AF4" i="32"/>
  <c r="AL10" i="32" s="1"/>
  <c r="AE4" i="32"/>
  <c r="AK10" i="32" s="1"/>
  <c r="CC10" i="32" s="1"/>
  <c r="AD4" i="32"/>
  <c r="AP10" i="32" s="1"/>
  <c r="P4" i="32"/>
  <c r="BF4" i="32" s="1"/>
  <c r="O4" i="32"/>
  <c r="S41" i="28"/>
  <c r="R41" i="28"/>
  <c r="S40" i="28"/>
  <c r="T41" i="28" s="1"/>
  <c r="U41" i="28" s="1"/>
  <c r="I41" i="28" s="1"/>
  <c r="R40" i="28"/>
  <c r="T39" i="28"/>
  <c r="S39" i="28"/>
  <c r="T40" i="28" s="1"/>
  <c r="R39" i="28"/>
  <c r="U38" i="28"/>
  <c r="I38" i="28" s="1"/>
  <c r="T38" i="28"/>
  <c r="S38" i="28"/>
  <c r="R38" i="28"/>
  <c r="S37" i="28"/>
  <c r="R37" i="28"/>
  <c r="S36" i="28"/>
  <c r="T37" i="28" s="1"/>
  <c r="U37" i="28" s="1"/>
  <c r="I37" i="28" s="1"/>
  <c r="R36" i="28"/>
  <c r="T35" i="28"/>
  <c r="S35" i="28"/>
  <c r="T36" i="28" s="1"/>
  <c r="R35" i="28"/>
  <c r="U34" i="28"/>
  <c r="I34" i="28" s="1"/>
  <c r="T34" i="28"/>
  <c r="S34" i="28"/>
  <c r="R34" i="28"/>
  <c r="S33" i="28"/>
  <c r="R33" i="28"/>
  <c r="S32" i="28"/>
  <c r="T33" i="28" s="1"/>
  <c r="U33" i="28" s="1"/>
  <c r="I33" i="28" s="1"/>
  <c r="R32" i="28"/>
  <c r="S31" i="28"/>
  <c r="T32" i="28" s="1"/>
  <c r="R31" i="28"/>
  <c r="U30" i="28"/>
  <c r="I30" i="28" s="1"/>
  <c r="T30" i="28"/>
  <c r="S30" i="28"/>
  <c r="T31" i="28" s="1"/>
  <c r="R30" i="28"/>
  <c r="S29" i="28"/>
  <c r="R29" i="28"/>
  <c r="S28" i="28"/>
  <c r="U28" i="28" s="1"/>
  <c r="I28" i="28" s="1"/>
  <c r="R28" i="28"/>
  <c r="S27" i="28"/>
  <c r="T28" i="28" s="1"/>
  <c r="R27" i="28"/>
  <c r="T26" i="28"/>
  <c r="S26" i="28"/>
  <c r="U26" i="28" s="1"/>
  <c r="I26" i="28" s="1"/>
  <c r="R26" i="28"/>
  <c r="S25" i="28"/>
  <c r="R25" i="28"/>
  <c r="S24" i="28"/>
  <c r="U24" i="28" s="1"/>
  <c r="I24" i="28" s="1"/>
  <c r="R24" i="28"/>
  <c r="S23" i="28"/>
  <c r="T24" i="28" s="1"/>
  <c r="R23" i="28"/>
  <c r="T22" i="28"/>
  <c r="S22" i="28"/>
  <c r="U22" i="28" s="1"/>
  <c r="I22" i="28" s="1"/>
  <c r="R22" i="28"/>
  <c r="S21" i="28"/>
  <c r="R21" i="28"/>
  <c r="S20" i="28"/>
  <c r="U20" i="28" s="1"/>
  <c r="I20" i="28" s="1"/>
  <c r="R20" i="28"/>
  <c r="S19" i="28"/>
  <c r="T20" i="28" s="1"/>
  <c r="R19" i="28"/>
  <c r="U18" i="28"/>
  <c r="I18" i="28" s="1"/>
  <c r="S18" i="28"/>
  <c r="T19" i="28" s="1"/>
  <c r="R18" i="28"/>
  <c r="B18" i="28"/>
  <c r="S17" i="28"/>
  <c r="T18" i="28" s="1"/>
  <c r="K17" i="28"/>
  <c r="F17" i="28"/>
  <c r="S16" i="28"/>
  <c r="T17" i="28" s="1"/>
  <c r="O16" i="28"/>
  <c r="F16" i="28"/>
  <c r="S15" i="28"/>
  <c r="T16" i="28" s="1"/>
  <c r="O15" i="28"/>
  <c r="R15" i="28" s="1"/>
  <c r="F15" i="28"/>
  <c r="T14" i="28"/>
  <c r="S14" i="28"/>
  <c r="R14" i="28"/>
  <c r="F14" i="28"/>
  <c r="S13" i="28"/>
  <c r="R13" i="28"/>
  <c r="F13" i="28"/>
  <c r="S12" i="28"/>
  <c r="R12" i="28"/>
  <c r="F12" i="28"/>
  <c r="A12" i="28"/>
  <c r="A13" i="28" s="1"/>
  <c r="A14" i="28" s="1"/>
  <c r="S11" i="28"/>
  <c r="T12" i="28" s="1"/>
  <c r="R11" i="28"/>
  <c r="F11" i="28"/>
  <c r="U10" i="28"/>
  <c r="I10" i="28" s="1"/>
  <c r="T10" i="28"/>
  <c r="S10" i="28"/>
  <c r="T11" i="28" s="1"/>
  <c r="R10" i="28"/>
  <c r="F10" i="28"/>
  <c r="T9" i="28"/>
  <c r="U9" i="28" s="1"/>
  <c r="S9" i="28"/>
  <c r="R9" i="28"/>
  <c r="I9" i="28"/>
  <c r="T8" i="28"/>
  <c r="U8" i="28" s="1"/>
  <c r="S8" i="28"/>
  <c r="R8" i="28"/>
  <c r="I8" i="28"/>
  <c r="F8" i="28"/>
  <c r="S7" i="28"/>
  <c r="R7" i="28"/>
  <c r="F7" i="28"/>
  <c r="T6" i="28"/>
  <c r="S6" i="28"/>
  <c r="T7" i="28" s="1"/>
  <c r="R6" i="28"/>
  <c r="F6" i="28"/>
  <c r="S5" i="28"/>
  <c r="U5" i="28" s="1"/>
  <c r="I5" i="28" s="1"/>
  <c r="R5" i="28"/>
  <c r="Q5" i="28"/>
  <c r="J5" i="28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J37" i="28" s="1"/>
  <c r="J38" i="28" s="1"/>
  <c r="J39" i="28" s="1"/>
  <c r="J40" i="28" s="1"/>
  <c r="J41" i="28" s="1"/>
  <c r="H5" i="28"/>
  <c r="F5" i="28"/>
  <c r="A5" i="28"/>
  <c r="A6" i="28" s="1"/>
  <c r="A7" i="28" s="1"/>
  <c r="A8" i="28" s="1"/>
  <c r="A9" i="28" s="1"/>
  <c r="A10" i="28" s="1"/>
  <c r="A11" i="28" s="1"/>
  <c r="AD4" i="28"/>
  <c r="AA4" i="28"/>
  <c r="X4" i="28"/>
  <c r="S4" i="28"/>
  <c r="T5" i="28" s="1"/>
  <c r="R4" i="28"/>
  <c r="Q4" i="28"/>
  <c r="P4" i="28"/>
  <c r="P5" i="28" s="1"/>
  <c r="Q6" i="28" s="1"/>
  <c r="M4" i="28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L4" i="28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L25" i="28" s="1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J4" i="28"/>
  <c r="H4" i="28"/>
  <c r="A4" i="28"/>
  <c r="AD3" i="28"/>
  <c r="AA3" i="28"/>
  <c r="X3" i="28"/>
  <c r="S3" i="28"/>
  <c r="Q3" i="28"/>
  <c r="G3" i="28" s="1"/>
  <c r="A1" i="28"/>
  <c r="S41" i="27"/>
  <c r="R41" i="27"/>
  <c r="S40" i="27"/>
  <c r="T41" i="27" s="1"/>
  <c r="R40" i="27"/>
  <c r="S39" i="27"/>
  <c r="U39" i="27" s="1"/>
  <c r="I39" i="27" s="1"/>
  <c r="R39" i="27"/>
  <c r="S38" i="27"/>
  <c r="T39" i="27" s="1"/>
  <c r="R38" i="27"/>
  <c r="S37" i="27"/>
  <c r="U37" i="27" s="1"/>
  <c r="I37" i="27" s="1"/>
  <c r="R37" i="27"/>
  <c r="S36" i="27"/>
  <c r="T37" i="27" s="1"/>
  <c r="R36" i="27"/>
  <c r="U35" i="27"/>
  <c r="I35" i="27" s="1"/>
  <c r="S35" i="27"/>
  <c r="T36" i="27" s="1"/>
  <c r="R35" i="27"/>
  <c r="S34" i="27"/>
  <c r="T35" i="27" s="1"/>
  <c r="R34" i="27"/>
  <c r="S33" i="27"/>
  <c r="R33" i="27"/>
  <c r="S32" i="27"/>
  <c r="T33" i="27" s="1"/>
  <c r="R32" i="27"/>
  <c r="S31" i="27"/>
  <c r="U31" i="27" s="1"/>
  <c r="I31" i="27" s="1"/>
  <c r="R31" i="27"/>
  <c r="S30" i="27"/>
  <c r="T31" i="27" s="1"/>
  <c r="R30" i="27"/>
  <c r="T29" i="27"/>
  <c r="S29" i="27"/>
  <c r="R29" i="27"/>
  <c r="T28" i="27"/>
  <c r="U28" i="27" s="1"/>
  <c r="I28" i="27" s="1"/>
  <c r="S28" i="27"/>
  <c r="R28" i="27"/>
  <c r="S27" i="27"/>
  <c r="R27" i="27"/>
  <c r="S26" i="27"/>
  <c r="T27" i="27" s="1"/>
  <c r="U27" i="27" s="1"/>
  <c r="I27" i="27" s="1"/>
  <c r="R26" i="27"/>
  <c r="T25" i="27"/>
  <c r="S25" i="27"/>
  <c r="R25" i="27"/>
  <c r="T24" i="27"/>
  <c r="U24" i="27" s="1"/>
  <c r="I24" i="27" s="1"/>
  <c r="S24" i="27"/>
  <c r="R24" i="27"/>
  <c r="S23" i="27"/>
  <c r="R23" i="27"/>
  <c r="S22" i="27"/>
  <c r="T23" i="27" s="1"/>
  <c r="U23" i="27" s="1"/>
  <c r="I23" i="27" s="1"/>
  <c r="R22" i="27"/>
  <c r="T21" i="27"/>
  <c r="S21" i="27"/>
  <c r="R21" i="27"/>
  <c r="T20" i="27"/>
  <c r="U20" i="27" s="1"/>
  <c r="I20" i="27" s="1"/>
  <c r="S20" i="27"/>
  <c r="R20" i="27"/>
  <c r="S19" i="27"/>
  <c r="R19" i="27"/>
  <c r="S18" i="27"/>
  <c r="T19" i="27" s="1"/>
  <c r="U19" i="27" s="1"/>
  <c r="I19" i="27" s="1"/>
  <c r="R18" i="27"/>
  <c r="B18" i="27"/>
  <c r="T17" i="27"/>
  <c r="U17" i="27" s="1"/>
  <c r="I17" i="27" s="1"/>
  <c r="S17" i="27"/>
  <c r="T18" i="27" s="1"/>
  <c r="R17" i="27"/>
  <c r="K17" i="27"/>
  <c r="F17" i="27"/>
  <c r="S16" i="27"/>
  <c r="R16" i="27"/>
  <c r="K16" i="27"/>
  <c r="F16" i="27"/>
  <c r="T15" i="27"/>
  <c r="S15" i="27"/>
  <c r="T16" i="27" s="1"/>
  <c r="R15" i="27"/>
  <c r="K15" i="27"/>
  <c r="F15" i="27"/>
  <c r="S14" i="27"/>
  <c r="R14" i="27"/>
  <c r="K14" i="27"/>
  <c r="F14" i="27"/>
  <c r="T13" i="27"/>
  <c r="S13" i="27"/>
  <c r="R13" i="27"/>
  <c r="F13" i="27"/>
  <c r="T12" i="27"/>
  <c r="U12" i="27" s="1"/>
  <c r="I12" i="27" s="1"/>
  <c r="S12" i="27"/>
  <c r="R12" i="27"/>
  <c r="F12" i="27"/>
  <c r="S11" i="27"/>
  <c r="R11" i="27"/>
  <c r="F11" i="27"/>
  <c r="S10" i="27"/>
  <c r="R10" i="27"/>
  <c r="F10" i="27"/>
  <c r="T9" i="27"/>
  <c r="S9" i="27"/>
  <c r="R9" i="27"/>
  <c r="T8" i="27"/>
  <c r="S8" i="27"/>
  <c r="R8" i="27"/>
  <c r="F8" i="27"/>
  <c r="T7" i="27"/>
  <c r="U7" i="27" s="1"/>
  <c r="I7" i="27" s="1"/>
  <c r="S7" i="27"/>
  <c r="R7" i="27"/>
  <c r="F7" i="27"/>
  <c r="S6" i="27"/>
  <c r="R6" i="27"/>
  <c r="F6" i="27"/>
  <c r="S5" i="27"/>
  <c r="R5" i="27"/>
  <c r="F5" i="27"/>
  <c r="AD4" i="27"/>
  <c r="AA4" i="27"/>
  <c r="X4" i="27"/>
  <c r="T4" i="27"/>
  <c r="S4" i="27"/>
  <c r="R4" i="27"/>
  <c r="Q4" i="27"/>
  <c r="P4" i="27"/>
  <c r="Q5" i="27" s="1"/>
  <c r="G5" i="27" s="1"/>
  <c r="M4" i="27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M30" i="27" s="1"/>
  <c r="M31" i="27" s="1"/>
  <c r="M32" i="27" s="1"/>
  <c r="M33" i="27" s="1"/>
  <c r="M34" i="27" s="1"/>
  <c r="M35" i="27" s="1"/>
  <c r="M36" i="27" s="1"/>
  <c r="M37" i="27" s="1"/>
  <c r="M38" i="27" s="1"/>
  <c r="M39" i="27" s="1"/>
  <c r="M40" i="27" s="1"/>
  <c r="M41" i="27" s="1"/>
  <c r="L4" i="27"/>
  <c r="L5" i="27" s="1"/>
  <c r="L6" i="27" s="1"/>
  <c r="L7" i="27" s="1"/>
  <c r="L8" i="27" s="1"/>
  <c r="L9" i="27" s="1"/>
  <c r="L10" i="27" s="1"/>
  <c r="L11" i="27" s="1"/>
  <c r="L12" i="27" s="1"/>
  <c r="L13" i="27" s="1"/>
  <c r="L14" i="27" s="1"/>
  <c r="L15" i="27" s="1"/>
  <c r="L16" i="27" s="1"/>
  <c r="L17" i="27" s="1"/>
  <c r="L18" i="27" s="1"/>
  <c r="L19" i="27" s="1"/>
  <c r="L20" i="27" s="1"/>
  <c r="L21" i="27" s="1"/>
  <c r="L22" i="27" s="1"/>
  <c r="L23" i="27" s="1"/>
  <c r="L24" i="27" s="1"/>
  <c r="L25" i="27" s="1"/>
  <c r="L26" i="27" s="1"/>
  <c r="L27" i="27" s="1"/>
  <c r="L28" i="27" s="1"/>
  <c r="L29" i="27" s="1"/>
  <c r="L30" i="27" s="1"/>
  <c r="L31" i="27" s="1"/>
  <c r="L32" i="27" s="1"/>
  <c r="L33" i="27" s="1"/>
  <c r="L34" i="27" s="1"/>
  <c r="L35" i="27" s="1"/>
  <c r="L36" i="27" s="1"/>
  <c r="L37" i="27" s="1"/>
  <c r="L38" i="27" s="1"/>
  <c r="L39" i="27" s="1"/>
  <c r="L40" i="27" s="1"/>
  <c r="L41" i="27" s="1"/>
  <c r="J4" i="27"/>
  <c r="J5" i="27" s="1"/>
  <c r="J6" i="27" s="1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H4" i="27"/>
  <c r="G4" i="27"/>
  <c r="A4" i="27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D3" i="27"/>
  <c r="AA3" i="27"/>
  <c r="X3" i="27"/>
  <c r="U3" i="27"/>
  <c r="S3" i="27"/>
  <c r="Q3" i="27"/>
  <c r="I3" i="27"/>
  <c r="G3" i="27"/>
  <c r="A1" i="27"/>
  <c r="S41" i="26"/>
  <c r="R41" i="26"/>
  <c r="T40" i="26"/>
  <c r="S40" i="26"/>
  <c r="R40" i="26"/>
  <c r="S39" i="26"/>
  <c r="R39" i="26"/>
  <c r="T38" i="26"/>
  <c r="S38" i="26"/>
  <c r="R38" i="26"/>
  <c r="S37" i="26"/>
  <c r="R37" i="26"/>
  <c r="T36" i="26"/>
  <c r="S36" i="26"/>
  <c r="R36" i="26"/>
  <c r="S35" i="26"/>
  <c r="R35" i="26"/>
  <c r="T34" i="26"/>
  <c r="S34" i="26"/>
  <c r="R34" i="26"/>
  <c r="S33" i="26"/>
  <c r="R33" i="26"/>
  <c r="T32" i="26"/>
  <c r="S32" i="26"/>
  <c r="R32" i="26"/>
  <c r="S31" i="26"/>
  <c r="R31" i="26"/>
  <c r="T30" i="26"/>
  <c r="S30" i="26"/>
  <c r="R30" i="26"/>
  <c r="S29" i="26"/>
  <c r="R29" i="26"/>
  <c r="T28" i="26"/>
  <c r="S28" i="26"/>
  <c r="R28" i="26"/>
  <c r="S27" i="26"/>
  <c r="R27" i="26"/>
  <c r="T26" i="26"/>
  <c r="S26" i="26"/>
  <c r="R26" i="26"/>
  <c r="S25" i="26"/>
  <c r="R25" i="26"/>
  <c r="T24" i="26"/>
  <c r="S24" i="26"/>
  <c r="R24" i="26"/>
  <c r="S23" i="26"/>
  <c r="R23" i="26"/>
  <c r="T22" i="26"/>
  <c r="S22" i="26"/>
  <c r="R22" i="26"/>
  <c r="S21" i="26"/>
  <c r="R21" i="26"/>
  <c r="T20" i="26"/>
  <c r="S20" i="26"/>
  <c r="R20" i="26"/>
  <c r="S19" i="26"/>
  <c r="R19" i="26"/>
  <c r="S18" i="26"/>
  <c r="R18" i="26"/>
  <c r="B18" i="26"/>
  <c r="S17" i="26"/>
  <c r="R17" i="26"/>
  <c r="B17" i="26"/>
  <c r="T16" i="26"/>
  <c r="S16" i="26"/>
  <c r="R16" i="26"/>
  <c r="S15" i="26"/>
  <c r="R15" i="26"/>
  <c r="T14" i="26"/>
  <c r="S14" i="26"/>
  <c r="U14" i="26" s="1"/>
  <c r="I14" i="26" s="1"/>
  <c r="R14" i="26"/>
  <c r="S13" i="26"/>
  <c r="R13" i="26"/>
  <c r="T12" i="26"/>
  <c r="S12" i="26"/>
  <c r="U12" i="26" s="1"/>
  <c r="I12" i="26" s="1"/>
  <c r="R12" i="26"/>
  <c r="S11" i="26"/>
  <c r="R11" i="26"/>
  <c r="T10" i="26"/>
  <c r="S10" i="26"/>
  <c r="U10" i="26" s="1"/>
  <c r="I10" i="26" s="1"/>
  <c r="R10" i="26"/>
  <c r="S9" i="26"/>
  <c r="R9" i="26"/>
  <c r="S8" i="26"/>
  <c r="T9" i="26" s="1"/>
  <c r="U9" i="26" s="1"/>
  <c r="I9" i="26" s="1"/>
  <c r="R8" i="26"/>
  <c r="S7" i="26"/>
  <c r="T8" i="26" s="1"/>
  <c r="R7" i="26"/>
  <c r="Q7" i="26"/>
  <c r="S6" i="26"/>
  <c r="T7" i="26" s="1"/>
  <c r="U7" i="26" s="1"/>
  <c r="I7" i="26" s="1"/>
  <c r="R6" i="26"/>
  <c r="Q6" i="26"/>
  <c r="L6" i="26"/>
  <c r="L7" i="26" s="1"/>
  <c r="L8" i="26" s="1"/>
  <c r="L9" i="26" s="1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L21" i="26" s="1"/>
  <c r="L22" i="26" s="1"/>
  <c r="L23" i="26" s="1"/>
  <c r="L24" i="26" s="1"/>
  <c r="L25" i="26" s="1"/>
  <c r="L26" i="26" s="1"/>
  <c r="L27" i="26" s="1"/>
  <c r="L28" i="26" s="1"/>
  <c r="L29" i="26" s="1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H6" i="26"/>
  <c r="H7" i="26" s="1"/>
  <c r="F6" i="26"/>
  <c r="U5" i="26"/>
  <c r="T5" i="26"/>
  <c r="S5" i="26"/>
  <c r="T6" i="26" s="1"/>
  <c r="R5" i="26"/>
  <c r="Q5" i="26"/>
  <c r="G5" i="26" s="1"/>
  <c r="P5" i="26"/>
  <c r="P6" i="26" s="1"/>
  <c r="P7" i="26" s="1"/>
  <c r="M5" i="26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M37" i="26" s="1"/>
  <c r="M38" i="26" s="1"/>
  <c r="M39" i="26" s="1"/>
  <c r="M40" i="26" s="1"/>
  <c r="M41" i="26" s="1"/>
  <c r="I5" i="26"/>
  <c r="H5" i="26"/>
  <c r="AH4" i="26"/>
  <c r="AH5" i="26" s="1"/>
  <c r="AH6" i="26" s="1"/>
  <c r="AD4" i="26"/>
  <c r="AA4" i="26"/>
  <c r="X4" i="26"/>
  <c r="S4" i="26"/>
  <c r="R4" i="26"/>
  <c r="Q4" i="26"/>
  <c r="G4" i="26" s="1"/>
  <c r="P4" i="26"/>
  <c r="M4" i="26"/>
  <c r="L4" i="26"/>
  <c r="L5" i="26" s="1"/>
  <c r="J4" i="26"/>
  <c r="J5" i="26" s="1"/>
  <c r="J6" i="26" s="1"/>
  <c r="J7" i="26" s="1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J37" i="26" s="1"/>
  <c r="J38" i="26" s="1"/>
  <c r="J39" i="26" s="1"/>
  <c r="J40" i="26" s="1"/>
  <c r="J41" i="26" s="1"/>
  <c r="H4" i="26"/>
  <c r="A4" i="26"/>
  <c r="A5" i="26" s="1"/>
  <c r="AD3" i="26"/>
  <c r="AA3" i="26"/>
  <c r="X3" i="26"/>
  <c r="U3" i="26"/>
  <c r="I3" i="26" s="1"/>
  <c r="S3" i="26"/>
  <c r="T4" i="26" s="1"/>
  <c r="U4" i="26" s="1"/>
  <c r="I4" i="26" s="1"/>
  <c r="Q3" i="26"/>
  <c r="G3" i="26" s="1"/>
  <c r="C3" i="26" s="1"/>
  <c r="D3" i="26" s="1"/>
  <c r="E4" i="26" s="1"/>
  <c r="A1" i="26"/>
  <c r="T41" i="25"/>
  <c r="S41" i="25"/>
  <c r="R41" i="25"/>
  <c r="T40" i="25"/>
  <c r="U40" i="25" s="1"/>
  <c r="I40" i="25" s="1"/>
  <c r="S40" i="25"/>
  <c r="R40" i="25"/>
  <c r="S39" i="25"/>
  <c r="R39" i="25"/>
  <c r="S38" i="25"/>
  <c r="T39" i="25" s="1"/>
  <c r="U39" i="25" s="1"/>
  <c r="I39" i="25" s="1"/>
  <c r="R38" i="25"/>
  <c r="S37" i="25"/>
  <c r="R37" i="25"/>
  <c r="T36" i="25"/>
  <c r="S36" i="25"/>
  <c r="U36" i="25" s="1"/>
  <c r="I36" i="25" s="1"/>
  <c r="R36" i="25"/>
  <c r="T35" i="25"/>
  <c r="U35" i="25" s="1"/>
  <c r="I35" i="25" s="1"/>
  <c r="S35" i="25"/>
  <c r="R35" i="25"/>
  <c r="S34" i="25"/>
  <c r="R34" i="25"/>
  <c r="T33" i="25"/>
  <c r="S33" i="25"/>
  <c r="R33" i="25"/>
  <c r="T32" i="25"/>
  <c r="S32" i="25"/>
  <c r="U32" i="25" s="1"/>
  <c r="I32" i="25" s="1"/>
  <c r="R32" i="25"/>
  <c r="S31" i="25"/>
  <c r="R31" i="25"/>
  <c r="S30" i="25"/>
  <c r="T31" i="25" s="1"/>
  <c r="U31" i="25" s="1"/>
  <c r="I31" i="25" s="1"/>
  <c r="R30" i="25"/>
  <c r="S29" i="25"/>
  <c r="R29" i="25"/>
  <c r="U28" i="25"/>
  <c r="I28" i="25" s="1"/>
  <c r="T28" i="25"/>
  <c r="S28" i="25"/>
  <c r="T29" i="25" s="1"/>
  <c r="R28" i="25"/>
  <c r="T27" i="25"/>
  <c r="U27" i="25" s="1"/>
  <c r="I27" i="25" s="1"/>
  <c r="S27" i="25"/>
  <c r="R27" i="25"/>
  <c r="S26" i="25"/>
  <c r="R26" i="25"/>
  <c r="T25" i="25"/>
  <c r="S25" i="25"/>
  <c r="R25" i="25"/>
  <c r="T24" i="25"/>
  <c r="U24" i="25" s="1"/>
  <c r="I24" i="25" s="1"/>
  <c r="S24" i="25"/>
  <c r="R24" i="25"/>
  <c r="S23" i="25"/>
  <c r="R23" i="25"/>
  <c r="S22" i="25"/>
  <c r="T23" i="25" s="1"/>
  <c r="U23" i="25" s="1"/>
  <c r="I23" i="25" s="1"/>
  <c r="R22" i="25"/>
  <c r="S21" i="25"/>
  <c r="R21" i="25"/>
  <c r="T20" i="25"/>
  <c r="S20" i="25"/>
  <c r="U20" i="25" s="1"/>
  <c r="I20" i="25" s="1"/>
  <c r="R20" i="25"/>
  <c r="T19" i="25"/>
  <c r="U19" i="25" s="1"/>
  <c r="I19" i="25" s="1"/>
  <c r="S19" i="25"/>
  <c r="R19" i="25"/>
  <c r="U18" i="25"/>
  <c r="I18" i="25" s="1"/>
  <c r="S18" i="25"/>
  <c r="R18" i="25"/>
  <c r="B18" i="25"/>
  <c r="T17" i="25"/>
  <c r="U17" i="25" s="1"/>
  <c r="I17" i="25" s="1"/>
  <c r="S17" i="25"/>
  <c r="T18" i="25" s="1"/>
  <c r="R17" i="25"/>
  <c r="K17" i="25"/>
  <c r="F17" i="25"/>
  <c r="S16" i="25"/>
  <c r="R16" i="25"/>
  <c r="K16" i="25"/>
  <c r="F16" i="25"/>
  <c r="S15" i="25"/>
  <c r="T16" i="25" s="1"/>
  <c r="U16" i="25" s="1"/>
  <c r="I16" i="25" s="1"/>
  <c r="R15" i="25"/>
  <c r="K15" i="25"/>
  <c r="F15" i="25"/>
  <c r="S14" i="25"/>
  <c r="U14" i="25" s="1"/>
  <c r="I14" i="25" s="1"/>
  <c r="R14" i="25"/>
  <c r="K14" i="25"/>
  <c r="F14" i="25"/>
  <c r="B14" i="25"/>
  <c r="S13" i="25"/>
  <c r="T14" i="25" s="1"/>
  <c r="R13" i="25"/>
  <c r="F13" i="25"/>
  <c r="S12" i="25"/>
  <c r="T13" i="25" s="1"/>
  <c r="U13" i="25" s="1"/>
  <c r="I13" i="25" s="1"/>
  <c r="R12" i="25"/>
  <c r="F12" i="25"/>
  <c r="T11" i="25"/>
  <c r="S11" i="25"/>
  <c r="R11" i="25"/>
  <c r="F11" i="25"/>
  <c r="T10" i="25"/>
  <c r="U10" i="25" s="1"/>
  <c r="I10" i="25" s="1"/>
  <c r="S10" i="25"/>
  <c r="R10" i="25"/>
  <c r="F10" i="25"/>
  <c r="T9" i="25"/>
  <c r="U9" i="25" s="1"/>
  <c r="I9" i="25" s="1"/>
  <c r="S9" i="25"/>
  <c r="R9" i="25"/>
  <c r="U8" i="25"/>
  <c r="T8" i="25"/>
  <c r="S8" i="25"/>
  <c r="R8" i="25"/>
  <c r="I8" i="25"/>
  <c r="F8" i="25"/>
  <c r="S7" i="25"/>
  <c r="R7" i="25"/>
  <c r="F7" i="25"/>
  <c r="A7" i="25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S6" i="25"/>
  <c r="R6" i="25"/>
  <c r="H6" i="25"/>
  <c r="H7" i="25" s="1"/>
  <c r="F6" i="25"/>
  <c r="U5" i="25"/>
  <c r="T5" i="25"/>
  <c r="S5" i="25"/>
  <c r="T6" i="25" s="1"/>
  <c r="R5" i="25"/>
  <c r="Q5" i="25"/>
  <c r="M5" i="25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I5" i="25"/>
  <c r="H5" i="25"/>
  <c r="F5" i="25"/>
  <c r="A5" i="25"/>
  <c r="A6" i="25" s="1"/>
  <c r="AD4" i="25"/>
  <c r="AA4" i="25"/>
  <c r="X4" i="25"/>
  <c r="T4" i="25"/>
  <c r="U4" i="25" s="1"/>
  <c r="I4" i="25" s="1"/>
  <c r="C4" i="25" s="1"/>
  <c r="D4" i="25" s="1"/>
  <c r="S4" i="25"/>
  <c r="R4" i="25"/>
  <c r="Q4" i="25"/>
  <c r="G4" i="25" s="1"/>
  <c r="P4" i="25"/>
  <c r="P5" i="25" s="1"/>
  <c r="M4" i="25"/>
  <c r="L4" i="25"/>
  <c r="L5" i="25" s="1"/>
  <c r="L6" i="25" s="1"/>
  <c r="L7" i="25" s="1"/>
  <c r="L8" i="25" s="1"/>
  <c r="L9" i="25" s="1"/>
  <c r="L10" i="25" s="1"/>
  <c r="L11" i="25" s="1"/>
  <c r="L12" i="25" s="1"/>
  <c r="L13" i="25" s="1"/>
  <c r="L14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29" i="25" s="1"/>
  <c r="L30" i="25" s="1"/>
  <c r="L31" i="25" s="1"/>
  <c r="L32" i="25" s="1"/>
  <c r="L33" i="25" s="1"/>
  <c r="L34" i="25" s="1"/>
  <c r="L35" i="25" s="1"/>
  <c r="L36" i="25" s="1"/>
  <c r="L37" i="25" s="1"/>
  <c r="L38" i="25" s="1"/>
  <c r="L39" i="25" s="1"/>
  <c r="L40" i="25" s="1"/>
  <c r="L41" i="25" s="1"/>
  <c r="J4" i="25"/>
  <c r="J5" i="25" s="1"/>
  <c r="J6" i="25" s="1"/>
  <c r="J7" i="25" s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J37" i="25" s="1"/>
  <c r="J38" i="25" s="1"/>
  <c r="J39" i="25" s="1"/>
  <c r="J40" i="25" s="1"/>
  <c r="J41" i="25" s="1"/>
  <c r="H4" i="25"/>
  <c r="A4" i="25"/>
  <c r="AD3" i="25"/>
  <c r="AA3" i="25"/>
  <c r="X3" i="25"/>
  <c r="S3" i="25"/>
  <c r="U3" i="25" s="1"/>
  <c r="Q3" i="25"/>
  <c r="G3" i="25" s="1"/>
  <c r="C3" i="25" s="1"/>
  <c r="D3" i="25" s="1"/>
  <c r="E4" i="25" s="1"/>
  <c r="I3" i="25"/>
  <c r="A1" i="25"/>
  <c r="S41" i="24"/>
  <c r="R41" i="24"/>
  <c r="S40" i="24"/>
  <c r="R40" i="24"/>
  <c r="T39" i="24"/>
  <c r="S39" i="24"/>
  <c r="U39" i="24" s="1"/>
  <c r="I39" i="24" s="1"/>
  <c r="R39" i="24"/>
  <c r="T38" i="24"/>
  <c r="U38" i="24" s="1"/>
  <c r="I38" i="24" s="1"/>
  <c r="S38" i="24"/>
  <c r="R38" i="24"/>
  <c r="S37" i="24"/>
  <c r="R37" i="24"/>
  <c r="T36" i="24"/>
  <c r="S36" i="24"/>
  <c r="R36" i="24"/>
  <c r="T35" i="24"/>
  <c r="S35" i="24"/>
  <c r="U35" i="24" s="1"/>
  <c r="I35" i="24" s="1"/>
  <c r="R35" i="24"/>
  <c r="S34" i="24"/>
  <c r="R34" i="24"/>
  <c r="S33" i="24"/>
  <c r="T34" i="24" s="1"/>
  <c r="U34" i="24" s="1"/>
  <c r="I34" i="24" s="1"/>
  <c r="R33" i="24"/>
  <c r="S32" i="24"/>
  <c r="R32" i="24"/>
  <c r="U31" i="24"/>
  <c r="I31" i="24" s="1"/>
  <c r="T31" i="24"/>
  <c r="S31" i="24"/>
  <c r="T32" i="24" s="1"/>
  <c r="R31" i="24"/>
  <c r="T30" i="24"/>
  <c r="U30" i="24" s="1"/>
  <c r="I30" i="24" s="1"/>
  <c r="S30" i="24"/>
  <c r="R30" i="24"/>
  <c r="S29" i="24"/>
  <c r="R29" i="24"/>
  <c r="T28" i="24"/>
  <c r="S28" i="24"/>
  <c r="R28" i="24"/>
  <c r="T27" i="24"/>
  <c r="U27" i="24" s="1"/>
  <c r="I27" i="24" s="1"/>
  <c r="S27" i="24"/>
  <c r="R27" i="24"/>
  <c r="S26" i="24"/>
  <c r="R26" i="24"/>
  <c r="S25" i="24"/>
  <c r="T26" i="24" s="1"/>
  <c r="U26" i="24" s="1"/>
  <c r="I26" i="24" s="1"/>
  <c r="R25" i="24"/>
  <c r="S24" i="24"/>
  <c r="R24" i="24"/>
  <c r="T23" i="24"/>
  <c r="S23" i="24"/>
  <c r="U23" i="24" s="1"/>
  <c r="I23" i="24" s="1"/>
  <c r="R23" i="24"/>
  <c r="T22" i="24"/>
  <c r="U22" i="24" s="1"/>
  <c r="I22" i="24" s="1"/>
  <c r="S22" i="24"/>
  <c r="R22" i="24"/>
  <c r="S21" i="24"/>
  <c r="R21" i="24"/>
  <c r="T20" i="24"/>
  <c r="S20" i="24"/>
  <c r="R20" i="24"/>
  <c r="T19" i="24"/>
  <c r="S19" i="24"/>
  <c r="U19" i="24" s="1"/>
  <c r="I19" i="24" s="1"/>
  <c r="R19" i="24"/>
  <c r="U18" i="24"/>
  <c r="I18" i="24" s="1"/>
  <c r="T18" i="24"/>
  <c r="S18" i="24"/>
  <c r="R18" i="24"/>
  <c r="B18" i="24"/>
  <c r="T17" i="24"/>
  <c r="S17" i="24"/>
  <c r="R17" i="24"/>
  <c r="K17" i="24"/>
  <c r="U16" i="24"/>
  <c r="I16" i="24" s="1"/>
  <c r="T16" i="24"/>
  <c r="S16" i="24"/>
  <c r="R16" i="24"/>
  <c r="K16" i="24"/>
  <c r="U15" i="24"/>
  <c r="I15" i="24" s="1"/>
  <c r="S15" i="24"/>
  <c r="R15" i="24"/>
  <c r="U14" i="24"/>
  <c r="I14" i="24" s="1"/>
  <c r="S14" i="24"/>
  <c r="T15" i="24" s="1"/>
  <c r="R14" i="24"/>
  <c r="U13" i="24"/>
  <c r="I13" i="24" s="1"/>
  <c r="S13" i="24"/>
  <c r="T14" i="24" s="1"/>
  <c r="R13" i="24"/>
  <c r="S12" i="24"/>
  <c r="T13" i="24" s="1"/>
  <c r="R12" i="24"/>
  <c r="S11" i="24"/>
  <c r="T12" i="24" s="1"/>
  <c r="U12" i="24" s="1"/>
  <c r="I12" i="24" s="1"/>
  <c r="R11" i="24"/>
  <c r="S10" i="24"/>
  <c r="T11" i="24" s="1"/>
  <c r="U11" i="24" s="1"/>
  <c r="I11" i="24" s="1"/>
  <c r="R10" i="24"/>
  <c r="S9" i="24"/>
  <c r="T10" i="24" s="1"/>
  <c r="U10" i="24" s="1"/>
  <c r="I10" i="24" s="1"/>
  <c r="R9" i="24"/>
  <c r="S8" i="24"/>
  <c r="T9" i="24" s="1"/>
  <c r="U9" i="24" s="1"/>
  <c r="I9" i="24" s="1"/>
  <c r="R8" i="24"/>
  <c r="S7" i="24"/>
  <c r="T8" i="24" s="1"/>
  <c r="U8" i="24" s="1"/>
  <c r="I8" i="24" s="1"/>
  <c r="R7" i="24"/>
  <c r="S6" i="24"/>
  <c r="T7" i="24" s="1"/>
  <c r="U7" i="24" s="1"/>
  <c r="I7" i="24" s="1"/>
  <c r="R6" i="24"/>
  <c r="S5" i="24"/>
  <c r="T6" i="24" s="1"/>
  <c r="U6" i="24" s="1"/>
  <c r="I6" i="24" s="1"/>
  <c r="R5" i="24"/>
  <c r="M5" i="24"/>
  <c r="M6" i="24" s="1"/>
  <c r="M7" i="24" s="1"/>
  <c r="M8" i="24" s="1"/>
  <c r="M9" i="24" s="1"/>
  <c r="M10" i="24" s="1"/>
  <c r="M11" i="24" s="1"/>
  <c r="M12" i="24" s="1"/>
  <c r="M13" i="24" s="1"/>
  <c r="M14" i="24" s="1"/>
  <c r="M15" i="24" s="1"/>
  <c r="M16" i="24" s="1"/>
  <c r="M17" i="24" s="1"/>
  <c r="M18" i="24" s="1"/>
  <c r="M19" i="24" s="1"/>
  <c r="M20" i="24" s="1"/>
  <c r="M21" i="24" s="1"/>
  <c r="M22" i="24" s="1"/>
  <c r="M23" i="24" s="1"/>
  <c r="M24" i="24" s="1"/>
  <c r="M25" i="24" s="1"/>
  <c r="M26" i="24" s="1"/>
  <c r="M27" i="24" s="1"/>
  <c r="M28" i="24" s="1"/>
  <c r="M29" i="24" s="1"/>
  <c r="M30" i="24" s="1"/>
  <c r="M31" i="24" s="1"/>
  <c r="M32" i="24" s="1"/>
  <c r="M33" i="24" s="1"/>
  <c r="M34" i="24" s="1"/>
  <c r="M35" i="24" s="1"/>
  <c r="M36" i="24" s="1"/>
  <c r="M37" i="24" s="1"/>
  <c r="M38" i="24" s="1"/>
  <c r="M39" i="24" s="1"/>
  <c r="M40" i="24" s="1"/>
  <c r="M41" i="24" s="1"/>
  <c r="J5" i="24"/>
  <c r="J6" i="24" s="1"/>
  <c r="J7" i="24" s="1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H5" i="24"/>
  <c r="H6" i="24" s="1"/>
  <c r="AD4" i="24"/>
  <c r="AA4" i="24"/>
  <c r="X4" i="24"/>
  <c r="T4" i="24"/>
  <c r="S4" i="24"/>
  <c r="T5" i="24" s="1"/>
  <c r="U5" i="24" s="1"/>
  <c r="I5" i="24" s="1"/>
  <c r="R4" i="24"/>
  <c r="Q4" i="24"/>
  <c r="P4" i="24"/>
  <c r="P5" i="24" s="1"/>
  <c r="M4" i="24"/>
  <c r="L4" i="24"/>
  <c r="L5" i="24" s="1"/>
  <c r="L6" i="24" s="1"/>
  <c r="L7" i="24" s="1"/>
  <c r="L8" i="24" s="1"/>
  <c r="L9" i="24" s="1"/>
  <c r="L10" i="24" s="1"/>
  <c r="L11" i="24" s="1"/>
  <c r="L12" i="24" s="1"/>
  <c r="L13" i="24" s="1"/>
  <c r="L14" i="24" s="1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J4" i="24"/>
  <c r="H4" i="24"/>
  <c r="G4" i="24"/>
  <c r="A4" i="24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D3" i="24"/>
  <c r="AA3" i="24"/>
  <c r="X3" i="24"/>
  <c r="U3" i="24"/>
  <c r="I3" i="24" s="1"/>
  <c r="S3" i="24"/>
  <c r="Q3" i="24"/>
  <c r="G3" i="24" s="1"/>
  <c r="A1" i="24"/>
  <c r="T41" i="11"/>
  <c r="U41" i="11" s="1"/>
  <c r="I41" i="11" s="1"/>
  <c r="R41" i="11"/>
  <c r="T40" i="11"/>
  <c r="U40" i="11" s="1"/>
  <c r="R40" i="11"/>
  <c r="T39" i="11"/>
  <c r="U39" i="11" s="1"/>
  <c r="I39" i="11" s="1"/>
  <c r="R39" i="11"/>
  <c r="T38" i="11"/>
  <c r="U38" i="11" s="1"/>
  <c r="R38" i="11"/>
  <c r="T37" i="11"/>
  <c r="U37" i="11" s="1"/>
  <c r="I37" i="11" s="1"/>
  <c r="R37" i="11"/>
  <c r="T36" i="11"/>
  <c r="U36" i="11" s="1"/>
  <c r="R36" i="11"/>
  <c r="T35" i="11"/>
  <c r="U35" i="11" s="1"/>
  <c r="I35" i="11" s="1"/>
  <c r="R35" i="11"/>
  <c r="T34" i="11"/>
  <c r="U34" i="11" s="1"/>
  <c r="R34" i="11"/>
  <c r="T33" i="11"/>
  <c r="U33" i="11" s="1"/>
  <c r="I33" i="11" s="1"/>
  <c r="R33" i="11"/>
  <c r="T32" i="11"/>
  <c r="U32" i="11" s="1"/>
  <c r="R32" i="11"/>
  <c r="T31" i="11"/>
  <c r="U31" i="11" s="1"/>
  <c r="I31" i="11" s="1"/>
  <c r="R31" i="11"/>
  <c r="T30" i="11"/>
  <c r="U30" i="11" s="1"/>
  <c r="R30" i="11"/>
  <c r="T29" i="11"/>
  <c r="U29" i="11" s="1"/>
  <c r="I29" i="11" s="1"/>
  <c r="R29" i="11"/>
  <c r="T28" i="11"/>
  <c r="U28" i="11" s="1"/>
  <c r="I28" i="11" s="1"/>
  <c r="R28" i="11"/>
  <c r="T27" i="11"/>
  <c r="U27" i="11" s="1"/>
  <c r="R27" i="11"/>
  <c r="T26" i="11"/>
  <c r="U26" i="11" s="1"/>
  <c r="I26" i="11" s="1"/>
  <c r="R26" i="11"/>
  <c r="T25" i="11"/>
  <c r="U25" i="11" s="1"/>
  <c r="R25" i="11"/>
  <c r="T24" i="11"/>
  <c r="U24" i="11" s="1"/>
  <c r="I24" i="11" s="1"/>
  <c r="R24" i="11"/>
  <c r="T23" i="11"/>
  <c r="U23" i="11" s="1"/>
  <c r="R23" i="11"/>
  <c r="T22" i="11"/>
  <c r="U22" i="11" s="1"/>
  <c r="I22" i="11" s="1"/>
  <c r="R22" i="11"/>
  <c r="T21" i="11"/>
  <c r="U21" i="11" s="1"/>
  <c r="R21" i="11"/>
  <c r="T20" i="11"/>
  <c r="U20" i="11" s="1"/>
  <c r="I20" i="11" s="1"/>
  <c r="R20" i="11"/>
  <c r="T19" i="11"/>
  <c r="U19" i="11" s="1"/>
  <c r="R19" i="11"/>
  <c r="T18" i="11"/>
  <c r="U18" i="11" s="1"/>
  <c r="I18" i="11" s="1"/>
  <c r="R18" i="11"/>
  <c r="B18" i="11"/>
  <c r="U17" i="11"/>
  <c r="I17" i="11" s="1"/>
  <c r="T17" i="11"/>
  <c r="R17" i="11"/>
  <c r="K17" i="11"/>
  <c r="B17" i="11"/>
  <c r="U16" i="11"/>
  <c r="T16" i="11"/>
  <c r="R16" i="11"/>
  <c r="I16" i="11"/>
  <c r="T15" i="11"/>
  <c r="U15" i="11" s="1"/>
  <c r="R15" i="11"/>
  <c r="U14" i="11"/>
  <c r="T14" i="11"/>
  <c r="R14" i="11"/>
  <c r="I14" i="11"/>
  <c r="B14" i="11"/>
  <c r="U13" i="11"/>
  <c r="T13" i="11"/>
  <c r="R13" i="11"/>
  <c r="I13" i="11"/>
  <c r="T12" i="11"/>
  <c r="U12" i="11" s="1"/>
  <c r="R12" i="11"/>
  <c r="U11" i="11"/>
  <c r="T11" i="11"/>
  <c r="R11" i="11"/>
  <c r="I11" i="11"/>
  <c r="T10" i="11"/>
  <c r="U10" i="11" s="1"/>
  <c r="R10" i="11"/>
  <c r="U9" i="11"/>
  <c r="T9" i="11"/>
  <c r="R9" i="11"/>
  <c r="I9" i="11"/>
  <c r="T8" i="11"/>
  <c r="U8" i="11" s="1"/>
  <c r="R8" i="11"/>
  <c r="U7" i="11"/>
  <c r="T7" i="11"/>
  <c r="R7" i="11"/>
  <c r="I7" i="11"/>
  <c r="T6" i="11"/>
  <c r="U6" i="11" s="1"/>
  <c r="R6" i="11"/>
  <c r="J6" i="1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U5" i="11"/>
  <c r="T5" i="11"/>
  <c r="R5" i="11"/>
  <c r="L5" i="1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  <c r="L34" i="11" s="1"/>
  <c r="L35" i="11" s="1"/>
  <c r="L36" i="11" s="1"/>
  <c r="L37" i="11" s="1"/>
  <c r="L38" i="11" s="1"/>
  <c r="L39" i="11" s="1"/>
  <c r="L40" i="11" s="1"/>
  <c r="L41" i="11" s="1"/>
  <c r="J5" i="11"/>
  <c r="I5" i="11"/>
  <c r="A5" i="11"/>
  <c r="A6" i="11" s="1"/>
  <c r="AD4" i="11"/>
  <c r="AA4" i="11"/>
  <c r="X4" i="11"/>
  <c r="U4" i="11"/>
  <c r="T4" i="11"/>
  <c r="R4" i="11"/>
  <c r="Q4" i="11"/>
  <c r="P4" i="11"/>
  <c r="Q5" i="11" s="1"/>
  <c r="M4" i="1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L4" i="11"/>
  <c r="J4" i="11"/>
  <c r="I4" i="11"/>
  <c r="H4" i="11"/>
  <c r="H5" i="11" s="1"/>
  <c r="G4" i="11"/>
  <c r="C4" i="11" s="1"/>
  <c r="D4" i="11" s="1"/>
  <c r="A4" i="11"/>
  <c r="AD3" i="11"/>
  <c r="AA3" i="11"/>
  <c r="X3" i="11"/>
  <c r="U3" i="11"/>
  <c r="Q3" i="11"/>
  <c r="I3" i="11"/>
  <c r="G3" i="11"/>
  <c r="C3" i="11" s="1"/>
  <c r="D3" i="11" s="1"/>
  <c r="A1" i="11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O108" i="7"/>
  <c r="L108" i="7"/>
  <c r="J108" i="7"/>
  <c r="H108" i="7"/>
  <c r="D108" i="7"/>
  <c r="C108" i="7"/>
  <c r="B108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O107" i="7"/>
  <c r="L107" i="7"/>
  <c r="J107" i="7"/>
  <c r="H107" i="7"/>
  <c r="D107" i="7"/>
  <c r="C107" i="7"/>
  <c r="B107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O106" i="7"/>
  <c r="L106" i="7"/>
  <c r="J106" i="7"/>
  <c r="H106" i="7"/>
  <c r="D106" i="7"/>
  <c r="C106" i="7"/>
  <c r="B106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O105" i="7"/>
  <c r="L105" i="7"/>
  <c r="J105" i="7"/>
  <c r="H105" i="7"/>
  <c r="D105" i="7"/>
  <c r="C105" i="7"/>
  <c r="B105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O104" i="7"/>
  <c r="L104" i="7"/>
  <c r="J104" i="7"/>
  <c r="H104" i="7"/>
  <c r="D104" i="7"/>
  <c r="C104" i="7"/>
  <c r="B104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O103" i="7"/>
  <c r="L103" i="7"/>
  <c r="J103" i="7"/>
  <c r="H103" i="7"/>
  <c r="D103" i="7"/>
  <c r="C103" i="7"/>
  <c r="B103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O102" i="7"/>
  <c r="L102" i="7"/>
  <c r="J102" i="7"/>
  <c r="H102" i="7"/>
  <c r="D102" i="7"/>
  <c r="C102" i="7"/>
  <c r="B102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O101" i="7"/>
  <c r="L101" i="7"/>
  <c r="J101" i="7"/>
  <c r="H101" i="7"/>
  <c r="D101" i="7"/>
  <c r="C101" i="7"/>
  <c r="B101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O100" i="7"/>
  <c r="L100" i="7"/>
  <c r="J100" i="7"/>
  <c r="H100" i="7"/>
  <c r="D100" i="7"/>
  <c r="C100" i="7"/>
  <c r="B100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O99" i="7"/>
  <c r="L99" i="7"/>
  <c r="J99" i="7"/>
  <c r="H99" i="7"/>
  <c r="D99" i="7"/>
  <c r="C99" i="7"/>
  <c r="B99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O98" i="7"/>
  <c r="L98" i="7"/>
  <c r="J98" i="7"/>
  <c r="H98" i="7"/>
  <c r="D98" i="7"/>
  <c r="C98" i="7"/>
  <c r="B98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O97" i="7"/>
  <c r="L97" i="7"/>
  <c r="J97" i="7"/>
  <c r="H97" i="7"/>
  <c r="D97" i="7"/>
  <c r="C97" i="7"/>
  <c r="B97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O96" i="7"/>
  <c r="L96" i="7"/>
  <c r="J96" i="7"/>
  <c r="H96" i="7"/>
  <c r="D96" i="7"/>
  <c r="C96" i="7"/>
  <c r="B96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O95" i="7"/>
  <c r="L95" i="7"/>
  <c r="J95" i="7"/>
  <c r="H95" i="7"/>
  <c r="D95" i="7"/>
  <c r="C95" i="7"/>
  <c r="B95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O94" i="7"/>
  <c r="L94" i="7"/>
  <c r="J94" i="7"/>
  <c r="H94" i="7"/>
  <c r="D94" i="7"/>
  <c r="C94" i="7"/>
  <c r="B94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O93" i="7"/>
  <c r="L93" i="7"/>
  <c r="J93" i="7"/>
  <c r="H93" i="7"/>
  <c r="D93" i="7"/>
  <c r="C93" i="7"/>
  <c r="B93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O92" i="7"/>
  <c r="L92" i="7"/>
  <c r="J92" i="7"/>
  <c r="H92" i="7"/>
  <c r="D92" i="7"/>
  <c r="C92" i="7"/>
  <c r="B92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O91" i="7"/>
  <c r="L91" i="7"/>
  <c r="J91" i="7"/>
  <c r="H91" i="7"/>
  <c r="D91" i="7"/>
  <c r="C91" i="7"/>
  <c r="B91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O90" i="7"/>
  <c r="L90" i="7"/>
  <c r="J90" i="7"/>
  <c r="H90" i="7"/>
  <c r="D90" i="7"/>
  <c r="C90" i="7"/>
  <c r="B90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O89" i="7"/>
  <c r="L89" i="7"/>
  <c r="J89" i="7"/>
  <c r="H89" i="7"/>
  <c r="D89" i="7"/>
  <c r="C89" i="7"/>
  <c r="B89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O88" i="7"/>
  <c r="L88" i="7"/>
  <c r="J88" i="7"/>
  <c r="H88" i="7"/>
  <c r="D88" i="7"/>
  <c r="C88" i="7"/>
  <c r="B88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O87" i="7"/>
  <c r="L87" i="7"/>
  <c r="J87" i="7"/>
  <c r="H87" i="7"/>
  <c r="D87" i="7"/>
  <c r="C87" i="7"/>
  <c r="B87" i="7"/>
  <c r="AH86" i="7"/>
  <c r="AG86" i="7"/>
  <c r="AF86" i="7"/>
  <c r="AE86" i="7"/>
  <c r="AD86" i="7"/>
  <c r="AC86" i="7"/>
  <c r="AB86" i="7"/>
  <c r="AA86" i="7"/>
  <c r="Z86" i="7"/>
  <c r="Y86" i="7"/>
  <c r="X86" i="7"/>
  <c r="W86" i="7"/>
  <c r="V86" i="7"/>
  <c r="U86" i="7"/>
  <c r="T86" i="7"/>
  <c r="S86" i="7"/>
  <c r="R86" i="7"/>
  <c r="Q86" i="7"/>
  <c r="O86" i="7"/>
  <c r="L86" i="7"/>
  <c r="J86" i="7"/>
  <c r="H86" i="7"/>
  <c r="D86" i="7"/>
  <c r="C86" i="7"/>
  <c r="B86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O85" i="7"/>
  <c r="L85" i="7"/>
  <c r="J85" i="7"/>
  <c r="H85" i="7"/>
  <c r="D85" i="7"/>
  <c r="C85" i="7"/>
  <c r="B85" i="7"/>
  <c r="AH84" i="7"/>
  <c r="AG84" i="7"/>
  <c r="AF84" i="7"/>
  <c r="AE84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O84" i="7"/>
  <c r="L84" i="7"/>
  <c r="J84" i="7"/>
  <c r="H84" i="7"/>
  <c r="D84" i="7"/>
  <c r="C84" i="7"/>
  <c r="B84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O83" i="7"/>
  <c r="L83" i="7"/>
  <c r="J83" i="7"/>
  <c r="H83" i="7"/>
  <c r="D83" i="7"/>
  <c r="C83" i="7"/>
  <c r="B83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O82" i="7"/>
  <c r="L82" i="7"/>
  <c r="J82" i="7"/>
  <c r="H82" i="7"/>
  <c r="D82" i="7"/>
  <c r="C82" i="7"/>
  <c r="B82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O81" i="7"/>
  <c r="L81" i="7"/>
  <c r="J81" i="7"/>
  <c r="H81" i="7"/>
  <c r="D81" i="7"/>
  <c r="C81" i="7"/>
  <c r="B81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O80" i="7"/>
  <c r="L80" i="7"/>
  <c r="J80" i="7"/>
  <c r="H80" i="7"/>
  <c r="D80" i="7"/>
  <c r="C80" i="7"/>
  <c r="B80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O79" i="7"/>
  <c r="L79" i="7"/>
  <c r="J79" i="7"/>
  <c r="H79" i="7"/>
  <c r="D79" i="7"/>
  <c r="C79" i="7"/>
  <c r="B79" i="7"/>
  <c r="AH78" i="7"/>
  <c r="AG78" i="7"/>
  <c r="AF78" i="7"/>
  <c r="AE78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O78" i="7"/>
  <c r="L78" i="7"/>
  <c r="J78" i="7"/>
  <c r="H78" i="7"/>
  <c r="D78" i="7"/>
  <c r="C78" i="7"/>
  <c r="B78" i="7"/>
  <c r="AH77" i="7"/>
  <c r="AG77" i="7"/>
  <c r="AF77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O77" i="7"/>
  <c r="L77" i="7"/>
  <c r="J77" i="7"/>
  <c r="H77" i="7"/>
  <c r="D77" i="7"/>
  <c r="C77" i="7"/>
  <c r="B77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O76" i="7"/>
  <c r="L76" i="7"/>
  <c r="J76" i="7"/>
  <c r="H76" i="7"/>
  <c r="D76" i="7"/>
  <c r="C76" i="7"/>
  <c r="B76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O75" i="7"/>
  <c r="L75" i="7"/>
  <c r="J75" i="7"/>
  <c r="H75" i="7"/>
  <c r="D75" i="7"/>
  <c r="C75" i="7"/>
  <c r="B75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O74" i="7"/>
  <c r="L74" i="7"/>
  <c r="J74" i="7"/>
  <c r="H74" i="7"/>
  <c r="D74" i="7"/>
  <c r="C74" i="7"/>
  <c r="B74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O73" i="7"/>
  <c r="L73" i="7"/>
  <c r="J73" i="7"/>
  <c r="H73" i="7"/>
  <c r="D73" i="7"/>
  <c r="C73" i="7"/>
  <c r="B73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O72" i="7"/>
  <c r="L72" i="7"/>
  <c r="J72" i="7"/>
  <c r="H72" i="7"/>
  <c r="D72" i="7"/>
  <c r="C72" i="7"/>
  <c r="B72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O71" i="7"/>
  <c r="L71" i="7"/>
  <c r="J71" i="7"/>
  <c r="H71" i="7"/>
  <c r="D71" i="7"/>
  <c r="C71" i="7"/>
  <c r="B71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O70" i="7"/>
  <c r="L70" i="7"/>
  <c r="J70" i="7"/>
  <c r="H70" i="7"/>
  <c r="D70" i="7"/>
  <c r="C70" i="7"/>
  <c r="B70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O69" i="7"/>
  <c r="L69" i="7"/>
  <c r="J69" i="7"/>
  <c r="H69" i="7"/>
  <c r="D69" i="7"/>
  <c r="C69" i="7"/>
  <c r="B69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O68" i="7"/>
  <c r="L68" i="7"/>
  <c r="J68" i="7"/>
  <c r="H68" i="7"/>
  <c r="D68" i="7"/>
  <c r="C68" i="7"/>
  <c r="B68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O67" i="7"/>
  <c r="L67" i="7"/>
  <c r="J67" i="7"/>
  <c r="H67" i="7"/>
  <c r="D67" i="7"/>
  <c r="C67" i="7"/>
  <c r="B67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O66" i="7"/>
  <c r="L66" i="7"/>
  <c r="J66" i="7"/>
  <c r="H66" i="7"/>
  <c r="D66" i="7"/>
  <c r="C66" i="7"/>
  <c r="B66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O65" i="7"/>
  <c r="L65" i="7"/>
  <c r="J65" i="7"/>
  <c r="H65" i="7"/>
  <c r="D65" i="7"/>
  <c r="C65" i="7"/>
  <c r="B65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O64" i="7"/>
  <c r="L64" i="7"/>
  <c r="J64" i="7"/>
  <c r="H64" i="7"/>
  <c r="D64" i="7"/>
  <c r="C64" i="7"/>
  <c r="B64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O63" i="7"/>
  <c r="L63" i="7"/>
  <c r="J63" i="7"/>
  <c r="H63" i="7"/>
  <c r="D63" i="7"/>
  <c r="C63" i="7"/>
  <c r="B63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O62" i="7"/>
  <c r="L62" i="7"/>
  <c r="J62" i="7"/>
  <c r="H62" i="7"/>
  <c r="D62" i="7"/>
  <c r="C62" i="7"/>
  <c r="B62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O61" i="7"/>
  <c r="L61" i="7"/>
  <c r="J61" i="7"/>
  <c r="H61" i="7"/>
  <c r="D61" i="7"/>
  <c r="C61" i="7"/>
  <c r="B61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O60" i="7"/>
  <c r="L60" i="7"/>
  <c r="J60" i="7"/>
  <c r="H60" i="7"/>
  <c r="D60" i="7"/>
  <c r="C60" i="7"/>
  <c r="B60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O59" i="7"/>
  <c r="L59" i="7"/>
  <c r="J59" i="7"/>
  <c r="H59" i="7"/>
  <c r="D59" i="7"/>
  <c r="C59" i="7"/>
  <c r="B59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O58" i="7"/>
  <c r="L58" i="7"/>
  <c r="J58" i="7"/>
  <c r="H58" i="7"/>
  <c r="D58" i="7"/>
  <c r="C58" i="7"/>
  <c r="B58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O57" i="7"/>
  <c r="L57" i="7"/>
  <c r="J57" i="7"/>
  <c r="H57" i="7"/>
  <c r="D57" i="7"/>
  <c r="C57" i="7"/>
  <c r="B57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O56" i="7"/>
  <c r="L56" i="7"/>
  <c r="J56" i="7"/>
  <c r="H56" i="7"/>
  <c r="D56" i="7"/>
  <c r="C56" i="7"/>
  <c r="B56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O55" i="7"/>
  <c r="L55" i="7"/>
  <c r="J55" i="7"/>
  <c r="H55" i="7"/>
  <c r="D55" i="7"/>
  <c r="C55" i="7"/>
  <c r="B55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O54" i="7"/>
  <c r="L54" i="7"/>
  <c r="J54" i="7"/>
  <c r="H54" i="7"/>
  <c r="D54" i="7"/>
  <c r="C54" i="7"/>
  <c r="B54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O53" i="7"/>
  <c r="L53" i="7"/>
  <c r="J53" i="7"/>
  <c r="H53" i="7"/>
  <c r="D53" i="7"/>
  <c r="C53" i="7"/>
  <c r="B53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O52" i="7"/>
  <c r="L52" i="7"/>
  <c r="J52" i="7"/>
  <c r="H52" i="7"/>
  <c r="D52" i="7"/>
  <c r="C52" i="7"/>
  <c r="B52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O51" i="7"/>
  <c r="L51" i="7"/>
  <c r="J51" i="7"/>
  <c r="H51" i="7"/>
  <c r="D51" i="7"/>
  <c r="C51" i="7"/>
  <c r="B51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O50" i="7"/>
  <c r="L50" i="7"/>
  <c r="J50" i="7"/>
  <c r="H50" i="7"/>
  <c r="D50" i="7"/>
  <c r="C50" i="7"/>
  <c r="B50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O49" i="7"/>
  <c r="L49" i="7"/>
  <c r="J49" i="7"/>
  <c r="H49" i="7"/>
  <c r="D49" i="7"/>
  <c r="C49" i="7"/>
  <c r="B49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O48" i="7"/>
  <c r="L48" i="7"/>
  <c r="J48" i="7"/>
  <c r="H48" i="7"/>
  <c r="D48" i="7"/>
  <c r="C48" i="7"/>
  <c r="B48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O47" i="7"/>
  <c r="L47" i="7"/>
  <c r="J47" i="7"/>
  <c r="H47" i="7"/>
  <c r="D47" i="7"/>
  <c r="C47" i="7"/>
  <c r="B47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O46" i="7"/>
  <c r="L46" i="7"/>
  <c r="J46" i="7"/>
  <c r="H46" i="7"/>
  <c r="D46" i="7"/>
  <c r="C46" i="7"/>
  <c r="B46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O45" i="7"/>
  <c r="L45" i="7"/>
  <c r="J45" i="7"/>
  <c r="H45" i="7"/>
  <c r="D45" i="7"/>
  <c r="C45" i="7"/>
  <c r="B45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O44" i="7"/>
  <c r="L44" i="7"/>
  <c r="J44" i="7"/>
  <c r="H44" i="7"/>
  <c r="D44" i="7"/>
  <c r="C44" i="7"/>
  <c r="B44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O43" i="7"/>
  <c r="L43" i="7"/>
  <c r="J43" i="7"/>
  <c r="H43" i="7"/>
  <c r="D43" i="7"/>
  <c r="C43" i="7"/>
  <c r="B43" i="7"/>
  <c r="AH42" i="7"/>
  <c r="AG42" i="7"/>
  <c r="AF42" i="7"/>
  <c r="AE42" i="7"/>
  <c r="AD42" i="7"/>
  <c r="AC42" i="7"/>
  <c r="O42" i="7"/>
  <c r="D42" i="7"/>
  <c r="C42" i="7"/>
  <c r="B42" i="7"/>
  <c r="AH41" i="7"/>
  <c r="AG41" i="7"/>
  <c r="AF41" i="7"/>
  <c r="AE41" i="7"/>
  <c r="AD41" i="7"/>
  <c r="AC41" i="7"/>
  <c r="O41" i="7"/>
  <c r="D41" i="7"/>
  <c r="C41" i="7"/>
  <c r="AH40" i="7"/>
  <c r="AG40" i="7"/>
  <c r="AF40" i="7"/>
  <c r="AE40" i="7"/>
  <c r="AD40" i="7"/>
  <c r="AC40" i="7"/>
  <c r="O40" i="7"/>
  <c r="D40" i="7"/>
  <c r="C40" i="7"/>
  <c r="B40" i="7"/>
  <c r="AH39" i="7"/>
  <c r="AG39" i="7"/>
  <c r="AF39" i="7"/>
  <c r="AE39" i="7"/>
  <c r="AD39" i="7"/>
  <c r="AC39" i="7"/>
  <c r="O39" i="7"/>
  <c r="D39" i="7"/>
  <c r="C39" i="7"/>
  <c r="AH38" i="7"/>
  <c r="AG38" i="7"/>
  <c r="AF38" i="7"/>
  <c r="AE38" i="7"/>
  <c r="AD38" i="7"/>
  <c r="AC38" i="7"/>
  <c r="D38" i="7"/>
  <c r="C38" i="7"/>
  <c r="B38" i="7"/>
  <c r="AH37" i="7"/>
  <c r="AG37" i="7"/>
  <c r="AF37" i="7"/>
  <c r="AE37" i="7"/>
  <c r="AD37" i="7"/>
  <c r="AC37" i="7"/>
  <c r="D37" i="7"/>
  <c r="C37" i="7"/>
  <c r="AH36" i="7"/>
  <c r="AG36" i="7"/>
  <c r="AF36" i="7"/>
  <c r="AE36" i="7"/>
  <c r="AD36" i="7"/>
  <c r="AC36" i="7"/>
  <c r="D36" i="7"/>
  <c r="C36" i="7"/>
  <c r="B36" i="7"/>
  <c r="AH35" i="7"/>
  <c r="AG35" i="7"/>
  <c r="AF35" i="7"/>
  <c r="AE35" i="7"/>
  <c r="AD35" i="7"/>
  <c r="AC35" i="7"/>
  <c r="D35" i="7"/>
  <c r="C35" i="7"/>
  <c r="AH34" i="7"/>
  <c r="AG34" i="7"/>
  <c r="AF34" i="7"/>
  <c r="AE34" i="7"/>
  <c r="AD34" i="7"/>
  <c r="AC34" i="7"/>
  <c r="D34" i="7"/>
  <c r="C34" i="7"/>
  <c r="B34" i="7"/>
  <c r="AH33" i="7"/>
  <c r="AG33" i="7"/>
  <c r="AF33" i="7"/>
  <c r="AE33" i="7"/>
  <c r="AD33" i="7"/>
  <c r="AC33" i="7"/>
  <c r="D33" i="7"/>
  <c r="C33" i="7"/>
  <c r="AH32" i="7"/>
  <c r="AG32" i="7"/>
  <c r="AF32" i="7"/>
  <c r="AE32" i="7"/>
  <c r="AD32" i="7"/>
  <c r="AC32" i="7"/>
  <c r="D32" i="7"/>
  <c r="C32" i="7"/>
  <c r="B32" i="7"/>
  <c r="AH31" i="7"/>
  <c r="AG31" i="7"/>
  <c r="AF31" i="7"/>
  <c r="AE31" i="7"/>
  <c r="AD31" i="7"/>
  <c r="AC31" i="7"/>
  <c r="D31" i="7"/>
  <c r="C31" i="7"/>
  <c r="AH30" i="7"/>
  <c r="AG30" i="7"/>
  <c r="AF30" i="7"/>
  <c r="AE30" i="7"/>
  <c r="AD30" i="7"/>
  <c r="AC30" i="7"/>
  <c r="D30" i="7"/>
  <c r="C30" i="7"/>
  <c r="B30" i="7"/>
  <c r="AH29" i="7"/>
  <c r="AG29" i="7"/>
  <c r="AF29" i="7"/>
  <c r="AE29" i="7"/>
  <c r="AD29" i="7"/>
  <c r="AC29" i="7"/>
  <c r="D29" i="7"/>
  <c r="C29" i="7"/>
  <c r="B29" i="7"/>
  <c r="AH28" i="7"/>
  <c r="AG28" i="7"/>
  <c r="AF28" i="7"/>
  <c r="AE28" i="7"/>
  <c r="AD28" i="7"/>
  <c r="AC28" i="7"/>
  <c r="D28" i="7"/>
  <c r="C28" i="7"/>
  <c r="AH27" i="7"/>
  <c r="AG27" i="7"/>
  <c r="AF27" i="7"/>
  <c r="AE27" i="7"/>
  <c r="AD27" i="7"/>
  <c r="AC27" i="7"/>
  <c r="O27" i="7"/>
  <c r="D27" i="7"/>
  <c r="C27" i="7"/>
  <c r="B27" i="7"/>
  <c r="AH26" i="7"/>
  <c r="AG26" i="7"/>
  <c r="AF26" i="7"/>
  <c r="AE26" i="7"/>
  <c r="AD26" i="7"/>
  <c r="AC26" i="7"/>
  <c r="O26" i="7"/>
  <c r="D26" i="7"/>
  <c r="C26" i="7"/>
  <c r="AH25" i="7"/>
  <c r="N6" i="33" s="1"/>
  <c r="AG25" i="7"/>
  <c r="L6" i="33" s="1"/>
  <c r="AF25" i="7"/>
  <c r="AE25" i="7"/>
  <c r="H6" i="33" s="1"/>
  <c r="AD25" i="7"/>
  <c r="F6" i="33" s="1"/>
  <c r="AC25" i="7"/>
  <c r="D6" i="33" s="1"/>
  <c r="O25" i="7"/>
  <c r="D25" i="7"/>
  <c r="C25" i="7"/>
  <c r="B25" i="7"/>
  <c r="AH24" i="7"/>
  <c r="AG24" i="7"/>
  <c r="AF24" i="7"/>
  <c r="AE24" i="7"/>
  <c r="AD24" i="7"/>
  <c r="AC24" i="7"/>
  <c r="O24" i="7"/>
  <c r="D24" i="7"/>
  <c r="C24" i="7"/>
  <c r="AH23" i="7"/>
  <c r="AG23" i="7"/>
  <c r="AF23" i="7"/>
  <c r="AE23" i="7"/>
  <c r="AD23" i="7"/>
  <c r="AC23" i="7"/>
  <c r="O23" i="7"/>
  <c r="D23" i="7"/>
  <c r="C23" i="7"/>
  <c r="B23" i="7"/>
  <c r="AH22" i="7"/>
  <c r="AG22" i="7"/>
  <c r="AF22" i="7"/>
  <c r="AE22" i="7"/>
  <c r="AD22" i="7"/>
  <c r="AC22" i="7"/>
  <c r="O22" i="7"/>
  <c r="D22" i="7"/>
  <c r="C22" i="7"/>
  <c r="AH21" i="7"/>
  <c r="AG21" i="7"/>
  <c r="AF21" i="7"/>
  <c r="AE21" i="7"/>
  <c r="AD21" i="7"/>
  <c r="AC21" i="7"/>
  <c r="O21" i="7"/>
  <c r="D21" i="7"/>
  <c r="C21" i="7"/>
  <c r="B21" i="7"/>
  <c r="AH20" i="7"/>
  <c r="AG20" i="7"/>
  <c r="AF20" i="7"/>
  <c r="AE20" i="7"/>
  <c r="AD20" i="7"/>
  <c r="AC20" i="7"/>
  <c r="O20" i="7"/>
  <c r="D20" i="7"/>
  <c r="C20" i="7"/>
  <c r="AH19" i="7"/>
  <c r="AG19" i="7"/>
  <c r="AF19" i="7"/>
  <c r="AE19" i="7"/>
  <c r="AD19" i="7"/>
  <c r="AC19" i="7"/>
  <c r="O19" i="7"/>
  <c r="D19" i="7"/>
  <c r="C19" i="7"/>
  <c r="B19" i="7"/>
  <c r="AH18" i="7"/>
  <c r="AG18" i="7"/>
  <c r="AF18" i="7"/>
  <c r="AE18" i="7"/>
  <c r="AD18" i="7"/>
  <c r="AC18" i="7"/>
  <c r="O18" i="7"/>
  <c r="D18" i="7"/>
  <c r="C18" i="7"/>
  <c r="B18" i="7"/>
  <c r="AH17" i="7"/>
  <c r="AG17" i="7"/>
  <c r="AF17" i="7"/>
  <c r="AE17" i="7"/>
  <c r="AD17" i="7"/>
  <c r="AC17" i="7"/>
  <c r="L17" i="7"/>
  <c r="J17" i="7"/>
  <c r="H17" i="7"/>
  <c r="D17" i="7"/>
  <c r="C17" i="7"/>
  <c r="B17" i="7"/>
  <c r="AH16" i="7"/>
  <c r="AG16" i="7"/>
  <c r="AF16" i="7"/>
  <c r="AE16" i="7"/>
  <c r="AD16" i="7"/>
  <c r="AC16" i="7"/>
  <c r="L16" i="7"/>
  <c r="J16" i="7"/>
  <c r="H16" i="7"/>
  <c r="D16" i="7"/>
  <c r="C16" i="7"/>
  <c r="AH15" i="7"/>
  <c r="AG15" i="7"/>
  <c r="AF15" i="7"/>
  <c r="AE15" i="7"/>
  <c r="AD15" i="7"/>
  <c r="AC15" i="7"/>
  <c r="L15" i="7"/>
  <c r="J15" i="7"/>
  <c r="H15" i="7"/>
  <c r="D15" i="7"/>
  <c r="C15" i="7"/>
  <c r="B15" i="7"/>
  <c r="AH14" i="7"/>
  <c r="AG14" i="7"/>
  <c r="AF14" i="7"/>
  <c r="AE14" i="7"/>
  <c r="AD14" i="7"/>
  <c r="AC14" i="7"/>
  <c r="L14" i="7"/>
  <c r="J14" i="7"/>
  <c r="H14" i="7"/>
  <c r="D14" i="7"/>
  <c r="C14" i="7"/>
  <c r="B14" i="7"/>
  <c r="AH13" i="7"/>
  <c r="AG13" i="7"/>
  <c r="AF13" i="7"/>
  <c r="AE13" i="7"/>
  <c r="AD13" i="7"/>
  <c r="AC13" i="7"/>
  <c r="L13" i="7"/>
  <c r="J13" i="7"/>
  <c r="H13" i="7"/>
  <c r="D13" i="7"/>
  <c r="C13" i="7"/>
  <c r="AH12" i="7"/>
  <c r="AG12" i="7"/>
  <c r="AF12" i="7"/>
  <c r="AE12" i="7"/>
  <c r="AD12" i="7"/>
  <c r="AC12" i="7"/>
  <c r="L12" i="7"/>
  <c r="J12" i="7"/>
  <c r="H12" i="7"/>
  <c r="D12" i="7"/>
  <c r="C12" i="7"/>
  <c r="B12" i="7"/>
  <c r="AH11" i="7"/>
  <c r="AG11" i="7"/>
  <c r="AF11" i="7"/>
  <c r="AE11" i="7"/>
  <c r="AD11" i="7"/>
  <c r="AC11" i="7"/>
  <c r="L11" i="7"/>
  <c r="J11" i="7"/>
  <c r="H11" i="7"/>
  <c r="D11" i="7"/>
  <c r="C11" i="7"/>
  <c r="AH10" i="7"/>
  <c r="AG10" i="7"/>
  <c r="AF10" i="7"/>
  <c r="AE10" i="7"/>
  <c r="AD10" i="7"/>
  <c r="AC10" i="7"/>
  <c r="L10" i="7"/>
  <c r="J10" i="7"/>
  <c r="H10" i="7"/>
  <c r="D10" i="7"/>
  <c r="C10" i="7"/>
  <c r="B10" i="7"/>
  <c r="AH9" i="7"/>
  <c r="AG9" i="7"/>
  <c r="AF9" i="7"/>
  <c r="AE9" i="7"/>
  <c r="AD9" i="7"/>
  <c r="AC9" i="7"/>
  <c r="L9" i="7"/>
  <c r="J9" i="7"/>
  <c r="H9" i="7"/>
  <c r="D9" i="7"/>
  <c r="C9" i="7"/>
  <c r="AH8" i="7"/>
  <c r="AG8" i="7"/>
  <c r="AF8" i="7"/>
  <c r="AE8" i="7"/>
  <c r="AD8" i="7"/>
  <c r="AC8" i="7"/>
  <c r="R8" i="7"/>
  <c r="L8" i="7"/>
  <c r="J8" i="7"/>
  <c r="H8" i="7"/>
  <c r="D8" i="7"/>
  <c r="C8" i="7"/>
  <c r="B8" i="7"/>
  <c r="AH7" i="7"/>
  <c r="AG7" i="7"/>
  <c r="AF7" i="7"/>
  <c r="AE7" i="7"/>
  <c r="AD7" i="7"/>
  <c r="AC7" i="7"/>
  <c r="R7" i="7"/>
  <c r="L7" i="7"/>
  <c r="J7" i="7"/>
  <c r="H7" i="7"/>
  <c r="D7" i="7"/>
  <c r="C7" i="7"/>
  <c r="AH6" i="7"/>
  <c r="AG6" i="7"/>
  <c r="AF6" i="7"/>
  <c r="AE6" i="7"/>
  <c r="AD6" i="7"/>
  <c r="AC6" i="7"/>
  <c r="V6" i="7"/>
  <c r="R6" i="7"/>
  <c r="L6" i="7"/>
  <c r="J6" i="7"/>
  <c r="H6" i="7"/>
  <c r="D6" i="7"/>
  <c r="C6" i="7"/>
  <c r="B6" i="7"/>
  <c r="AH5" i="7"/>
  <c r="AG5" i="7"/>
  <c r="AF5" i="7"/>
  <c r="AE5" i="7"/>
  <c r="AD5" i="7"/>
  <c r="AC5" i="7"/>
  <c r="V5" i="7"/>
  <c r="U5" i="7"/>
  <c r="T5" i="7"/>
  <c r="S5" i="7"/>
  <c r="R5" i="7"/>
  <c r="Q5" i="7"/>
  <c r="L5" i="7"/>
  <c r="J5" i="7"/>
  <c r="H5" i="7"/>
  <c r="D5" i="7"/>
  <c r="C5" i="7"/>
  <c r="B5" i="7"/>
  <c r="AD4" i="7"/>
  <c r="AC4" i="7"/>
  <c r="X4" i="7"/>
  <c r="R4" i="7"/>
  <c r="Q4" i="7"/>
  <c r="J4" i="7"/>
  <c r="H4" i="7"/>
  <c r="D4" i="7"/>
  <c r="C4" i="7"/>
  <c r="B4" i="7"/>
  <c r="AC26" i="13"/>
  <c r="H7" i="13" s="1"/>
  <c r="A26" i="13"/>
  <c r="Y26" i="13" s="1"/>
  <c r="H5" i="13" s="1"/>
  <c r="C13" i="13"/>
  <c r="C8" i="13"/>
  <c r="C26" i="13" l="1"/>
  <c r="C5" i="13" s="1"/>
  <c r="G7" i="13"/>
  <c r="G5" i="13"/>
  <c r="C5" i="11"/>
  <c r="D5" i="11" s="1"/>
  <c r="H6" i="11"/>
  <c r="Q6" i="25"/>
  <c r="G6" i="25" s="1"/>
  <c r="P6" i="25"/>
  <c r="U6" i="7"/>
  <c r="E5" i="25"/>
  <c r="AA5" i="7"/>
  <c r="A25" i="13"/>
  <c r="G5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I19" i="11"/>
  <c r="B20" i="7"/>
  <c r="I21" i="11"/>
  <c r="B22" i="7"/>
  <c r="I23" i="11"/>
  <c r="B24" i="7"/>
  <c r="I25" i="11"/>
  <c r="B26" i="7"/>
  <c r="I27" i="11"/>
  <c r="B28" i="7"/>
  <c r="A18" i="24"/>
  <c r="AE17" i="24"/>
  <c r="AF17" i="24"/>
  <c r="A6" i="26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H7" i="26"/>
  <c r="F7" i="26"/>
  <c r="P8" i="26"/>
  <c r="Q8" i="26"/>
  <c r="G8" i="26" s="1"/>
  <c r="I8" i="11"/>
  <c r="B9" i="7"/>
  <c r="I12" i="11"/>
  <c r="B13" i="7"/>
  <c r="H8" i="26"/>
  <c r="I6" i="11"/>
  <c r="B7" i="7"/>
  <c r="I10" i="11"/>
  <c r="B11" i="7"/>
  <c r="AE17" i="25"/>
  <c r="A18" i="25"/>
  <c r="AF17" i="25"/>
  <c r="F18" i="25" s="1"/>
  <c r="G6" i="26"/>
  <c r="AF17" i="27"/>
  <c r="F18" i="27" s="1"/>
  <c r="AE17" i="27"/>
  <c r="A18" i="27"/>
  <c r="A15" i="28"/>
  <c r="A16" i="28" s="1"/>
  <c r="A17" i="28" s="1"/>
  <c r="AB26" i="13"/>
  <c r="H12" i="13" s="1"/>
  <c r="G26" i="13"/>
  <c r="AD26" i="13"/>
  <c r="H13" i="13" s="1"/>
  <c r="Z26" i="13"/>
  <c r="H11" i="13" s="1"/>
  <c r="I26" i="13"/>
  <c r="D26" i="13"/>
  <c r="C4" i="13" s="1"/>
  <c r="C6" i="13" s="1"/>
  <c r="AA26" i="13"/>
  <c r="H6" i="13" s="1"/>
  <c r="E4" i="11"/>
  <c r="W4" i="7"/>
  <c r="E5" i="11"/>
  <c r="W5" i="7"/>
  <c r="I15" i="11"/>
  <c r="B16" i="7"/>
  <c r="I30" i="11"/>
  <c r="B31" i="7"/>
  <c r="I32" i="11"/>
  <c r="B33" i="7"/>
  <c r="I34" i="11"/>
  <c r="B35" i="7"/>
  <c r="I36" i="11"/>
  <c r="B37" i="7"/>
  <c r="B26" i="13" s="1"/>
  <c r="I38" i="11"/>
  <c r="B39" i="7"/>
  <c r="I40" i="11"/>
  <c r="B41" i="7"/>
  <c r="C3" i="24"/>
  <c r="D3" i="24" s="1"/>
  <c r="E4" i="24" s="1"/>
  <c r="P6" i="24"/>
  <c r="Q6" i="24"/>
  <c r="G6" i="24" s="1"/>
  <c r="S6" i="7"/>
  <c r="H7" i="24"/>
  <c r="C6" i="24"/>
  <c r="D6" i="24" s="1"/>
  <c r="H8" i="25"/>
  <c r="C4" i="26"/>
  <c r="D4" i="26" s="1"/>
  <c r="Q5" i="24"/>
  <c r="G5" i="24" s="1"/>
  <c r="C5" i="24" s="1"/>
  <c r="D5" i="24" s="1"/>
  <c r="T25" i="24"/>
  <c r="T41" i="24"/>
  <c r="U41" i="24" s="1"/>
  <c r="I41" i="24" s="1"/>
  <c r="G5" i="25"/>
  <c r="T7" i="25"/>
  <c r="U7" i="25" s="1"/>
  <c r="I7" i="25" s="1"/>
  <c r="U6" i="25"/>
  <c r="I6" i="25" s="1"/>
  <c r="T22" i="25"/>
  <c r="T38" i="25"/>
  <c r="G7" i="26"/>
  <c r="C7" i="26" s="1"/>
  <c r="D7" i="26" s="1"/>
  <c r="U16" i="26"/>
  <c r="I16" i="26" s="1"/>
  <c r="T17" i="26"/>
  <c r="U17" i="26"/>
  <c r="I17" i="26" s="1"/>
  <c r="T19" i="26"/>
  <c r="U19" i="26" s="1"/>
  <c r="I19" i="26" s="1"/>
  <c r="T21" i="26"/>
  <c r="U21" i="26" s="1"/>
  <c r="I21" i="26" s="1"/>
  <c r="U20" i="26"/>
  <c r="I20" i="26" s="1"/>
  <c r="T23" i="26"/>
  <c r="U23" i="26" s="1"/>
  <c r="I23" i="26" s="1"/>
  <c r="U22" i="26"/>
  <c r="I22" i="26" s="1"/>
  <c r="T25" i="26"/>
  <c r="U25" i="26" s="1"/>
  <c r="I25" i="26" s="1"/>
  <c r="U24" i="26"/>
  <c r="I24" i="26" s="1"/>
  <c r="T27" i="26"/>
  <c r="U27" i="26" s="1"/>
  <c r="I27" i="26" s="1"/>
  <c r="U26" i="26"/>
  <c r="I26" i="26" s="1"/>
  <c r="T29" i="26"/>
  <c r="U29" i="26" s="1"/>
  <c r="I29" i="26" s="1"/>
  <c r="U28" i="26"/>
  <c r="I28" i="26" s="1"/>
  <c r="T31" i="26"/>
  <c r="U31" i="26" s="1"/>
  <c r="I31" i="26" s="1"/>
  <c r="U30" i="26"/>
  <c r="I30" i="26" s="1"/>
  <c r="T33" i="26"/>
  <c r="U33" i="26" s="1"/>
  <c r="I33" i="26" s="1"/>
  <c r="U32" i="26"/>
  <c r="I32" i="26" s="1"/>
  <c r="T35" i="26"/>
  <c r="U35" i="26" s="1"/>
  <c r="I35" i="26" s="1"/>
  <c r="U34" i="26"/>
  <c r="I34" i="26" s="1"/>
  <c r="T37" i="26"/>
  <c r="U37" i="26" s="1"/>
  <c r="I37" i="26" s="1"/>
  <c r="U36" i="26"/>
  <c r="I36" i="26" s="1"/>
  <c r="T39" i="26"/>
  <c r="U39" i="26" s="1"/>
  <c r="I39" i="26" s="1"/>
  <c r="U38" i="26"/>
  <c r="I38" i="26" s="1"/>
  <c r="T41" i="26"/>
  <c r="U41" i="26" s="1"/>
  <c r="I41" i="26" s="1"/>
  <c r="U40" i="26"/>
  <c r="I40" i="26" s="1"/>
  <c r="H5" i="27"/>
  <c r="T6" i="27"/>
  <c r="U6" i="27" s="1"/>
  <c r="I6" i="27" s="1"/>
  <c r="U5" i="27"/>
  <c r="I5" i="27" s="1"/>
  <c r="U41" i="27"/>
  <c r="I41" i="27" s="1"/>
  <c r="T13" i="28"/>
  <c r="U13" i="28" s="1"/>
  <c r="I13" i="28" s="1"/>
  <c r="U12" i="28"/>
  <c r="I12" i="28" s="1"/>
  <c r="U4" i="24"/>
  <c r="I4" i="24" s="1"/>
  <c r="C4" i="24" s="1"/>
  <c r="D4" i="24" s="1"/>
  <c r="U17" i="24"/>
  <c r="I17" i="24" s="1"/>
  <c r="T24" i="24"/>
  <c r="U24" i="24" s="1"/>
  <c r="I24" i="24" s="1"/>
  <c r="U25" i="24"/>
  <c r="I25" i="24" s="1"/>
  <c r="T29" i="24"/>
  <c r="U29" i="24" s="1"/>
  <c r="I29" i="24" s="1"/>
  <c r="U28" i="24"/>
  <c r="I28" i="24" s="1"/>
  <c r="T40" i="24"/>
  <c r="U40" i="24" s="1"/>
  <c r="I40" i="24" s="1"/>
  <c r="C6" i="25"/>
  <c r="D6" i="25" s="1"/>
  <c r="T15" i="25"/>
  <c r="T21" i="25"/>
  <c r="U21" i="25" s="1"/>
  <c r="I21" i="25" s="1"/>
  <c r="U22" i="25"/>
  <c r="I22" i="25" s="1"/>
  <c r="T26" i="25"/>
  <c r="U26" i="25" s="1"/>
  <c r="I26" i="25" s="1"/>
  <c r="U25" i="25"/>
  <c r="I25" i="25" s="1"/>
  <c r="T37" i="25"/>
  <c r="U37" i="25" s="1"/>
  <c r="I37" i="25" s="1"/>
  <c r="U38" i="25"/>
  <c r="I38" i="25" s="1"/>
  <c r="U41" i="25"/>
  <c r="I41" i="25" s="1"/>
  <c r="U6" i="26"/>
  <c r="I6" i="26" s="1"/>
  <c r="U8" i="26"/>
  <c r="I8" i="26" s="1"/>
  <c r="T11" i="26"/>
  <c r="U11" i="26" s="1"/>
  <c r="I11" i="26" s="1"/>
  <c r="T18" i="26"/>
  <c r="U18" i="26" s="1"/>
  <c r="I18" i="26" s="1"/>
  <c r="C3" i="27"/>
  <c r="D3" i="27" s="1"/>
  <c r="E4" i="27" s="1"/>
  <c r="T11" i="27"/>
  <c r="U11" i="27" s="1"/>
  <c r="I11" i="27" s="1"/>
  <c r="U16" i="27"/>
  <c r="I16" i="27" s="1"/>
  <c r="T22" i="27"/>
  <c r="U21" i="27"/>
  <c r="I21" i="27" s="1"/>
  <c r="T26" i="27"/>
  <c r="U25" i="27"/>
  <c r="I25" i="27" s="1"/>
  <c r="T30" i="27"/>
  <c r="U30" i="27" s="1"/>
  <c r="I30" i="27" s="1"/>
  <c r="U29" i="27"/>
  <c r="I29" i="27" s="1"/>
  <c r="U33" i="27"/>
  <c r="I33" i="27" s="1"/>
  <c r="G5" i="28"/>
  <c r="U7" i="28"/>
  <c r="I7" i="28" s="1"/>
  <c r="T15" i="28"/>
  <c r="U15" i="28" s="1"/>
  <c r="I15" i="28" s="1"/>
  <c r="U14" i="28"/>
  <c r="I14" i="28" s="1"/>
  <c r="P5" i="11"/>
  <c r="T33" i="24"/>
  <c r="U32" i="24"/>
  <c r="I32" i="24" s="1"/>
  <c r="U15" i="25"/>
  <c r="I15" i="25" s="1"/>
  <c r="T30" i="25"/>
  <c r="U30" i="25" s="1"/>
  <c r="I30" i="25" s="1"/>
  <c r="U29" i="25"/>
  <c r="I29" i="25" s="1"/>
  <c r="F5" i="26"/>
  <c r="T13" i="26"/>
  <c r="U13" i="26" s="1"/>
  <c r="I13" i="26" s="1"/>
  <c r="U8" i="27"/>
  <c r="I8" i="27" s="1"/>
  <c r="T34" i="27"/>
  <c r="U34" i="27" s="1"/>
  <c r="I34" i="27" s="1"/>
  <c r="G6" i="28"/>
  <c r="T21" i="24"/>
  <c r="U21" i="24" s="1"/>
  <c r="I21" i="24" s="1"/>
  <c r="U20" i="24"/>
  <c r="I20" i="24" s="1"/>
  <c r="U33" i="24"/>
  <c r="I33" i="24" s="1"/>
  <c r="T37" i="24"/>
  <c r="U37" i="24" s="1"/>
  <c r="I37" i="24" s="1"/>
  <c r="U36" i="24"/>
  <c r="I36" i="24" s="1"/>
  <c r="C5" i="25"/>
  <c r="D5" i="25" s="1"/>
  <c r="T12" i="25"/>
  <c r="U12" i="25" s="1"/>
  <c r="I12" i="25" s="1"/>
  <c r="U11" i="25"/>
  <c r="I11" i="25" s="1"/>
  <c r="T34" i="25"/>
  <c r="U34" i="25" s="1"/>
  <c r="I34" i="25" s="1"/>
  <c r="U33" i="25"/>
  <c r="I33" i="25" s="1"/>
  <c r="C5" i="26"/>
  <c r="D5" i="26" s="1"/>
  <c r="T15" i="26"/>
  <c r="U15" i="26" s="1"/>
  <c r="I15" i="26" s="1"/>
  <c r="U4" i="27"/>
  <c r="I4" i="27" s="1"/>
  <c r="C4" i="27" s="1"/>
  <c r="D4" i="27" s="1"/>
  <c r="T5" i="27"/>
  <c r="T10" i="27"/>
  <c r="U10" i="27" s="1"/>
  <c r="I10" i="27" s="1"/>
  <c r="U9" i="27"/>
  <c r="I9" i="27" s="1"/>
  <c r="T14" i="27"/>
  <c r="U14" i="27" s="1"/>
  <c r="I14" i="27" s="1"/>
  <c r="U13" i="27"/>
  <c r="I13" i="27" s="1"/>
  <c r="P5" i="27"/>
  <c r="U15" i="27"/>
  <c r="I15" i="27" s="1"/>
  <c r="T32" i="27"/>
  <c r="T40" i="27"/>
  <c r="C5" i="28"/>
  <c r="D5" i="28" s="1"/>
  <c r="H6" i="28"/>
  <c r="T29" i="28"/>
  <c r="U29" i="28" s="1"/>
  <c r="I29" i="28" s="1"/>
  <c r="BM16" i="32"/>
  <c r="AU16" i="32"/>
  <c r="BX15" i="32"/>
  <c r="BN19" i="32"/>
  <c r="BN18" i="32"/>
  <c r="T38" i="27"/>
  <c r="C3" i="28"/>
  <c r="D3" i="28" s="1"/>
  <c r="E4" i="28" s="1"/>
  <c r="P6" i="28"/>
  <c r="U16" i="28"/>
  <c r="I16" i="28" s="1"/>
  <c r="T25" i="28"/>
  <c r="U25" i="28" s="1"/>
  <c r="I25" i="28" s="1"/>
  <c r="T27" i="28"/>
  <c r="U27" i="28" s="1"/>
  <c r="I27" i="28" s="1"/>
  <c r="CB5" i="32"/>
  <c r="BT19" i="32"/>
  <c r="U18" i="27"/>
  <c r="I18" i="27" s="1"/>
  <c r="U22" i="27"/>
  <c r="I22" i="27" s="1"/>
  <c r="U26" i="27"/>
  <c r="I26" i="27" s="1"/>
  <c r="U3" i="28"/>
  <c r="I3" i="28" s="1"/>
  <c r="T4" i="28"/>
  <c r="U4" i="28" s="1"/>
  <c r="I4" i="28" s="1"/>
  <c r="G4" i="28"/>
  <c r="R16" i="28"/>
  <c r="R17" i="28"/>
  <c r="T21" i="28"/>
  <c r="U21" i="28" s="1"/>
  <c r="I21" i="28" s="1"/>
  <c r="T23" i="28"/>
  <c r="CF4" i="32"/>
  <c r="CF5" i="32"/>
  <c r="AO16" i="32"/>
  <c r="AU14" i="32"/>
  <c r="BZ14" i="32"/>
  <c r="AU17" i="32"/>
  <c r="U17" i="28"/>
  <c r="I17" i="28" s="1"/>
  <c r="BR10" i="32"/>
  <c r="BR9" i="32"/>
  <c r="BR8" i="32"/>
  <c r="BR7" i="32"/>
  <c r="BR6" i="32"/>
  <c r="BR5" i="32"/>
  <c r="BR4" i="32"/>
  <c r="BL10" i="32"/>
  <c r="BL9" i="32"/>
  <c r="BL8" i="32"/>
  <c r="BL7" i="32"/>
  <c r="BL6" i="32"/>
  <c r="BL5" i="32"/>
  <c r="BX4" i="32"/>
  <c r="BL4" i="32"/>
  <c r="BX5" i="32"/>
  <c r="BY9" i="32"/>
  <c r="BR13" i="32"/>
  <c r="BR12" i="32"/>
  <c r="BR11" i="32"/>
  <c r="BL13" i="32"/>
  <c r="BL12" i="32"/>
  <c r="BX11" i="32"/>
  <c r="BL11" i="32"/>
  <c r="BJ17" i="32"/>
  <c r="BX12" i="32"/>
  <c r="BY19" i="32"/>
  <c r="BX37" i="32"/>
  <c r="U32" i="28"/>
  <c r="I32" i="28" s="1"/>
  <c r="U36" i="28"/>
  <c r="I36" i="28" s="1"/>
  <c r="U40" i="28"/>
  <c r="I40" i="28" s="1"/>
  <c r="AQ4" i="32"/>
  <c r="AG17" i="24" s="1"/>
  <c r="AU4" i="32"/>
  <c r="BO4" i="32"/>
  <c r="BS4" i="32"/>
  <c r="AQ5" i="32"/>
  <c r="AU5" i="32"/>
  <c r="BO5" i="32"/>
  <c r="BS5" i="32"/>
  <c r="AQ6" i="32"/>
  <c r="AU6" i="32"/>
  <c r="BO6" i="32"/>
  <c r="BS6" i="32"/>
  <c r="AQ7" i="32"/>
  <c r="AU7" i="32"/>
  <c r="BO7" i="32"/>
  <c r="BS7" i="32"/>
  <c r="AQ8" i="32"/>
  <c r="AU8" i="32"/>
  <c r="BO8" i="32"/>
  <c r="BS8" i="32"/>
  <c r="AQ9" i="32"/>
  <c r="AU9" i="32"/>
  <c r="BO9" i="32"/>
  <c r="BS9" i="32"/>
  <c r="AQ10" i="32"/>
  <c r="AU10" i="32"/>
  <c r="BO10" i="32"/>
  <c r="BS10" i="32"/>
  <c r="AQ11" i="32"/>
  <c r="AU11" i="32"/>
  <c r="BO11" i="32"/>
  <c r="BS11" i="32"/>
  <c r="AQ12" i="32"/>
  <c r="AU12" i="32"/>
  <c r="BO12" i="32"/>
  <c r="BS12" i="32"/>
  <c r="AQ13" i="32"/>
  <c r="AU13" i="32"/>
  <c r="BO13" i="32"/>
  <c r="BS13" i="32"/>
  <c r="AG14" i="32"/>
  <c r="BE14" i="32"/>
  <c r="AU15" i="32"/>
  <c r="AQ17" i="32"/>
  <c r="AG18" i="32"/>
  <c r="AS20" i="32" s="1"/>
  <c r="BE18" i="32"/>
  <c r="BQ24" i="32" s="1"/>
  <c r="BP20" i="32"/>
  <c r="BH23" i="32"/>
  <c r="BZ23" i="32" s="1"/>
  <c r="BD23" i="32"/>
  <c r="BV23" i="32" s="1"/>
  <c r="AF23" i="32"/>
  <c r="BG23" i="32"/>
  <c r="BC23" i="32"/>
  <c r="BU23" i="32" s="1"/>
  <c r="AI23" i="32"/>
  <c r="AE23" i="32"/>
  <c r="BF23" i="32"/>
  <c r="BX23" i="32" s="1"/>
  <c r="AH23" i="32"/>
  <c r="AT24" i="32" s="1"/>
  <c r="AD23" i="32"/>
  <c r="BE23" i="32"/>
  <c r="BW23" i="32" s="1"/>
  <c r="BW24" i="32"/>
  <c r="AJ31" i="32"/>
  <c r="AJ30" i="32"/>
  <c r="AJ29" i="32"/>
  <c r="AJ28" i="32"/>
  <c r="AJ27" i="32"/>
  <c r="AJ26" i="32"/>
  <c r="AJ25" i="32"/>
  <c r="AP27" i="32"/>
  <c r="AP30" i="32"/>
  <c r="BR30" i="32"/>
  <c r="AP31" i="32"/>
  <c r="BR31" i="32"/>
  <c r="AO33" i="32"/>
  <c r="AU33" i="32"/>
  <c r="AU32" i="32"/>
  <c r="U38" i="27"/>
  <c r="I38" i="27" s="1"/>
  <c r="AR4" i="32"/>
  <c r="AG17" i="25" s="1"/>
  <c r="K18" i="25" s="1"/>
  <c r="BP4" i="32"/>
  <c r="AG17" i="27" s="1"/>
  <c r="K18" i="27" s="1"/>
  <c r="BT4" i="32"/>
  <c r="AR5" i="32"/>
  <c r="BP5" i="32"/>
  <c r="BT5" i="32"/>
  <c r="AR6" i="32"/>
  <c r="BP6" i="32"/>
  <c r="BT6" i="32"/>
  <c r="AR7" i="32"/>
  <c r="BP7" i="32"/>
  <c r="BT7" i="32"/>
  <c r="AJ8" i="32"/>
  <c r="CB8" i="32" s="1"/>
  <c r="AN8" i="32"/>
  <c r="AR8" i="32"/>
  <c r="BP8" i="32"/>
  <c r="BT8" i="32"/>
  <c r="AJ9" i="32"/>
  <c r="AR9" i="32"/>
  <c r="BP9" i="32"/>
  <c r="BT9" i="32"/>
  <c r="AJ10" i="32"/>
  <c r="CB10" i="32" s="1"/>
  <c r="AR10" i="32"/>
  <c r="BP10" i="32"/>
  <c r="BT10" i="32"/>
  <c r="AR11" i="32"/>
  <c r="BP11" i="32"/>
  <c r="BT11" i="32"/>
  <c r="AR12" i="32"/>
  <c r="BP12" i="32"/>
  <c r="BT12" i="32"/>
  <c r="AR13" i="32"/>
  <c r="BP13" i="32"/>
  <c r="BT13" i="32"/>
  <c r="AD14" i="32"/>
  <c r="AH14" i="32"/>
  <c r="BF14" i="32"/>
  <c r="BX14" i="32" s="1"/>
  <c r="BN14" i="32"/>
  <c r="O15" i="32"/>
  <c r="BT15" i="32"/>
  <c r="BS16" i="32"/>
  <c r="CM16" i="32"/>
  <c r="O17" i="32"/>
  <c r="O23" i="32"/>
  <c r="O37" i="7" s="1"/>
  <c r="O24" i="32"/>
  <c r="O22" i="32"/>
  <c r="BQ20" i="32"/>
  <c r="AD18" i="32"/>
  <c r="AH18" i="32"/>
  <c r="AP18" i="32"/>
  <c r="BF18" i="32"/>
  <c r="BR23" i="32" s="1"/>
  <c r="O19" i="32"/>
  <c r="AT21" i="32"/>
  <c r="O20" i="32"/>
  <c r="O34" i="7" s="1"/>
  <c r="O21" i="32"/>
  <c r="O35" i="7" s="1"/>
  <c r="AG23" i="32"/>
  <c r="BX24" i="32"/>
  <c r="AP26" i="32"/>
  <c r="AP29" i="32"/>
  <c r="BR29" i="32"/>
  <c r="AT30" i="32"/>
  <c r="BI37" i="32"/>
  <c r="BO35" i="32"/>
  <c r="BI33" i="32"/>
  <c r="BO38" i="32"/>
  <c r="BI38" i="32"/>
  <c r="BU32" i="32"/>
  <c r="BO32" i="32"/>
  <c r="BO37" i="32"/>
  <c r="BI35" i="32"/>
  <c r="BO34" i="32"/>
  <c r="BI34" i="32"/>
  <c r="BI32" i="32"/>
  <c r="AO32" i="32"/>
  <c r="BQ32" i="32"/>
  <c r="BK32" i="32"/>
  <c r="BU34" i="32"/>
  <c r="BS34" i="32"/>
  <c r="BG35" i="32"/>
  <c r="BC35" i="32"/>
  <c r="AI35" i="32"/>
  <c r="BZ35" i="32" s="1"/>
  <c r="AE35" i="32"/>
  <c r="BF35" i="32"/>
  <c r="BX35" i="32" s="1"/>
  <c r="AG35" i="32"/>
  <c r="BE35" i="32"/>
  <c r="AF35" i="32"/>
  <c r="BD35" i="32"/>
  <c r="AD35" i="32"/>
  <c r="BM35" i="32"/>
  <c r="BF38" i="32"/>
  <c r="AH38" i="32"/>
  <c r="BY38" i="32" s="1"/>
  <c r="AD38" i="32"/>
  <c r="BE38" i="32"/>
  <c r="AG38" i="32"/>
  <c r="BD38" i="32"/>
  <c r="BV38" i="32" s="1"/>
  <c r="AF38" i="32"/>
  <c r="BH38" i="32"/>
  <c r="BC38" i="32"/>
  <c r="AE38" i="32"/>
  <c r="BL40" i="32"/>
  <c r="BR44" i="32"/>
  <c r="BL43" i="32"/>
  <c r="BL41" i="32"/>
  <c r="BR39" i="32"/>
  <c r="BL39" i="32"/>
  <c r="BL42" i="32"/>
  <c r="BR41" i="32"/>
  <c r="BX39" i="32"/>
  <c r="BR40" i="32"/>
  <c r="AG4" i="32"/>
  <c r="AK4" i="32"/>
  <c r="AO4" i="32"/>
  <c r="CG4" i="32" s="1"/>
  <c r="BE4" i="32"/>
  <c r="BI4" i="32"/>
  <c r="CB4" i="32" s="1"/>
  <c r="BM4" i="32"/>
  <c r="BU4" i="32"/>
  <c r="BY4" i="32"/>
  <c r="AG5" i="32"/>
  <c r="AK5" i="32"/>
  <c r="AO5" i="32"/>
  <c r="CG5" i="32" s="1"/>
  <c r="BE5" i="32"/>
  <c r="BW5" i="32" s="1"/>
  <c r="BI5" i="32"/>
  <c r="BM5" i="32"/>
  <c r="AG6" i="32"/>
  <c r="BX6" i="32" s="1"/>
  <c r="AK6" i="32"/>
  <c r="CC6" i="32" s="1"/>
  <c r="AO6" i="32"/>
  <c r="CG6" i="32" s="1"/>
  <c r="BE6" i="32"/>
  <c r="BW6" i="32" s="1"/>
  <c r="BI6" i="32"/>
  <c r="CB6" i="32" s="1"/>
  <c r="BM6" i="32"/>
  <c r="CF6" i="32" s="1"/>
  <c r="AG7" i="32"/>
  <c r="BX7" i="32" s="1"/>
  <c r="AK7" i="32"/>
  <c r="AO7" i="32"/>
  <c r="BE7" i="32"/>
  <c r="BW7" i="32" s="1"/>
  <c r="BI7" i="32"/>
  <c r="CB7" i="32" s="1"/>
  <c r="BM7" i="32"/>
  <c r="CF7" i="32" s="1"/>
  <c r="AG8" i="32"/>
  <c r="BX8" i="32" s="1"/>
  <c r="AK8" i="32"/>
  <c r="CC8" i="32" s="1"/>
  <c r="AO8" i="32"/>
  <c r="BE8" i="32"/>
  <c r="BW8" i="32" s="1"/>
  <c r="BI8" i="32"/>
  <c r="BM8" i="32"/>
  <c r="AG9" i="32"/>
  <c r="BX9" i="32" s="1"/>
  <c r="AK9" i="32"/>
  <c r="AO9" i="32"/>
  <c r="CG9" i="32" s="1"/>
  <c r="BE9" i="32"/>
  <c r="BW9" i="32" s="1"/>
  <c r="BI9" i="32"/>
  <c r="BM9" i="32"/>
  <c r="AG10" i="32"/>
  <c r="BX10" i="32" s="1"/>
  <c r="BE10" i="32"/>
  <c r="BW10" i="32" s="1"/>
  <c r="AG11" i="32"/>
  <c r="AK11" i="32"/>
  <c r="AO11" i="32"/>
  <c r="BE11" i="32"/>
  <c r="BQ17" i="32" s="1"/>
  <c r="BI11" i="32"/>
  <c r="BM11" i="32"/>
  <c r="BY11" i="32"/>
  <c r="AG12" i="32"/>
  <c r="AK12" i="32"/>
  <c r="AO12" i="32"/>
  <c r="BE12" i="32"/>
  <c r="BW12" i="32" s="1"/>
  <c r="BI12" i="32"/>
  <c r="BM12" i="32"/>
  <c r="AG13" i="32"/>
  <c r="BX13" i="32" s="1"/>
  <c r="AK13" i="32"/>
  <c r="CC13" i="32" s="1"/>
  <c r="AO13" i="32"/>
  <c r="CG13" i="32" s="1"/>
  <c r="BE13" i="32"/>
  <c r="BW13" i="32" s="1"/>
  <c r="BI13" i="32"/>
  <c r="BM13" i="32"/>
  <c r="AE14" i="32"/>
  <c r="AK16" i="32" s="1"/>
  <c r="AI14" i="32"/>
  <c r="AO14" i="32" s="1"/>
  <c r="CG14" i="32" s="1"/>
  <c r="AQ14" i="32"/>
  <c r="BC14" i="32"/>
  <c r="BU14" i="32" s="1"/>
  <c r="BG14" i="32"/>
  <c r="BY14" i="32" s="1"/>
  <c r="BS14" i="32"/>
  <c r="CM14" i="32"/>
  <c r="AG15" i="32"/>
  <c r="AO15" i="32"/>
  <c r="CG15" i="32" s="1"/>
  <c r="BE15" i="32"/>
  <c r="BW15" i="32" s="1"/>
  <c r="O16" i="32"/>
  <c r="O30" i="7" s="1"/>
  <c r="BD16" i="32"/>
  <c r="BV16" i="32" s="1"/>
  <c r="BH16" i="32"/>
  <c r="BZ16" i="32" s="1"/>
  <c r="CM17" i="32" s="1"/>
  <c r="BP16" i="32"/>
  <c r="AG17" i="32"/>
  <c r="BX17" i="32" s="1"/>
  <c r="AK17" i="32"/>
  <c r="CC17" i="32" s="1"/>
  <c r="AO17" i="32"/>
  <c r="BE17" i="32"/>
  <c r="BW17" i="32" s="1"/>
  <c r="BM17" i="32"/>
  <c r="AE18" i="32"/>
  <c r="AI18" i="32"/>
  <c r="AU22" i="32" s="1"/>
  <c r="BC18" i="32"/>
  <c r="BG18" i="32"/>
  <c r="BO18" i="32"/>
  <c r="AG19" i="32"/>
  <c r="BX19" i="32" s="1"/>
  <c r="BE19" i="32"/>
  <c r="BW19" i="32" s="1"/>
  <c r="BQ19" i="32"/>
  <c r="AQ21" i="32"/>
  <c r="AQ22" i="32"/>
  <c r="AQ20" i="32"/>
  <c r="BR21" i="32"/>
  <c r="BE20" i="32"/>
  <c r="BW20" i="32" s="1"/>
  <c r="BH20" i="32"/>
  <c r="BZ20" i="32" s="1"/>
  <c r="BD20" i="32"/>
  <c r="BV20" i="32" s="1"/>
  <c r="BG20" i="32"/>
  <c r="BC20" i="32"/>
  <c r="AG20" i="32"/>
  <c r="AS24" i="32" s="1"/>
  <c r="BF20" i="32"/>
  <c r="BY21" i="32"/>
  <c r="AP25" i="32"/>
  <c r="BE29" i="32"/>
  <c r="BW29" i="32" s="1"/>
  <c r="BX29" i="32"/>
  <c r="AP34" i="32"/>
  <c r="AJ32" i="32"/>
  <c r="CB32" i="32" s="1"/>
  <c r="AP33" i="32"/>
  <c r="AJ33" i="32"/>
  <c r="AP36" i="32"/>
  <c r="AP35" i="32"/>
  <c r="AP32" i="32"/>
  <c r="BM37" i="32"/>
  <c r="BM33" i="32"/>
  <c r="BS33" i="32"/>
  <c r="BS36" i="32"/>
  <c r="BS32" i="32"/>
  <c r="AH35" i="32"/>
  <c r="BH36" i="32"/>
  <c r="BD36" i="32"/>
  <c r="BV36" i="32" s="1"/>
  <c r="AF36" i="32"/>
  <c r="BE36" i="32"/>
  <c r="BW36" i="32" s="1"/>
  <c r="AG36" i="32"/>
  <c r="BX36" i="32" s="1"/>
  <c r="BC36" i="32"/>
  <c r="AE36" i="32"/>
  <c r="BG36" i="32"/>
  <c r="BY36" i="32" s="1"/>
  <c r="AI36" i="32"/>
  <c r="AD36" i="32"/>
  <c r="AP38" i="32" s="1"/>
  <c r="AJ37" i="32"/>
  <c r="CB37" i="32" s="1"/>
  <c r="AI38" i="32"/>
  <c r="AT42" i="32"/>
  <c r="AN40" i="32"/>
  <c r="AT44" i="32"/>
  <c r="AT39" i="32"/>
  <c r="AN39" i="32"/>
  <c r="AN45" i="32"/>
  <c r="AN41" i="32"/>
  <c r="AT45" i="32"/>
  <c r="AN42" i="32"/>
  <c r="AT41" i="32"/>
  <c r="AT40" i="32"/>
  <c r="BE40" i="32"/>
  <c r="BW40" i="32" s="1"/>
  <c r="BL45" i="32"/>
  <c r="BF46" i="32"/>
  <c r="AH46" i="32"/>
  <c r="AD46" i="32"/>
  <c r="BH46" i="32"/>
  <c r="BC46" i="32"/>
  <c r="AE46" i="32"/>
  <c r="BG46" i="32"/>
  <c r="AI46" i="32"/>
  <c r="BE46" i="32"/>
  <c r="AG46" i="32"/>
  <c r="BD46" i="32"/>
  <c r="AF46" i="32"/>
  <c r="U32" i="27"/>
  <c r="I32" i="27" s="1"/>
  <c r="U36" i="27"/>
  <c r="I36" i="27" s="1"/>
  <c r="U40" i="27"/>
  <c r="I40" i="27" s="1"/>
  <c r="U6" i="28"/>
  <c r="I6" i="28" s="1"/>
  <c r="U11" i="28"/>
  <c r="I11" i="28" s="1"/>
  <c r="U19" i="28"/>
  <c r="I19" i="28" s="1"/>
  <c r="U23" i="28"/>
  <c r="I23" i="28" s="1"/>
  <c r="U31" i="28"/>
  <c r="I31" i="28" s="1"/>
  <c r="U35" i="28"/>
  <c r="I35" i="28" s="1"/>
  <c r="U39" i="28"/>
  <c r="I39" i="28" s="1"/>
  <c r="AL4" i="32"/>
  <c r="AP4" i="32"/>
  <c r="AT4" i="32"/>
  <c r="BJ4" i="32"/>
  <c r="BN4" i="32"/>
  <c r="BV4" i="32"/>
  <c r="BZ4" i="32"/>
  <c r="AL5" i="32"/>
  <c r="AP5" i="32"/>
  <c r="AT5" i="32"/>
  <c r="BJ5" i="32"/>
  <c r="BN5" i="32"/>
  <c r="AL6" i="32"/>
  <c r="AP6" i="32"/>
  <c r="AT6" i="32"/>
  <c r="BJ6" i="32"/>
  <c r="BN6" i="32"/>
  <c r="AL7" i="32"/>
  <c r="AP7" i="32"/>
  <c r="AT7" i="32"/>
  <c r="BJ7" i="32"/>
  <c r="BN7" i="32"/>
  <c r="AL8" i="32"/>
  <c r="AP8" i="32"/>
  <c r="AT8" i="32"/>
  <c r="BJ8" i="32"/>
  <c r="BN8" i="32"/>
  <c r="AH9" i="32"/>
  <c r="AT10" i="32" s="1"/>
  <c r="AL9" i="32"/>
  <c r="AP9" i="32"/>
  <c r="AT9" i="32"/>
  <c r="BJ9" i="32"/>
  <c r="BN9" i="32"/>
  <c r="AH10" i="32"/>
  <c r="BY10" i="32" s="1"/>
  <c r="AD11" i="32"/>
  <c r="AP17" i="32" s="1"/>
  <c r="AH11" i="32"/>
  <c r="AL11" i="32"/>
  <c r="BJ11" i="32"/>
  <c r="BN11" i="32"/>
  <c r="BV11" i="32"/>
  <c r="BZ11" i="32"/>
  <c r="AD12" i="32"/>
  <c r="BU12" i="32" s="1"/>
  <c r="AH12" i="32"/>
  <c r="BY12" i="32" s="1"/>
  <c r="AL12" i="32"/>
  <c r="BJ12" i="32"/>
  <c r="BN12" i="32"/>
  <c r="AL13" i="32"/>
  <c r="BJ13" i="32"/>
  <c r="BN13" i="32"/>
  <c r="O14" i="32"/>
  <c r="O28" i="7" s="1"/>
  <c r="AF14" i="32"/>
  <c r="AL16" i="32" s="1"/>
  <c r="BD14" i="32"/>
  <c r="AD15" i="32"/>
  <c r="BU15" i="32" s="1"/>
  <c r="AH15" i="32"/>
  <c r="BY15" i="32" s="1"/>
  <c r="BJ15" i="32"/>
  <c r="BN15" i="32"/>
  <c r="AG16" i="32"/>
  <c r="BX16" i="32" s="1"/>
  <c r="AD17" i="32"/>
  <c r="BU17" i="32" s="1"/>
  <c r="AH17" i="32"/>
  <c r="BY17" i="32" s="1"/>
  <c r="AU24" i="32"/>
  <c r="O18" i="32"/>
  <c r="O32" i="7" s="1"/>
  <c r="AF18" i="32"/>
  <c r="AR20" i="32" s="1"/>
  <c r="BD18" i="32"/>
  <c r="BT18" i="32"/>
  <c r="AD19" i="32"/>
  <c r="BU19" i="32" s="1"/>
  <c r="AH19" i="32"/>
  <c r="AP19" i="32"/>
  <c r="BS21" i="32"/>
  <c r="BS20" i="32"/>
  <c r="AD20" i="32"/>
  <c r="AP21" i="32" s="1"/>
  <c r="AH20" i="32"/>
  <c r="AT23" i="32" s="1"/>
  <c r="BE25" i="32"/>
  <c r="AN31" i="32"/>
  <c r="AN30" i="32"/>
  <c r="AN29" i="32"/>
  <c r="AN28" i="32"/>
  <c r="AN27" i="32"/>
  <c r="AN26" i="32"/>
  <c r="AN25" i="32"/>
  <c r="AT25" i="32"/>
  <c r="BL31" i="32"/>
  <c r="BL30" i="32"/>
  <c r="BL29" i="32"/>
  <c r="BL28" i="32"/>
  <c r="BL27" i="32"/>
  <c r="BL26" i="32"/>
  <c r="BX25" i="32"/>
  <c r="BL25" i="32"/>
  <c r="AP28" i="32"/>
  <c r="BR28" i="32"/>
  <c r="BE31" i="32"/>
  <c r="BW31" i="32" s="1"/>
  <c r="BM32" i="32"/>
  <c r="BO33" i="32"/>
  <c r="AJ34" i="32"/>
  <c r="CB34" i="32" s="1"/>
  <c r="AH36" i="32"/>
  <c r="AP37" i="32"/>
  <c r="BX41" i="32"/>
  <c r="AN43" i="32"/>
  <c r="BX43" i="32"/>
  <c r="AG21" i="32"/>
  <c r="BE21" i="32"/>
  <c r="BW21" i="32" s="1"/>
  <c r="AE22" i="32"/>
  <c r="AI22" i="32"/>
  <c r="BC22" i="32"/>
  <c r="BU22" i="32" s="1"/>
  <c r="BG22" i="32"/>
  <c r="BY22" i="32" s="1"/>
  <c r="AE24" i="32"/>
  <c r="AI24" i="32"/>
  <c r="BC24" i="32"/>
  <c r="BU24" i="32" s="1"/>
  <c r="BG24" i="32"/>
  <c r="BY24" i="32" s="1"/>
  <c r="AQ25" i="32"/>
  <c r="AU25" i="32"/>
  <c r="BC25" i="32"/>
  <c r="BG25" i="32"/>
  <c r="AE26" i="32"/>
  <c r="AK31" i="32" s="1"/>
  <c r="AI26" i="32"/>
  <c r="AO31" i="32" s="1"/>
  <c r="AQ26" i="32"/>
  <c r="AU26" i="32"/>
  <c r="BC26" i="32"/>
  <c r="BU26" i="32" s="1"/>
  <c r="BG26" i="32"/>
  <c r="BY26" i="32" s="1"/>
  <c r="AE27" i="32"/>
  <c r="AQ27" i="32" s="1"/>
  <c r="AI27" i="32"/>
  <c r="AU27" i="32" s="1"/>
  <c r="BC27" i="32"/>
  <c r="BU27" i="32" s="1"/>
  <c r="BG27" i="32"/>
  <c r="BY27" i="32" s="1"/>
  <c r="AE28" i="32"/>
  <c r="AI28" i="32"/>
  <c r="AQ28" i="32"/>
  <c r="AU28" i="32"/>
  <c r="BC28" i="32"/>
  <c r="BU28" i="32" s="1"/>
  <c r="BG28" i="32"/>
  <c r="BY28" i="32" s="1"/>
  <c r="AQ29" i="32"/>
  <c r="AU29" i="32"/>
  <c r="BC29" i="32"/>
  <c r="BU29" i="32" s="1"/>
  <c r="BG29" i="32"/>
  <c r="BY29" i="32" s="1"/>
  <c r="AE30" i="32"/>
  <c r="AI30" i="32"/>
  <c r="BC30" i="32"/>
  <c r="BU30" i="32" s="1"/>
  <c r="BG30" i="32"/>
  <c r="BY30" i="32" s="1"/>
  <c r="AE31" i="32"/>
  <c r="AI31" i="32"/>
  <c r="AQ31" i="32"/>
  <c r="AU31" i="32"/>
  <c r="BC31" i="32"/>
  <c r="BU31" i="32" s="1"/>
  <c r="BG31" i="32"/>
  <c r="BY31" i="32" s="1"/>
  <c r="AE32" i="32"/>
  <c r="BE33" i="32"/>
  <c r="BW33" i="32" s="1"/>
  <c r="AF34" i="32"/>
  <c r="BW34" i="32" s="1"/>
  <c r="BG39" i="32"/>
  <c r="BC39" i="32"/>
  <c r="AI39" i="32"/>
  <c r="AE39" i="32"/>
  <c r="BE39" i="32"/>
  <c r="AF39" i="32"/>
  <c r="AJ39" i="32"/>
  <c r="BH39" i="32"/>
  <c r="AG40" i="32"/>
  <c r="AM45" i="32" s="1"/>
  <c r="CE45" i="32" s="1"/>
  <c r="AM40" i="32"/>
  <c r="CE40" i="32" s="1"/>
  <c r="AG42" i="32"/>
  <c r="AH43" i="32"/>
  <c r="AG44" i="32"/>
  <c r="BY45" i="32"/>
  <c r="BW47" i="32"/>
  <c r="BE49" i="32"/>
  <c r="BW49" i="32" s="1"/>
  <c r="BU49" i="32"/>
  <c r="BW50" i="32"/>
  <c r="AD21" i="32"/>
  <c r="AH21" i="32"/>
  <c r="BF21" i="32"/>
  <c r="AF22" i="32"/>
  <c r="BW22" i="32" s="1"/>
  <c r="BD22" i="32"/>
  <c r="BV22" i="32" s="1"/>
  <c r="BH22" i="32"/>
  <c r="BZ22" i="32" s="1"/>
  <c r="AF24" i="32"/>
  <c r="BD24" i="32"/>
  <c r="BV24" i="32" s="1"/>
  <c r="BH24" i="32"/>
  <c r="BZ24" i="32" s="1"/>
  <c r="AR25" i="32"/>
  <c r="BD25" i="32"/>
  <c r="BH25" i="32"/>
  <c r="AF26" i="32"/>
  <c r="AR31" i="32" s="1"/>
  <c r="BD26" i="32"/>
  <c r="BH26" i="32"/>
  <c r="BZ26" i="32" s="1"/>
  <c r="AF27" i="32"/>
  <c r="BW27" i="32" s="1"/>
  <c r="BD27" i="32"/>
  <c r="BH27" i="32"/>
  <c r="AF28" i="32"/>
  <c r="AR30" i="32" s="1"/>
  <c r="BD28" i="32"/>
  <c r="BH28" i="32"/>
  <c r="BZ28" i="32" s="1"/>
  <c r="BD29" i="32"/>
  <c r="BV29" i="32" s="1"/>
  <c r="BH29" i="32"/>
  <c r="BZ29" i="32" s="1"/>
  <c r="AF30" i="32"/>
  <c r="BW30" i="32" s="1"/>
  <c r="BD30" i="32"/>
  <c r="BH30" i="32"/>
  <c r="BD31" i="32"/>
  <c r="BV31" i="32" s="1"/>
  <c r="BH31" i="32"/>
  <c r="BZ31" i="32" s="1"/>
  <c r="AJ40" i="32"/>
  <c r="AP40" i="32"/>
  <c r="AP39" i="32"/>
  <c r="BX40" i="32"/>
  <c r="BG43" i="32"/>
  <c r="BY43" i="32" s="1"/>
  <c r="BC43" i="32"/>
  <c r="AI43" i="32"/>
  <c r="BZ43" i="32" s="1"/>
  <c r="AE43" i="32"/>
  <c r="BD43" i="32"/>
  <c r="AD43" i="32"/>
  <c r="BX50" i="32"/>
  <c r="AE21" i="32"/>
  <c r="BV21" i="32" s="1"/>
  <c r="AI21" i="32"/>
  <c r="BZ21" i="32" s="1"/>
  <c r="BC21" i="32"/>
  <c r="AG22" i="32"/>
  <c r="BX22" i="32" s="1"/>
  <c r="AG24" i="32"/>
  <c r="AG25" i="32"/>
  <c r="AK25" i="32"/>
  <c r="AO25" i="32"/>
  <c r="AG26" i="32"/>
  <c r="BX26" i="32" s="1"/>
  <c r="AO26" i="32"/>
  <c r="AG27" i="32"/>
  <c r="BX27" i="32" s="1"/>
  <c r="AG28" i="32"/>
  <c r="BX28" i="32" s="1"/>
  <c r="AK28" i="32"/>
  <c r="AG29" i="32"/>
  <c r="AK29" i="32"/>
  <c r="AO29" i="32"/>
  <c r="AG30" i="32"/>
  <c r="BX30" i="32" s="1"/>
  <c r="AG31" i="32"/>
  <c r="BX31" i="32" s="1"/>
  <c r="BH32" i="32"/>
  <c r="BD32" i="32"/>
  <c r="AF32" i="32"/>
  <c r="AH32" i="32"/>
  <c r="BY32" i="32" s="1"/>
  <c r="AM32" i="32"/>
  <c r="AS32" i="32"/>
  <c r="BF32" i="32"/>
  <c r="BF34" i="32"/>
  <c r="BX34" i="32" s="1"/>
  <c r="AH34" i="32"/>
  <c r="AD34" i="32"/>
  <c r="AJ36" i="32" s="1"/>
  <c r="AI34" i="32"/>
  <c r="AO36" i="32" s="1"/>
  <c r="BG34" i="32"/>
  <c r="BY37" i="32"/>
  <c r="AS45" i="32"/>
  <c r="AM39" i="32"/>
  <c r="CE39" i="32" s="1"/>
  <c r="AM41" i="32"/>
  <c r="CE41" i="32" s="1"/>
  <c r="BP40" i="32"/>
  <c r="BP39" i="32"/>
  <c r="BJ39" i="32"/>
  <c r="BH40" i="32"/>
  <c r="BZ40" i="32" s="1"/>
  <c r="BD40" i="32"/>
  <c r="AF40" i="32"/>
  <c r="BC40" i="32"/>
  <c r="BU40" i="32" s="1"/>
  <c r="AE40" i="32"/>
  <c r="AI40" i="32"/>
  <c r="BG40" i="32"/>
  <c r="BY40" i="32" s="1"/>
  <c r="AP41" i="32"/>
  <c r="BV41" i="32"/>
  <c r="BF42" i="32"/>
  <c r="BX42" i="32" s="1"/>
  <c r="AH42" i="32"/>
  <c r="AN44" i="32" s="1"/>
  <c r="AD42" i="32"/>
  <c r="BD42" i="32"/>
  <c r="BV42" i="32" s="1"/>
  <c r="AF42" i="32"/>
  <c r="BW42" i="32" s="1"/>
  <c r="BG42" i="32"/>
  <c r="BY42" i="32" s="1"/>
  <c r="AF43" i="32"/>
  <c r="BE43" i="32"/>
  <c r="BH44" i="32"/>
  <c r="BZ44" i="32" s="1"/>
  <c r="BD44" i="32"/>
  <c r="BV44" i="32" s="1"/>
  <c r="AF44" i="32"/>
  <c r="BW44" i="32" s="1"/>
  <c r="BG44" i="32"/>
  <c r="BY44" i="32" s="1"/>
  <c r="AI44" i="32"/>
  <c r="AD44" i="32"/>
  <c r="AP44" i="32" s="1"/>
  <c r="BF44" i="32"/>
  <c r="BF51" i="32"/>
  <c r="BX51" i="32" s="1"/>
  <c r="AH51" i="32"/>
  <c r="AD51" i="32"/>
  <c r="BU51" i="32" s="1"/>
  <c r="BH51" i="32"/>
  <c r="BD51" i="32"/>
  <c r="BV51" i="32" s="1"/>
  <c r="AF51" i="32"/>
  <c r="BW51" i="32" s="1"/>
  <c r="BG51" i="32"/>
  <c r="AI51" i="32"/>
  <c r="AE51" i="32"/>
  <c r="BE41" i="32"/>
  <c r="BW41" i="32" s="1"/>
  <c r="BG47" i="32"/>
  <c r="BC47" i="32"/>
  <c r="BU47" i="32" s="1"/>
  <c r="AI47" i="32"/>
  <c r="AE47" i="32"/>
  <c r="BV47" i="32" s="1"/>
  <c r="AH47" i="32"/>
  <c r="BH47" i="32"/>
  <c r="BH48" i="32"/>
  <c r="BZ48" i="32" s="1"/>
  <c r="BD48" i="32"/>
  <c r="BV48" i="32" s="1"/>
  <c r="AF48" i="32"/>
  <c r="BW48" i="32" s="1"/>
  <c r="AH48" i="32"/>
  <c r="BY48" i="32" s="1"/>
  <c r="BF48" i="32"/>
  <c r="BX48" i="32" s="1"/>
  <c r="BG50" i="32"/>
  <c r="BY50" i="32" s="1"/>
  <c r="BC50" i="32"/>
  <c r="AI50" i="32"/>
  <c r="BZ50" i="32" s="1"/>
  <c r="AE50" i="32"/>
  <c r="BD50" i="32"/>
  <c r="AD50" i="32"/>
  <c r="BG52" i="32"/>
  <c r="BY52" i="32" s="1"/>
  <c r="T6" i="20"/>
  <c r="U14" i="18"/>
  <c r="I14" i="18" s="1"/>
  <c r="T15" i="18"/>
  <c r="T14" i="19"/>
  <c r="U14" i="19" s="1"/>
  <c r="I14" i="19" s="1"/>
  <c r="U13" i="19"/>
  <c r="I13" i="19" s="1"/>
  <c r="H7" i="20"/>
  <c r="AG7" i="20"/>
  <c r="F8" i="20" s="1"/>
  <c r="F7" i="20"/>
  <c r="T14" i="20"/>
  <c r="U14" i="20" s="1"/>
  <c r="I14" i="20" s="1"/>
  <c r="P8" i="18"/>
  <c r="Q8" i="18"/>
  <c r="G8" i="18" s="1"/>
  <c r="AG33" i="32"/>
  <c r="AM34" i="32" s="1"/>
  <c r="AG37" i="32"/>
  <c r="AG41" i="32"/>
  <c r="AG45" i="32"/>
  <c r="BX45" i="32" s="1"/>
  <c r="AG49" i="32"/>
  <c r="BX49" i="32" s="1"/>
  <c r="U6" i="33"/>
  <c r="Q6" i="33"/>
  <c r="B7" i="33"/>
  <c r="W6" i="33"/>
  <c r="S6" i="33"/>
  <c r="J6" i="33"/>
  <c r="R6" i="33"/>
  <c r="Z6" i="33"/>
  <c r="G7" i="18"/>
  <c r="AG7" i="18"/>
  <c r="F8" i="18" s="1"/>
  <c r="F7" i="18"/>
  <c r="Q6" i="18"/>
  <c r="G6" i="18" s="1"/>
  <c r="AG52" i="32"/>
  <c r="BX52" i="32" s="1"/>
  <c r="BE52" i="32"/>
  <c r="BW52" i="32" s="1"/>
  <c r="Q6" i="20"/>
  <c r="G6" i="20" s="1"/>
  <c r="P6" i="20"/>
  <c r="U6" i="20"/>
  <c r="I6" i="20" s="1"/>
  <c r="C6" i="20" s="1"/>
  <c r="D6" i="20" s="1"/>
  <c r="E7" i="20" s="1"/>
  <c r="T7" i="20"/>
  <c r="U7" i="20" s="1"/>
  <c r="I7" i="20" s="1"/>
  <c r="U12" i="20"/>
  <c r="I12" i="20" s="1"/>
  <c r="H7" i="18"/>
  <c r="C6" i="18"/>
  <c r="D6" i="18" s="1"/>
  <c r="E7" i="18" s="1"/>
  <c r="T13" i="18"/>
  <c r="AG6" i="17"/>
  <c r="F6" i="17"/>
  <c r="P6" i="19"/>
  <c r="Q6" i="19"/>
  <c r="G6" i="19" s="1"/>
  <c r="H8" i="19"/>
  <c r="AE52" i="32"/>
  <c r="BV52" i="32" s="1"/>
  <c r="AI52" i="32"/>
  <c r="BZ52" i="32" s="1"/>
  <c r="BC52" i="32"/>
  <c r="BU52" i="32" s="1"/>
  <c r="U4" i="20"/>
  <c r="I4" i="20" s="1"/>
  <c r="C4" i="20" s="1"/>
  <c r="D4" i="20" s="1"/>
  <c r="E5" i="20" s="1"/>
  <c r="T5" i="20"/>
  <c r="U5" i="20" s="1"/>
  <c r="I5" i="20" s="1"/>
  <c r="C5" i="20" s="1"/>
  <c r="D5" i="20" s="1"/>
  <c r="E6" i="20" s="1"/>
  <c r="T11" i="20"/>
  <c r="U11" i="20" s="1"/>
  <c r="I11" i="20" s="1"/>
  <c r="U10" i="20"/>
  <c r="I10" i="20" s="1"/>
  <c r="T13" i="20"/>
  <c r="U13" i="20" s="1"/>
  <c r="I13" i="20" s="1"/>
  <c r="U4" i="17"/>
  <c r="I4" i="17" s="1"/>
  <c r="C4" i="17" s="1"/>
  <c r="D4" i="17" s="1"/>
  <c r="E5" i="17" s="1"/>
  <c r="T5" i="17"/>
  <c r="T24" i="17"/>
  <c r="U24" i="17" s="1"/>
  <c r="I24" i="17" s="1"/>
  <c r="T26" i="17"/>
  <c r="U25" i="17"/>
  <c r="I25" i="17" s="1"/>
  <c r="C5" i="19"/>
  <c r="D5" i="19" s="1"/>
  <c r="E6" i="19" s="1"/>
  <c r="C4" i="16"/>
  <c r="D4" i="16" s="1"/>
  <c r="E5" i="16" s="1"/>
  <c r="U16" i="17"/>
  <c r="I16" i="17" s="1"/>
  <c r="T17" i="17"/>
  <c r="U17" i="17" s="1"/>
  <c r="I17" i="17" s="1"/>
  <c r="T23" i="17"/>
  <c r="U23" i="17" s="1"/>
  <c r="I23" i="17" s="1"/>
  <c r="U22" i="17"/>
  <c r="I22" i="17" s="1"/>
  <c r="T12" i="19"/>
  <c r="U12" i="19" s="1"/>
  <c r="I12" i="19" s="1"/>
  <c r="U11" i="19"/>
  <c r="I11" i="19" s="1"/>
  <c r="C5" i="18"/>
  <c r="D5" i="18" s="1"/>
  <c r="E6" i="18" s="1"/>
  <c r="T10" i="18"/>
  <c r="U10" i="18" s="1"/>
  <c r="I10" i="18" s="1"/>
  <c r="U9" i="18"/>
  <c r="I9" i="18" s="1"/>
  <c r="U11" i="18"/>
  <c r="I11" i="18" s="1"/>
  <c r="T12" i="18"/>
  <c r="U12" i="18" s="1"/>
  <c r="I12" i="18" s="1"/>
  <c r="U13" i="18"/>
  <c r="I13" i="18" s="1"/>
  <c r="T14" i="18"/>
  <c r="U5" i="17"/>
  <c r="I5" i="17" s="1"/>
  <c r="U7" i="19"/>
  <c r="I7" i="19" s="1"/>
  <c r="H6" i="17"/>
  <c r="U6" i="17"/>
  <c r="I6" i="17" s="1"/>
  <c r="T12" i="17"/>
  <c r="T7" i="19"/>
  <c r="U6" i="19"/>
  <c r="I6" i="19" s="1"/>
  <c r="U8" i="19"/>
  <c r="I8" i="19" s="1"/>
  <c r="T19" i="17"/>
  <c r="U19" i="17" s="1"/>
  <c r="I19" i="17" s="1"/>
  <c r="U18" i="17"/>
  <c r="I18" i="17" s="1"/>
  <c r="T27" i="17"/>
  <c r="U27" i="17" s="1"/>
  <c r="I27" i="17" s="1"/>
  <c r="U26" i="17"/>
  <c r="I26" i="17" s="1"/>
  <c r="U29" i="17"/>
  <c r="I29" i="17" s="1"/>
  <c r="T25" i="19"/>
  <c r="U25" i="19" s="1"/>
  <c r="I25" i="19" s="1"/>
  <c r="U24" i="19"/>
  <c r="I24" i="19" s="1"/>
  <c r="P4" i="17"/>
  <c r="U12" i="17"/>
  <c r="I12" i="17" s="1"/>
  <c r="T13" i="17"/>
  <c r="U13" i="17" s="1"/>
  <c r="I13" i="17" s="1"/>
  <c r="C4" i="19"/>
  <c r="D4" i="19" s="1"/>
  <c r="E5" i="19" s="1"/>
  <c r="T21" i="19"/>
  <c r="U21" i="19" s="1"/>
  <c r="I21" i="19" s="1"/>
  <c r="U20" i="19"/>
  <c r="I20" i="19" s="1"/>
  <c r="T29" i="19"/>
  <c r="T22" i="19"/>
  <c r="U22" i="19" s="1"/>
  <c r="I22" i="19" s="1"/>
  <c r="T10" i="19"/>
  <c r="U10" i="19" s="1"/>
  <c r="I10" i="19" s="1"/>
  <c r="U9" i="19"/>
  <c r="I9" i="19" s="1"/>
  <c r="U15" i="19"/>
  <c r="I15" i="19" s="1"/>
  <c r="U17" i="19"/>
  <c r="I17" i="19" s="1"/>
  <c r="T24" i="19"/>
  <c r="U23" i="19"/>
  <c r="I23" i="19" s="1"/>
  <c r="T28" i="19"/>
  <c r="U28" i="19" s="1"/>
  <c r="I28" i="19" s="1"/>
  <c r="U27" i="19"/>
  <c r="I27" i="19" s="1"/>
  <c r="Q7" i="16"/>
  <c r="G7" i="16" s="1"/>
  <c r="P7" i="16"/>
  <c r="U29" i="19"/>
  <c r="I29" i="19" s="1"/>
  <c r="H6" i="16"/>
  <c r="G5" i="16"/>
  <c r="C5" i="16" s="1"/>
  <c r="D5" i="16" s="1"/>
  <c r="E6" i="16" s="1"/>
  <c r="Q6" i="16"/>
  <c r="G6" i="16" s="1"/>
  <c r="E5" i="27" l="1"/>
  <c r="Z5" i="7"/>
  <c r="CL32" i="32"/>
  <c r="CL33" i="32"/>
  <c r="Y5" i="7"/>
  <c r="E5" i="24"/>
  <c r="K18" i="24"/>
  <c r="F17" i="24"/>
  <c r="E8" i="26"/>
  <c r="X8" i="7"/>
  <c r="AO45" i="32"/>
  <c r="AU43" i="32"/>
  <c r="AO41" i="32"/>
  <c r="AU39" i="32"/>
  <c r="AO44" i="32"/>
  <c r="AO43" i="32"/>
  <c r="AU40" i="32"/>
  <c r="AU45" i="32"/>
  <c r="AO42" i="32"/>
  <c r="AU41" i="32"/>
  <c r="AO40" i="32"/>
  <c r="AU44" i="32"/>
  <c r="AU42" i="32"/>
  <c r="AO39" i="32"/>
  <c r="CM10" i="32"/>
  <c r="CM9" i="32"/>
  <c r="CM8" i="32"/>
  <c r="CM7" i="32"/>
  <c r="CM6" i="32"/>
  <c r="CM5" i="32"/>
  <c r="CM4" i="32"/>
  <c r="Q8" i="16"/>
  <c r="G8" i="16" s="1"/>
  <c r="P8" i="16"/>
  <c r="H7" i="17"/>
  <c r="AG7" i="17"/>
  <c r="F8" i="17" s="1"/>
  <c r="F7" i="17"/>
  <c r="H8" i="18"/>
  <c r="C7" i="18"/>
  <c r="D7" i="18" s="1"/>
  <c r="E8" i="18" s="1"/>
  <c r="AJ45" i="32"/>
  <c r="AL38" i="32"/>
  <c r="AR36" i="32"/>
  <c r="AL34" i="32"/>
  <c r="AR32" i="32"/>
  <c r="AR38" i="32"/>
  <c r="AL36" i="32"/>
  <c r="AR35" i="32"/>
  <c r="AL35" i="32"/>
  <c r="AR37" i="32"/>
  <c r="AR34" i="32"/>
  <c r="AL32" i="32"/>
  <c r="CD32" i="32" s="1"/>
  <c r="AL37" i="32"/>
  <c r="AR33" i="32"/>
  <c r="AL33" i="32"/>
  <c r="AO30" i="32"/>
  <c r="BJ43" i="32"/>
  <c r="AR44" i="32"/>
  <c r="AL42" i="32"/>
  <c r="AR40" i="32"/>
  <c r="AL45" i="32"/>
  <c r="AR41" i="32"/>
  <c r="AL43" i="32"/>
  <c r="AR42" i="32"/>
  <c r="AR43" i="32"/>
  <c r="AL39" i="32"/>
  <c r="AL41" i="32"/>
  <c r="AR39" i="32"/>
  <c r="AL44" i="32"/>
  <c r="AR45" i="32"/>
  <c r="AL40" i="32"/>
  <c r="AK37" i="32"/>
  <c r="AQ35" i="32"/>
  <c r="AK33" i="32"/>
  <c r="AQ36" i="32"/>
  <c r="AQ38" i="32"/>
  <c r="AK38" i="32"/>
  <c r="AK36" i="32"/>
  <c r="AK35" i="32"/>
  <c r="AQ32" i="32"/>
  <c r="AQ37" i="32"/>
  <c r="AQ34" i="32"/>
  <c r="AK34" i="32"/>
  <c r="AK32" i="32"/>
  <c r="AQ33" i="32"/>
  <c r="BQ36" i="32"/>
  <c r="CK30" i="32"/>
  <c r="CK29" i="32"/>
  <c r="CK28" i="32"/>
  <c r="CK27" i="32"/>
  <c r="CK26" i="32"/>
  <c r="CK25" i="32"/>
  <c r="CK31" i="32"/>
  <c r="CI10" i="32"/>
  <c r="CI9" i="32"/>
  <c r="CI8" i="32"/>
  <c r="CI7" i="32"/>
  <c r="CI6" i="32"/>
  <c r="CI5" i="32"/>
  <c r="CI4" i="32"/>
  <c r="BS52" i="32"/>
  <c r="BM52" i="32"/>
  <c r="BS50" i="32"/>
  <c r="BM49" i="32"/>
  <c r="BS47" i="32"/>
  <c r="BS51" i="32"/>
  <c r="BS49" i="32"/>
  <c r="BM47" i="32"/>
  <c r="BS46" i="32"/>
  <c r="BM46" i="32"/>
  <c r="BM51" i="32"/>
  <c r="BM50" i="32"/>
  <c r="BS48" i="32"/>
  <c r="BM48" i="32"/>
  <c r="BY46" i="32"/>
  <c r="BM36" i="32"/>
  <c r="BT21" i="32"/>
  <c r="BU20" i="32"/>
  <c r="AK24" i="32"/>
  <c r="AK22" i="32"/>
  <c r="AK21" i="32"/>
  <c r="AK23" i="32"/>
  <c r="AK20" i="32"/>
  <c r="AK19" i="32"/>
  <c r="AQ18" i="32"/>
  <c r="AQ19" i="32"/>
  <c r="AK18" i="32"/>
  <c r="AR24" i="32"/>
  <c r="CG12" i="32"/>
  <c r="BK34" i="32"/>
  <c r="BK35" i="32"/>
  <c r="BW26" i="32"/>
  <c r="BQ22" i="32"/>
  <c r="AP14" i="32"/>
  <c r="AN10" i="32"/>
  <c r="CF10" i="32" s="1"/>
  <c r="BP45" i="32"/>
  <c r="AO37" i="32"/>
  <c r="BP23" i="32"/>
  <c r="BO24" i="32"/>
  <c r="BW14" i="32"/>
  <c r="AR17" i="32"/>
  <c r="Q7" i="19"/>
  <c r="G7" i="19" s="1"/>
  <c r="C7" i="19" s="1"/>
  <c r="D7" i="19" s="1"/>
  <c r="E8" i="19" s="1"/>
  <c r="P7" i="19"/>
  <c r="O6" i="33"/>
  <c r="BV50" i="32"/>
  <c r="BY51" i="32"/>
  <c r="BX44" i="32"/>
  <c r="AS43" i="32"/>
  <c r="BV40" i="32"/>
  <c r="BJ41" i="32"/>
  <c r="BJ40" i="32"/>
  <c r="BP42" i="32"/>
  <c r="BP41" i="32"/>
  <c r="BP44" i="32"/>
  <c r="AM43" i="32"/>
  <c r="CE43" i="32" s="1"/>
  <c r="BY34" i="32"/>
  <c r="CL34" i="32" s="1"/>
  <c r="BM34" i="32"/>
  <c r="BN38" i="32"/>
  <c r="BT36" i="32"/>
  <c r="BN34" i="32"/>
  <c r="BT32" i="32"/>
  <c r="BN33" i="32"/>
  <c r="BT38" i="32"/>
  <c r="BN36" i="32"/>
  <c r="CG36" i="32" s="1"/>
  <c r="BZ32" i="32"/>
  <c r="BT37" i="32"/>
  <c r="BT35" i="32"/>
  <c r="BN35" i="32"/>
  <c r="BT34" i="32"/>
  <c r="BN32" i="32"/>
  <c r="BN37" i="32"/>
  <c r="BT33" i="32"/>
  <c r="AO28" i="32"/>
  <c r="AK27" i="32"/>
  <c r="BV43" i="32"/>
  <c r="AJ43" i="32"/>
  <c r="AM37" i="32"/>
  <c r="AS37" i="32"/>
  <c r="BV30" i="32"/>
  <c r="AR28" i="32"/>
  <c r="AR27" i="32"/>
  <c r="AR26" i="32"/>
  <c r="AM44" i="32"/>
  <c r="BT44" i="32"/>
  <c r="BN42" i="32"/>
  <c r="BT40" i="32"/>
  <c r="BT45" i="32"/>
  <c r="BT43" i="32"/>
  <c r="BN43" i="32"/>
  <c r="BT42" i="32"/>
  <c r="BN40" i="32"/>
  <c r="BZ39" i="32"/>
  <c r="BN44" i="32"/>
  <c r="BN45" i="32"/>
  <c r="BN39" i="32"/>
  <c r="BN41" i="32"/>
  <c r="BT39" i="32"/>
  <c r="BT41" i="32"/>
  <c r="AK45" i="32"/>
  <c r="AQ43" i="32"/>
  <c r="AK41" i="32"/>
  <c r="CC41" i="32" s="1"/>
  <c r="AQ39" i="32"/>
  <c r="AQ45" i="32"/>
  <c r="AQ42" i="32"/>
  <c r="AK42" i="32"/>
  <c r="AK40" i="32"/>
  <c r="CC40" i="32" s="1"/>
  <c r="AK39" i="32"/>
  <c r="CC39" i="32" s="1"/>
  <c r="AQ44" i="32"/>
  <c r="AK44" i="32"/>
  <c r="AQ40" i="32"/>
  <c r="AK43" i="32"/>
  <c r="CC43" i="32" s="1"/>
  <c r="AQ41" i="32"/>
  <c r="AQ30" i="32"/>
  <c r="BZ34" i="32"/>
  <c r="AM33" i="32"/>
  <c r="BW28" i="32"/>
  <c r="AR18" i="32"/>
  <c r="BV14" i="32"/>
  <c r="CI14" i="32" s="1"/>
  <c r="BJ16" i="32"/>
  <c r="CC16" i="32" s="1"/>
  <c r="CI16" i="32"/>
  <c r="CI13" i="32"/>
  <c r="CI12" i="32"/>
  <c r="CI11" i="32"/>
  <c r="AT17" i="32"/>
  <c r="AT15" i="32"/>
  <c r="AN14" i="32"/>
  <c r="AT13" i="32"/>
  <c r="AT12" i="32"/>
  <c r="AT11" i="32"/>
  <c r="AN16" i="32"/>
  <c r="CF16" i="32" s="1"/>
  <c r="AN17" i="32"/>
  <c r="CF17" i="32" s="1"/>
  <c r="AN15" i="32"/>
  <c r="AT14" i="32"/>
  <c r="AN13" i="32"/>
  <c r="CF13" i="32" s="1"/>
  <c r="AN12" i="32"/>
  <c r="CF12" i="32" s="1"/>
  <c r="AN11" i="32"/>
  <c r="CF11" i="32" s="1"/>
  <c r="AT16" i="32"/>
  <c r="BK52" i="32"/>
  <c r="BQ52" i="32"/>
  <c r="BK50" i="32"/>
  <c r="BQ49" i="32"/>
  <c r="BK47" i="32"/>
  <c r="BQ50" i="32"/>
  <c r="BQ48" i="32"/>
  <c r="BK48" i="32"/>
  <c r="BK51" i="32"/>
  <c r="BK49" i="32"/>
  <c r="BQ46" i="32"/>
  <c r="BK46" i="32"/>
  <c r="BQ51" i="32"/>
  <c r="BQ47" i="32"/>
  <c r="BW46" i="32"/>
  <c r="BO52" i="32"/>
  <c r="BI52" i="32"/>
  <c r="BO50" i="32"/>
  <c r="BO51" i="32"/>
  <c r="BI50" i="32"/>
  <c r="BI49" i="32"/>
  <c r="BO47" i="32"/>
  <c r="BI51" i="32"/>
  <c r="BO49" i="32"/>
  <c r="BO48" i="32"/>
  <c r="BI48" i="32"/>
  <c r="BI47" i="32"/>
  <c r="BU46" i="32"/>
  <c r="BO46" i="32"/>
  <c r="BI46" i="32"/>
  <c r="BR51" i="32"/>
  <c r="BL51" i="32"/>
  <c r="BL48" i="32"/>
  <c r="BR46" i="32"/>
  <c r="BL52" i="32"/>
  <c r="BR47" i="32"/>
  <c r="BX46" i="32"/>
  <c r="BR50" i="32"/>
  <c r="BR52" i="32"/>
  <c r="BL49" i="32"/>
  <c r="BL46" i="32"/>
  <c r="BR49" i="32"/>
  <c r="BL47" i="32"/>
  <c r="BR48" i="32"/>
  <c r="BL50" i="32"/>
  <c r="BQ38" i="32"/>
  <c r="BU36" i="32"/>
  <c r="BS38" i="32"/>
  <c r="BS35" i="32"/>
  <c r="AJ38" i="32"/>
  <c r="CB38" i="32" s="1"/>
  <c r="AT22" i="32"/>
  <c r="AR21" i="32"/>
  <c r="AT20" i="32"/>
  <c r="AQ23" i="32"/>
  <c r="BI24" i="32"/>
  <c r="BI22" i="32"/>
  <c r="BI20" i="32"/>
  <c r="BI21" i="32"/>
  <c r="BI19" i="32"/>
  <c r="BI23" i="32"/>
  <c r="BU18" i="32"/>
  <c r="BI18" i="32"/>
  <c r="BT16" i="32"/>
  <c r="AR16" i="32"/>
  <c r="BI15" i="32"/>
  <c r="AS16" i="32"/>
  <c r="AS17" i="32"/>
  <c r="AS15" i="32"/>
  <c r="AM14" i="32"/>
  <c r="AS13" i="32"/>
  <c r="AS12" i="32"/>
  <c r="AS11" i="32"/>
  <c r="AM16" i="32"/>
  <c r="AM17" i="32"/>
  <c r="AM15" i="32"/>
  <c r="AS14" i="32"/>
  <c r="AM13" i="32"/>
  <c r="CE13" i="32" s="1"/>
  <c r="AM12" i="32"/>
  <c r="CE12" i="32" s="1"/>
  <c r="AM11" i="32"/>
  <c r="CE11" i="32" s="1"/>
  <c r="CG8" i="32"/>
  <c r="AS10" i="32"/>
  <c r="AS9" i="32"/>
  <c r="AS8" i="32"/>
  <c r="AS7" i="32"/>
  <c r="AS6" i="32"/>
  <c r="AS5" i="32"/>
  <c r="AS4" i="32"/>
  <c r="AM10" i="32"/>
  <c r="CE10" i="32" s="1"/>
  <c r="AM9" i="32"/>
  <c r="CE9" i="32" s="1"/>
  <c r="AM8" i="32"/>
  <c r="CE8" i="32" s="1"/>
  <c r="AM7" i="32"/>
  <c r="CE7" i="32" s="1"/>
  <c r="AM6" i="32"/>
  <c r="CE6" i="32" s="1"/>
  <c r="AM5" i="32"/>
  <c r="CE5" i="32" s="1"/>
  <c r="AM4" i="32"/>
  <c r="CE4" i="32" s="1"/>
  <c r="CK45" i="32"/>
  <c r="CK41" i="32"/>
  <c r="CK39" i="32"/>
  <c r="CK40" i="32"/>
  <c r="CK43" i="32"/>
  <c r="CK44" i="32"/>
  <c r="CK42" i="32"/>
  <c r="BR45" i="32"/>
  <c r="BL44" i="32"/>
  <c r="BZ38" i="32"/>
  <c r="BW38" i="32"/>
  <c r="BS37" i="32"/>
  <c r="BV35" i="32"/>
  <c r="BY35" i="32"/>
  <c r="BW32" i="32"/>
  <c r="BK38" i="32"/>
  <c r="CG32" i="32"/>
  <c r="BI36" i="32"/>
  <c r="CB36" i="32" s="1"/>
  <c r="AJ23" i="32"/>
  <c r="CB23" i="32" s="1"/>
  <c r="AJ24" i="32"/>
  <c r="CB24" i="32" s="1"/>
  <c r="AJ22" i="32"/>
  <c r="CB22" i="32" s="1"/>
  <c r="AJ18" i="32"/>
  <c r="CB18" i="32" s="1"/>
  <c r="AJ20" i="32"/>
  <c r="CB20" i="32" s="1"/>
  <c r="AJ19" i="32"/>
  <c r="CB19" i="32" s="1"/>
  <c r="AP24" i="32"/>
  <c r="AJ21" i="32"/>
  <c r="CB21" i="32" s="1"/>
  <c r="O38" i="7"/>
  <c r="O31" i="7"/>
  <c r="AQ16" i="32"/>
  <c r="AR15" i="32"/>
  <c r="BJ14" i="32"/>
  <c r="CB9" i="32"/>
  <c r="CF8" i="32"/>
  <c r="BX33" i="32"/>
  <c r="AO38" i="32"/>
  <c r="CG38" i="32" s="1"/>
  <c r="CG33" i="32"/>
  <c r="BP24" i="32"/>
  <c r="BO19" i="32"/>
  <c r="BO22" i="32"/>
  <c r="BO23" i="32"/>
  <c r="BO17" i="32"/>
  <c r="BS15" i="32"/>
  <c r="BM14" i="32"/>
  <c r="AK14" i="32"/>
  <c r="BR14" i="32"/>
  <c r="BR15" i="32"/>
  <c r="BN16" i="32"/>
  <c r="BI16" i="32"/>
  <c r="AR14" i="32"/>
  <c r="BN20" i="32"/>
  <c r="E6" i="26"/>
  <c r="X6" i="7"/>
  <c r="H6" i="27"/>
  <c r="C5" i="27"/>
  <c r="D5" i="27" s="1"/>
  <c r="E5" i="26"/>
  <c r="X5" i="7"/>
  <c r="Y7" i="7"/>
  <c r="E7" i="24"/>
  <c r="P7" i="24"/>
  <c r="Q7" i="24"/>
  <c r="G7" i="24" s="1"/>
  <c r="S7" i="7"/>
  <c r="G6" i="13"/>
  <c r="G13" i="13"/>
  <c r="AE17" i="28"/>
  <c r="A18" i="28"/>
  <c r="AF17" i="28"/>
  <c r="F18" i="28" s="1"/>
  <c r="AG18" i="25"/>
  <c r="K19" i="25" s="1"/>
  <c r="A19" i="25"/>
  <c r="AF18" i="25"/>
  <c r="F19" i="25" s="1"/>
  <c r="AE18" i="25"/>
  <c r="AH8" i="26"/>
  <c r="AH9" i="26" s="1"/>
  <c r="F8" i="26"/>
  <c r="AE17" i="11"/>
  <c r="A18" i="11"/>
  <c r="AG17" i="11"/>
  <c r="AF17" i="11"/>
  <c r="BJ45" i="32"/>
  <c r="AL21" i="32"/>
  <c r="AL23" i="32"/>
  <c r="CD23" i="32" s="1"/>
  <c r="AL24" i="32"/>
  <c r="AL20" i="32"/>
  <c r="AL19" i="32"/>
  <c r="AL18" i="32"/>
  <c r="CD18" i="32" s="1"/>
  <c r="AL22" i="32"/>
  <c r="AJ14" i="32"/>
  <c r="AP13" i="32"/>
  <c r="AP12" i="32"/>
  <c r="AP11" i="32"/>
  <c r="AJ16" i="32"/>
  <c r="CB16" i="32" s="1"/>
  <c r="AJ17" i="32"/>
  <c r="AJ15" i="32"/>
  <c r="CB15" i="32" s="1"/>
  <c r="AJ13" i="32"/>
  <c r="CB13" i="32" s="1"/>
  <c r="AJ12" i="32"/>
  <c r="CB12" i="32" s="1"/>
  <c r="AJ11" i="32"/>
  <c r="CB11" i="32" s="1"/>
  <c r="AP16" i="32"/>
  <c r="AL51" i="32"/>
  <c r="CD51" i="32" s="1"/>
  <c r="AR51" i="32"/>
  <c r="AR48" i="32"/>
  <c r="AL46" i="32"/>
  <c r="CD46" i="32" s="1"/>
  <c r="AR50" i="32"/>
  <c r="AL52" i="32"/>
  <c r="CD52" i="32" s="1"/>
  <c r="AR49" i="32"/>
  <c r="AL49" i="32"/>
  <c r="CD49" i="32" s="1"/>
  <c r="AL48" i="32"/>
  <c r="CD48" i="32" s="1"/>
  <c r="AR47" i="32"/>
  <c r="AL50" i="32"/>
  <c r="CD50" i="32" s="1"/>
  <c r="AR52" i="32"/>
  <c r="AL47" i="32"/>
  <c r="CD47" i="32" s="1"/>
  <c r="AR46" i="32"/>
  <c r="AU52" i="32"/>
  <c r="AO52" i="32"/>
  <c r="AU50" i="32"/>
  <c r="AO50" i="32"/>
  <c r="CG50" i="32" s="1"/>
  <c r="AO49" i="32"/>
  <c r="CG49" i="32" s="1"/>
  <c r="AU47" i="32"/>
  <c r="AO51" i="32"/>
  <c r="AU49" i="32"/>
  <c r="AU46" i="32"/>
  <c r="AO46" i="32"/>
  <c r="AO47" i="32"/>
  <c r="CG47" i="32" s="1"/>
  <c r="AO48" i="32"/>
  <c r="CG48" i="32" s="1"/>
  <c r="AU51" i="32"/>
  <c r="AU48" i="32"/>
  <c r="BN51" i="32"/>
  <c r="BT51" i="32"/>
  <c r="BT50" i="32"/>
  <c r="BN50" i="32"/>
  <c r="BT48" i="32"/>
  <c r="BZ46" i="32"/>
  <c r="BN46" i="32"/>
  <c r="BN49" i="32"/>
  <c r="BT52" i="32"/>
  <c r="BT49" i="32"/>
  <c r="BN48" i="32"/>
  <c r="BN47" i="32"/>
  <c r="BT46" i="32"/>
  <c r="BN52" i="32"/>
  <c r="BT47" i="32"/>
  <c r="BZ36" i="32"/>
  <c r="AO24" i="32"/>
  <c r="AO22" i="32"/>
  <c r="AO21" i="32"/>
  <c r="AO23" i="32"/>
  <c r="AO19" i="32"/>
  <c r="CG19" i="32" s="1"/>
  <c r="AU18" i="32"/>
  <c r="AO20" i="32"/>
  <c r="CG20" i="32" s="1"/>
  <c r="AU19" i="32"/>
  <c r="AO18" i="32"/>
  <c r="CG18" i="32" s="1"/>
  <c r="BT24" i="32"/>
  <c r="AR22" i="32"/>
  <c r="CL17" i="32"/>
  <c r="CL15" i="32"/>
  <c r="CL13" i="32"/>
  <c r="CL12" i="32"/>
  <c r="CL11" i="32"/>
  <c r="CL14" i="32"/>
  <c r="CL16" i="32"/>
  <c r="BK14" i="32"/>
  <c r="BQ13" i="32"/>
  <c r="BQ12" i="32"/>
  <c r="BQ11" i="32"/>
  <c r="BK16" i="32"/>
  <c r="CD16" i="32" s="1"/>
  <c r="BK17" i="32"/>
  <c r="BK15" i="32"/>
  <c r="BQ14" i="32"/>
  <c r="BK13" i="32"/>
  <c r="CD13" i="32" s="1"/>
  <c r="BK12" i="32"/>
  <c r="CD12" i="32" s="1"/>
  <c r="BW11" i="32"/>
  <c r="BK11" i="32"/>
  <c r="CL10" i="32"/>
  <c r="CL9" i="32"/>
  <c r="CL8" i="32"/>
  <c r="CL7" i="32"/>
  <c r="CL6" i="32"/>
  <c r="CL5" i="32"/>
  <c r="CL4" i="32"/>
  <c r="BQ10" i="32"/>
  <c r="BQ9" i="32"/>
  <c r="BQ8" i="32"/>
  <c r="BQ7" i="32"/>
  <c r="BQ6" i="32"/>
  <c r="BQ5" i="32"/>
  <c r="BQ4" i="32"/>
  <c r="AG17" i="28" s="1"/>
  <c r="K18" i="28" s="1"/>
  <c r="BK10" i="32"/>
  <c r="CD10" i="32" s="1"/>
  <c r="BK9" i="32"/>
  <c r="BK8" i="32"/>
  <c r="CD8" i="32" s="1"/>
  <c r="BK7" i="32"/>
  <c r="BK6" i="32"/>
  <c r="BK5" i="32"/>
  <c r="CD5" i="32" s="1"/>
  <c r="BW4" i="32"/>
  <c r="BK4" i="32"/>
  <c r="BK33" i="32"/>
  <c r="BQ33" i="32"/>
  <c r="AP22" i="32"/>
  <c r="BL23" i="32"/>
  <c r="BL24" i="32"/>
  <c r="BL22" i="32"/>
  <c r="BL20" i="32"/>
  <c r="BR19" i="32"/>
  <c r="BX18" i="32"/>
  <c r="BL18" i="32"/>
  <c r="BR22" i="32"/>
  <c r="BR20" i="32"/>
  <c r="BL19" i="32"/>
  <c r="BR18" i="32"/>
  <c r="BR24" i="32"/>
  <c r="BL21" i="32"/>
  <c r="BQ21" i="32"/>
  <c r="AP23" i="32"/>
  <c r="AJ29" i="7"/>
  <c r="O29" i="7"/>
  <c r="BU44" i="32"/>
  <c r="AU37" i="32"/>
  <c r="AU38" i="32"/>
  <c r="AU35" i="32"/>
  <c r="AS22" i="32"/>
  <c r="BK21" i="32"/>
  <c r="BK23" i="32"/>
  <c r="BK24" i="32"/>
  <c r="BK22" i="32"/>
  <c r="BK20" i="32"/>
  <c r="BW18" i="32"/>
  <c r="BK18" i="32"/>
  <c r="BK19" i="32"/>
  <c r="BQ18" i="32"/>
  <c r="BO21" i="32"/>
  <c r="BO15" i="32"/>
  <c r="BI14" i="32"/>
  <c r="BT17" i="32"/>
  <c r="CK16" i="32"/>
  <c r="CK17" i="32"/>
  <c r="CK15" i="32"/>
  <c r="CK13" i="32"/>
  <c r="CK12" i="32"/>
  <c r="CK11" i="32"/>
  <c r="CK14" i="32"/>
  <c r="BL15" i="32"/>
  <c r="BR17" i="32"/>
  <c r="CK10" i="32"/>
  <c r="CK9" i="32"/>
  <c r="CK8" i="32"/>
  <c r="CK7" i="32"/>
  <c r="CK6" i="32"/>
  <c r="CK5" i="32"/>
  <c r="CK4" i="32"/>
  <c r="CG16" i="32"/>
  <c r="C4" i="28"/>
  <c r="D4" i="28" s="1"/>
  <c r="BN17" i="32"/>
  <c r="CG17" i="32" s="1"/>
  <c r="BN22" i="32"/>
  <c r="BN24" i="32"/>
  <c r="Y6" i="7"/>
  <c r="E6" i="24"/>
  <c r="H8" i="24"/>
  <c r="C7" i="24"/>
  <c r="D7" i="24" s="1"/>
  <c r="C6" i="26"/>
  <c r="D6" i="26" s="1"/>
  <c r="L18" i="7"/>
  <c r="H9" i="26"/>
  <c r="C8" i="26"/>
  <c r="D8" i="26" s="1"/>
  <c r="AG17" i="26"/>
  <c r="A18" i="26"/>
  <c r="AF17" i="26"/>
  <c r="AE17" i="26"/>
  <c r="J18" i="7"/>
  <c r="K26" i="13"/>
  <c r="AB25" i="13"/>
  <c r="K25" i="13"/>
  <c r="G25" i="13"/>
  <c r="B25" i="13"/>
  <c r="AD25" i="13"/>
  <c r="Z25" i="13"/>
  <c r="I25" i="13"/>
  <c r="D25" i="13"/>
  <c r="AC25" i="13"/>
  <c r="C25" i="13"/>
  <c r="Y25" i="13"/>
  <c r="AA25" i="13"/>
  <c r="H7" i="11"/>
  <c r="AS34" i="32"/>
  <c r="AR29" i="32"/>
  <c r="AL31" i="32"/>
  <c r="AL30" i="32"/>
  <c r="AL27" i="32"/>
  <c r="AL28" i="32"/>
  <c r="AL29" i="32"/>
  <c r="AL26" i="32"/>
  <c r="BS24" i="32"/>
  <c r="H9" i="19"/>
  <c r="Q7" i="20"/>
  <c r="G7" i="20" s="1"/>
  <c r="P7" i="20"/>
  <c r="BZ47" i="32"/>
  <c r="BR38" i="32"/>
  <c r="BL36" i="32"/>
  <c r="BR34" i="32"/>
  <c r="BX32" i="32"/>
  <c r="BL32" i="32"/>
  <c r="CE32" i="32" s="1"/>
  <c r="BR37" i="32"/>
  <c r="BL37" i="32"/>
  <c r="BL35" i="32"/>
  <c r="BL34" i="32"/>
  <c r="CE34" i="32" s="1"/>
  <c r="BR33" i="32"/>
  <c r="BL33" i="32"/>
  <c r="BR36" i="32"/>
  <c r="BR35" i="32"/>
  <c r="BL38" i="32"/>
  <c r="BR32" i="32"/>
  <c r="AP42" i="32"/>
  <c r="BZ27" i="32"/>
  <c r="BT31" i="32"/>
  <c r="BT30" i="32"/>
  <c r="BT29" i="32"/>
  <c r="BT28" i="32"/>
  <c r="BT27" i="32"/>
  <c r="BT26" i="32"/>
  <c r="BT25" i="32"/>
  <c r="BN31" i="32"/>
  <c r="CG31" i="32" s="1"/>
  <c r="BN30" i="32"/>
  <c r="BN27" i="32"/>
  <c r="BN28" i="32"/>
  <c r="BN25" i="32"/>
  <c r="CG25" i="32" s="1"/>
  <c r="BN29" i="32"/>
  <c r="CG29" i="32" s="1"/>
  <c r="BN26" i="32"/>
  <c r="CG26" i="32" s="1"/>
  <c r="BZ25" i="32"/>
  <c r="AS42" i="32"/>
  <c r="AM42" i="32"/>
  <c r="CE42" i="32" s="1"/>
  <c r="AS40" i="32"/>
  <c r="AS44" i="32"/>
  <c r="CD7" i="32"/>
  <c r="AP51" i="32"/>
  <c r="AJ51" i="32"/>
  <c r="CB51" i="32" s="1"/>
  <c r="AP52" i="32"/>
  <c r="AJ50" i="32"/>
  <c r="CB50" i="32" s="1"/>
  <c r="AJ48" i="32"/>
  <c r="CB48" i="32" s="1"/>
  <c r="AP46" i="32"/>
  <c r="AJ52" i="32"/>
  <c r="CB52" i="32" s="1"/>
  <c r="AP49" i="32"/>
  <c r="AJ49" i="32"/>
  <c r="CB49" i="32" s="1"/>
  <c r="AJ46" i="32"/>
  <c r="CB46" i="32" s="1"/>
  <c r="AP47" i="32"/>
  <c r="AJ47" i="32"/>
  <c r="CB47" i="32" s="1"/>
  <c r="AP48" i="32"/>
  <c r="AP50" i="32"/>
  <c r="BT20" i="32"/>
  <c r="BI17" i="32"/>
  <c r="CG11" i="32"/>
  <c r="BW35" i="32"/>
  <c r="AP20" i="32"/>
  <c r="AU36" i="32"/>
  <c r="BP22" i="32"/>
  <c r="AM21" i="32"/>
  <c r="CE21" i="32" s="1"/>
  <c r="AM23" i="32"/>
  <c r="CE23" i="32" s="1"/>
  <c r="AM24" i="32"/>
  <c r="CE24" i="32" s="1"/>
  <c r="AM22" i="32"/>
  <c r="CE22" i="32" s="1"/>
  <c r="AM20" i="32"/>
  <c r="CE20" i="32" s="1"/>
  <c r="AS19" i="32"/>
  <c r="AM18" i="32"/>
  <c r="CE18" i="32" s="1"/>
  <c r="AM19" i="32"/>
  <c r="CE19" i="32" s="1"/>
  <c r="AS18" i="32"/>
  <c r="AL17" i="32"/>
  <c r="CD17" i="32" s="1"/>
  <c r="BN23" i="32"/>
  <c r="G12" i="13"/>
  <c r="A19" i="27"/>
  <c r="AG18" i="27"/>
  <c r="K19" i="27" s="1"/>
  <c r="AF18" i="27"/>
  <c r="F19" i="27" s="1"/>
  <c r="AE18" i="27"/>
  <c r="Q9" i="26"/>
  <c r="G9" i="26" s="1"/>
  <c r="P9" i="26"/>
  <c r="R9" i="7"/>
  <c r="AF18" i="24"/>
  <c r="A19" i="24"/>
  <c r="AG18" i="24"/>
  <c r="AE18" i="24"/>
  <c r="J19" i="7" s="1"/>
  <c r="P7" i="25"/>
  <c r="Q7" i="25"/>
  <c r="G7" i="25" s="1"/>
  <c r="C7" i="25" s="1"/>
  <c r="D7" i="25" s="1"/>
  <c r="U7" i="7"/>
  <c r="E6" i="11"/>
  <c r="W6" i="7"/>
  <c r="X7" i="33"/>
  <c r="T7" i="33"/>
  <c r="P7" i="33"/>
  <c r="L7" i="33"/>
  <c r="H7" i="33"/>
  <c r="D7" i="33"/>
  <c r="Z7" i="33"/>
  <c r="V7" i="33"/>
  <c r="R7" i="33"/>
  <c r="N7" i="33"/>
  <c r="J7" i="33"/>
  <c r="F7" i="33"/>
  <c r="U7" i="33"/>
  <c r="B8" i="33"/>
  <c r="Q7" i="33"/>
  <c r="Y7" i="33"/>
  <c r="O7" i="33"/>
  <c r="W7" i="33"/>
  <c r="S7" i="33"/>
  <c r="AS36" i="32"/>
  <c r="AS38" i="32"/>
  <c r="AM36" i="32"/>
  <c r="CE36" i="32" s="1"/>
  <c r="AS35" i="32"/>
  <c r="AT38" i="32"/>
  <c r="AN36" i="32"/>
  <c r="CF36" i="32" s="1"/>
  <c r="AT34" i="32"/>
  <c r="AN32" i="32"/>
  <c r="CF32" i="32" s="1"/>
  <c r="AT37" i="32"/>
  <c r="AN37" i="32"/>
  <c r="CF37" i="32" s="1"/>
  <c r="AN34" i="32"/>
  <c r="CF34" i="32" s="1"/>
  <c r="AT33" i="32"/>
  <c r="AN33" i="32"/>
  <c r="CF33" i="32" s="1"/>
  <c r="AT36" i="32"/>
  <c r="AT35" i="32"/>
  <c r="AN38" i="32"/>
  <c r="AN35" i="32"/>
  <c r="CF35" i="32" s="1"/>
  <c r="AT32" i="32"/>
  <c r="BM31" i="32"/>
  <c r="CF31" i="32" s="1"/>
  <c r="BM30" i="32"/>
  <c r="BM29" i="32"/>
  <c r="CF29" i="32" s="1"/>
  <c r="BM28" i="32"/>
  <c r="CF28" i="32" s="1"/>
  <c r="BM27" i="32"/>
  <c r="CF27" i="32" s="1"/>
  <c r="BM26" i="32"/>
  <c r="BY25" i="32"/>
  <c r="BM25" i="32"/>
  <c r="CF25" i="32" s="1"/>
  <c r="BS31" i="32"/>
  <c r="BS30" i="32"/>
  <c r="BS29" i="32"/>
  <c r="BS28" i="32"/>
  <c r="BS27" i="32"/>
  <c r="BS26" i="32"/>
  <c r="BS25" i="32"/>
  <c r="BQ31" i="32"/>
  <c r="BQ30" i="32"/>
  <c r="BQ29" i="32"/>
  <c r="BQ28" i="32"/>
  <c r="BQ27" i="32"/>
  <c r="BQ26" i="32"/>
  <c r="BQ25" i="32"/>
  <c r="BK31" i="32"/>
  <c r="BK30" i="32"/>
  <c r="BK29" i="32"/>
  <c r="BK28" i="32"/>
  <c r="BK27" i="32"/>
  <c r="BK26" i="32"/>
  <c r="BW25" i="32"/>
  <c r="BK25" i="32"/>
  <c r="CD25" i="32" s="1"/>
  <c r="AM38" i="32"/>
  <c r="CE38" i="32" s="1"/>
  <c r="BU21" i="32"/>
  <c r="AS33" i="32"/>
  <c r="BP43" i="32"/>
  <c r="BI45" i="32"/>
  <c r="BO43" i="32"/>
  <c r="BI41" i="32"/>
  <c r="CB41" i="32" s="1"/>
  <c r="BO39" i="32"/>
  <c r="BO45" i="32"/>
  <c r="BI43" i="32"/>
  <c r="BO42" i="32"/>
  <c r="BI42" i="32"/>
  <c r="BI40" i="32"/>
  <c r="CB40" i="32" s="1"/>
  <c r="BU39" i="32"/>
  <c r="BO40" i="32"/>
  <c r="BI39" i="32"/>
  <c r="CB39" i="32" s="1"/>
  <c r="BO41" i="32"/>
  <c r="BO44" i="32"/>
  <c r="BI44" i="32"/>
  <c r="BI31" i="32"/>
  <c r="CB31" i="32" s="1"/>
  <c r="BI30" i="32"/>
  <c r="CB30" i="32" s="1"/>
  <c r="BI29" i="32"/>
  <c r="CB29" i="32" s="1"/>
  <c r="BI28" i="32"/>
  <c r="BI27" i="32"/>
  <c r="CB27" i="32" s="1"/>
  <c r="BI26" i="32"/>
  <c r="CB26" i="32" s="1"/>
  <c r="BU25" i="32"/>
  <c r="BI25" i="32"/>
  <c r="CB25" i="32" s="1"/>
  <c r="BO31" i="32"/>
  <c r="BO30" i="32"/>
  <c r="BO29" i="32"/>
  <c r="BO28" i="32"/>
  <c r="BO27" i="32"/>
  <c r="BO26" i="32"/>
  <c r="BO25" i="32"/>
  <c r="BQ23" i="32"/>
  <c r="AU23" i="32"/>
  <c r="AP15" i="32"/>
  <c r="BJ51" i="32"/>
  <c r="BP51" i="32"/>
  <c r="BP52" i="32"/>
  <c r="BP48" i="32"/>
  <c r="BV46" i="32"/>
  <c r="BJ46" i="32"/>
  <c r="BJ50" i="32"/>
  <c r="BP47" i="32"/>
  <c r="BP50" i="32"/>
  <c r="BP49" i="32"/>
  <c r="BJ49" i="32"/>
  <c r="BJ48" i="32"/>
  <c r="BJ47" i="32"/>
  <c r="BP46" i="32"/>
  <c r="BJ52" i="32"/>
  <c r="BQ15" i="32"/>
  <c r="BU11" i="32"/>
  <c r="CG7" i="32"/>
  <c r="CH10" i="32"/>
  <c r="CH9" i="32"/>
  <c r="CH8" i="32"/>
  <c r="CH7" i="32"/>
  <c r="CH6" i="32"/>
  <c r="CH5" i="32"/>
  <c r="CH4" i="32"/>
  <c r="CA10" i="32"/>
  <c r="CA9" i="32"/>
  <c r="CA8" i="32"/>
  <c r="CA7" i="32"/>
  <c r="CA6" i="32"/>
  <c r="CA5" i="32"/>
  <c r="CA4" i="32"/>
  <c r="BQ34" i="32"/>
  <c r="AO35" i="32"/>
  <c r="CG35" i="32" s="1"/>
  <c r="BY23" i="32"/>
  <c r="BL17" i="32"/>
  <c r="AR19" i="32"/>
  <c r="H7" i="28"/>
  <c r="C6" i="28"/>
  <c r="D6" i="28" s="1"/>
  <c r="E6" i="25"/>
  <c r="AA6" i="7"/>
  <c r="E7" i="25"/>
  <c r="AA7" i="7"/>
  <c r="H9" i="25"/>
  <c r="H7" i="16"/>
  <c r="C6" i="16"/>
  <c r="D6" i="16" s="1"/>
  <c r="E7" i="16" s="1"/>
  <c r="Q5" i="17"/>
  <c r="G5" i="17" s="1"/>
  <c r="C5" i="17" s="1"/>
  <c r="D5" i="17" s="1"/>
  <c r="E6" i="17" s="1"/>
  <c r="P5" i="17"/>
  <c r="C6" i="19"/>
  <c r="D6" i="19" s="1"/>
  <c r="E7" i="19" s="1"/>
  <c r="Y6" i="33"/>
  <c r="Q9" i="18"/>
  <c r="G9" i="18" s="1"/>
  <c r="P9" i="18"/>
  <c r="H8" i="20"/>
  <c r="C7" i="20"/>
  <c r="D7" i="20" s="1"/>
  <c r="E8" i="20" s="1"/>
  <c r="BU50" i="32"/>
  <c r="BY47" i="32"/>
  <c r="BZ51" i="32"/>
  <c r="AP45" i="32"/>
  <c r="BW43" i="32"/>
  <c r="AJ42" i="32"/>
  <c r="BJ42" i="32"/>
  <c r="AS41" i="32"/>
  <c r="BJ38" i="32"/>
  <c r="BP36" i="32"/>
  <c r="BJ34" i="32"/>
  <c r="BP32" i="32"/>
  <c r="BP38" i="32"/>
  <c r="BJ36" i="32"/>
  <c r="BV32" i="32"/>
  <c r="BP37" i="32"/>
  <c r="BP35" i="32"/>
  <c r="BJ35" i="32"/>
  <c r="BP34" i="32"/>
  <c r="BJ32" i="32"/>
  <c r="BJ37" i="32"/>
  <c r="BP33" i="32"/>
  <c r="BJ33" i="32"/>
  <c r="AK30" i="32"/>
  <c r="AO27" i="32"/>
  <c r="CG27" i="32" s="1"/>
  <c r="AK26" i="32"/>
  <c r="AS31" i="32"/>
  <c r="AS30" i="32"/>
  <c r="AS29" i="32"/>
  <c r="AS28" i="32"/>
  <c r="AS27" i="32"/>
  <c r="AS26" i="32"/>
  <c r="AS25" i="32"/>
  <c r="AM31" i="32"/>
  <c r="CE31" i="32" s="1"/>
  <c r="AM30" i="32"/>
  <c r="CE30" i="32" s="1"/>
  <c r="AM29" i="32"/>
  <c r="CE29" i="32" s="1"/>
  <c r="AM28" i="32"/>
  <c r="CE28" i="32" s="1"/>
  <c r="AM27" i="32"/>
  <c r="CE27" i="32" s="1"/>
  <c r="AM26" i="32"/>
  <c r="CE26" i="32" s="1"/>
  <c r="AM25" i="32"/>
  <c r="CE25" i="32" s="1"/>
  <c r="BU43" i="32"/>
  <c r="AJ44" i="32"/>
  <c r="CB44" i="32" s="1"/>
  <c r="AM35" i="32"/>
  <c r="CE35" i="32" s="1"/>
  <c r="BZ30" i="32"/>
  <c r="BV28" i="32"/>
  <c r="BV27" i="32"/>
  <c r="BV26" i="32"/>
  <c r="BP31" i="32"/>
  <c r="BP30" i="32"/>
  <c r="BP29" i="32"/>
  <c r="BP28" i="32"/>
  <c r="BP27" i="32"/>
  <c r="BP26" i="32"/>
  <c r="BP25" i="32"/>
  <c r="BJ29" i="32"/>
  <c r="CC29" i="32" s="1"/>
  <c r="BJ26" i="32"/>
  <c r="BV25" i="32"/>
  <c r="BJ31" i="32"/>
  <c r="CC31" i="32" s="1"/>
  <c r="BJ30" i="32"/>
  <c r="BJ27" i="32"/>
  <c r="BJ28" i="32"/>
  <c r="CC28" i="32" s="1"/>
  <c r="BJ25" i="32"/>
  <c r="CC25" i="32" s="1"/>
  <c r="BX21" i="32"/>
  <c r="BJ44" i="32"/>
  <c r="BV39" i="32"/>
  <c r="BQ45" i="32"/>
  <c r="BK43" i="32"/>
  <c r="BQ41" i="32"/>
  <c r="BW39" i="32"/>
  <c r="BK39" i="32"/>
  <c r="BK41" i="32"/>
  <c r="BK45" i="32"/>
  <c r="BK44" i="32"/>
  <c r="BQ43" i="32"/>
  <c r="BQ39" i="32"/>
  <c r="BQ44" i="32"/>
  <c r="BQ42" i="32"/>
  <c r="BK42" i="32"/>
  <c r="BK40" i="32"/>
  <c r="BQ40" i="32"/>
  <c r="BM45" i="32"/>
  <c r="CF45" i="32" s="1"/>
  <c r="BS43" i="32"/>
  <c r="BM41" i="32"/>
  <c r="BS39" i="32"/>
  <c r="BM44" i="32"/>
  <c r="CF44" i="32" s="1"/>
  <c r="BS40" i="32"/>
  <c r="BM42" i="32"/>
  <c r="CF42" i="32" s="1"/>
  <c r="BS41" i="32"/>
  <c r="BY39" i="32"/>
  <c r="BS44" i="32"/>
  <c r="BS42" i="32"/>
  <c r="BM40" i="32"/>
  <c r="CF40" i="32" s="1"/>
  <c r="BS45" i="32"/>
  <c r="BM39" i="32"/>
  <c r="CF39" i="32" s="1"/>
  <c r="BM43" i="32"/>
  <c r="CF43" i="32" s="1"/>
  <c r="AU30" i="32"/>
  <c r="BU42" i="32"/>
  <c r="CF26" i="32"/>
  <c r="CF30" i="32"/>
  <c r="BS22" i="32"/>
  <c r="BS23" i="32"/>
  <c r="BJ21" i="32"/>
  <c r="BJ23" i="32"/>
  <c r="BJ22" i="32"/>
  <c r="BJ20" i="32"/>
  <c r="BJ19" i="32"/>
  <c r="BP18" i="32"/>
  <c r="BJ24" i="32"/>
  <c r="BP19" i="32"/>
  <c r="BV18" i="32"/>
  <c r="BJ18" i="32"/>
  <c r="AU20" i="32"/>
  <c r="AU21" i="32"/>
  <c r="AL15" i="32"/>
  <c r="CD15" i="32" s="1"/>
  <c r="BP14" i="32"/>
  <c r="CM13" i="32"/>
  <c r="CM12" i="32"/>
  <c r="CM11" i="32"/>
  <c r="CD11" i="32"/>
  <c r="CD9" i="32"/>
  <c r="CD6" i="32"/>
  <c r="CD4" i="32"/>
  <c r="AM52" i="32"/>
  <c r="CE52" i="32" s="1"/>
  <c r="AS52" i="32"/>
  <c r="AM50" i="32"/>
  <c r="CE50" i="32" s="1"/>
  <c r="AS49" i="32"/>
  <c r="AM47" i="32"/>
  <c r="CE47" i="32" s="1"/>
  <c r="AS48" i="32"/>
  <c r="AM48" i="32"/>
  <c r="CE48" i="32" s="1"/>
  <c r="AS47" i="32"/>
  <c r="AS51" i="32"/>
  <c r="AM51" i="32"/>
  <c r="CE51" i="32" s="1"/>
  <c r="AS50" i="32"/>
  <c r="AS46" i="32"/>
  <c r="AM46" i="32"/>
  <c r="CE46" i="32" s="1"/>
  <c r="AM49" i="32"/>
  <c r="CE49" i="32" s="1"/>
  <c r="AQ52" i="32"/>
  <c r="AK52" i="32"/>
  <c r="CC52" i="32" s="1"/>
  <c r="AQ50" i="32"/>
  <c r="AQ51" i="32"/>
  <c r="AK49" i="32"/>
  <c r="CC49" i="32" s="1"/>
  <c r="AQ47" i="32"/>
  <c r="AK50" i="32"/>
  <c r="CC50" i="32" s="1"/>
  <c r="AK47" i="32"/>
  <c r="CC47" i="32" s="1"/>
  <c r="AQ46" i="32"/>
  <c r="AQ49" i="32"/>
  <c r="AQ48" i="32"/>
  <c r="AK48" i="32"/>
  <c r="CC48" i="32" s="1"/>
  <c r="AK51" i="32"/>
  <c r="CC51" i="32" s="1"/>
  <c r="AK46" i="32"/>
  <c r="CC46" i="32" s="1"/>
  <c r="AT51" i="32"/>
  <c r="AN51" i="32"/>
  <c r="CF51" i="32" s="1"/>
  <c r="AT50" i="32"/>
  <c r="AN48" i="32"/>
  <c r="CF48" i="32" s="1"/>
  <c r="AT46" i="32"/>
  <c r="AT52" i="32"/>
  <c r="AN47" i="32"/>
  <c r="CF47" i="32" s="1"/>
  <c r="AN50" i="32"/>
  <c r="CF50" i="32" s="1"/>
  <c r="AT48" i="32"/>
  <c r="AN46" i="32"/>
  <c r="CF46" i="32" s="1"/>
  <c r="AN49" i="32"/>
  <c r="CF49" i="32" s="1"/>
  <c r="AT49" i="32"/>
  <c r="AT47" i="32"/>
  <c r="AN52" i="32"/>
  <c r="CF52" i="32" s="1"/>
  <c r="CF41" i="32"/>
  <c r="AT43" i="32"/>
  <c r="BK36" i="32"/>
  <c r="BM38" i="32"/>
  <c r="AJ35" i="32"/>
  <c r="CB35" i="32" s="1"/>
  <c r="CB33" i="32"/>
  <c r="BX20" i="32"/>
  <c r="BY20" i="32"/>
  <c r="AQ24" i="32"/>
  <c r="BM24" i="32"/>
  <c r="BM22" i="32"/>
  <c r="BM20" i="32"/>
  <c r="BM21" i="32"/>
  <c r="BM23" i="32"/>
  <c r="BM19" i="32"/>
  <c r="BS18" i="32"/>
  <c r="BS19" i="32"/>
  <c r="BY18" i="32"/>
  <c r="BM18" i="32"/>
  <c r="BT22" i="32"/>
  <c r="BT23" i="32"/>
  <c r="AR23" i="32"/>
  <c r="BM15" i="32"/>
  <c r="AK15" i="32"/>
  <c r="CC15" i="32" s="1"/>
  <c r="BO14" i="32"/>
  <c r="CC12" i="32"/>
  <c r="CC11" i="32"/>
  <c r="CC9" i="32"/>
  <c r="CC7" i="32"/>
  <c r="CC5" i="32"/>
  <c r="CC4" i="32"/>
  <c r="BR43" i="32"/>
  <c r="BR42" i="32"/>
  <c r="BU38" i="32"/>
  <c r="BX38" i="32"/>
  <c r="BU35" i="32"/>
  <c r="CA35" i="32" s="1"/>
  <c r="AU34" i="32"/>
  <c r="BK37" i="32"/>
  <c r="BQ35" i="32"/>
  <c r="BQ37" i="32"/>
  <c r="CH38" i="32"/>
  <c r="CH34" i="32"/>
  <c r="CA38" i="32"/>
  <c r="CH37" i="32"/>
  <c r="CA32" i="32"/>
  <c r="CA34" i="32"/>
  <c r="CH33" i="32"/>
  <c r="CH36" i="32"/>
  <c r="CA33" i="32"/>
  <c r="CH32" i="32"/>
  <c r="CA36" i="32"/>
  <c r="CH35" i="32"/>
  <c r="BO36" i="32"/>
  <c r="BP21" i="32"/>
  <c r="O33" i="7"/>
  <c r="AN23" i="32"/>
  <c r="CF23" i="32" s="1"/>
  <c r="AN24" i="32"/>
  <c r="CF24" i="32" s="1"/>
  <c r="AN22" i="32"/>
  <c r="CF22" i="32" s="1"/>
  <c r="AN20" i="32"/>
  <c r="CF20" i="32" s="1"/>
  <c r="AT19" i="32"/>
  <c r="AN18" i="32"/>
  <c r="CF18" i="32" s="1"/>
  <c r="AN21" i="32"/>
  <c r="AN19" i="32"/>
  <c r="CF19" i="32" s="1"/>
  <c r="AT18" i="32"/>
  <c r="O36" i="7"/>
  <c r="C10" i="13" s="1"/>
  <c r="BP17" i="32"/>
  <c r="BO16" i="32"/>
  <c r="BP15" i="32"/>
  <c r="AL14" i="32"/>
  <c r="CD14" i="32" s="1"/>
  <c r="AN9" i="32"/>
  <c r="CF9" i="32" s="1"/>
  <c r="AP43" i="32"/>
  <c r="AO34" i="32"/>
  <c r="CG34" i="32" s="1"/>
  <c r="CB28" i="32"/>
  <c r="AS23" i="32"/>
  <c r="AS21" i="32"/>
  <c r="BO20" i="32"/>
  <c r="BS17" i="32"/>
  <c r="CM15" i="32"/>
  <c r="AQ15" i="32"/>
  <c r="BR16" i="32"/>
  <c r="BL16" i="32"/>
  <c r="BL14" i="32"/>
  <c r="P7" i="28"/>
  <c r="Q7" i="28"/>
  <c r="G7" i="28" s="1"/>
  <c r="V7" i="7"/>
  <c r="BZ18" i="32"/>
  <c r="BN21" i="32"/>
  <c r="BQ16" i="32"/>
  <c r="E6" i="28"/>
  <c r="AB6" i="7"/>
  <c r="P6" i="27"/>
  <c r="Q6" i="27"/>
  <c r="G6" i="27" s="1"/>
  <c r="T6" i="7"/>
  <c r="Q6" i="11"/>
  <c r="G6" i="11" s="1"/>
  <c r="C6" i="11" s="1"/>
  <c r="D6" i="11" s="1"/>
  <c r="Q6" i="7"/>
  <c r="P6" i="11"/>
  <c r="G11" i="13"/>
  <c r="E7" i="11" l="1"/>
  <c r="W7" i="7"/>
  <c r="CM19" i="32"/>
  <c r="CM20" i="32"/>
  <c r="CM21" i="32"/>
  <c r="CM24" i="32"/>
  <c r="CM18" i="32"/>
  <c r="CM23" i="32"/>
  <c r="CM22" i="32"/>
  <c r="CA37" i="32"/>
  <c r="CI35" i="32"/>
  <c r="CI33" i="32"/>
  <c r="CI36" i="32"/>
  <c r="CI38" i="32"/>
  <c r="CI32" i="32"/>
  <c r="CI37" i="32"/>
  <c r="CI34" i="32"/>
  <c r="H9" i="20"/>
  <c r="E7" i="28"/>
  <c r="AB7" i="7"/>
  <c r="CH31" i="32"/>
  <c r="CA31" i="32"/>
  <c r="CA30" i="32"/>
  <c r="CA29" i="32"/>
  <c r="CA28" i="32"/>
  <c r="CA27" i="32"/>
  <c r="CA26" i="32"/>
  <c r="CA25" i="32"/>
  <c r="CH28" i="32"/>
  <c r="CH25" i="32"/>
  <c r="CH29" i="32"/>
  <c r="CH26" i="32"/>
  <c r="CH30" i="32"/>
  <c r="CH27" i="32"/>
  <c r="CA43" i="32"/>
  <c r="CH42" i="32"/>
  <c r="CA39" i="32"/>
  <c r="CH44" i="32"/>
  <c r="CA41" i="32"/>
  <c r="CA44" i="32"/>
  <c r="CH41" i="32"/>
  <c r="CA42" i="32"/>
  <c r="CH40" i="32"/>
  <c r="CA40" i="32"/>
  <c r="CH43" i="32"/>
  <c r="CH45" i="32"/>
  <c r="CH39" i="32"/>
  <c r="CA45" i="32"/>
  <c r="CJ30" i="32"/>
  <c r="CJ29" i="32"/>
  <c r="CJ28" i="32"/>
  <c r="CJ27" i="32"/>
  <c r="CJ26" i="32"/>
  <c r="CJ25" i="32"/>
  <c r="CJ31" i="32"/>
  <c r="CD28" i="32"/>
  <c r="E9" i="26"/>
  <c r="X9" i="7"/>
  <c r="Y8" i="7"/>
  <c r="E8" i="24"/>
  <c r="CJ23" i="32"/>
  <c r="CJ22" i="32"/>
  <c r="CJ20" i="32"/>
  <c r="CJ19" i="32"/>
  <c r="CJ18" i="32"/>
  <c r="CJ21" i="32"/>
  <c r="CJ24" i="32"/>
  <c r="CK19" i="32"/>
  <c r="CK18" i="32"/>
  <c r="CK22" i="32"/>
  <c r="CK21" i="32"/>
  <c r="CK20" i="32"/>
  <c r="CK23" i="32"/>
  <c r="CK24" i="32"/>
  <c r="CJ13" i="32"/>
  <c r="CJ12" i="32"/>
  <c r="CJ11" i="32"/>
  <c r="CJ16" i="32"/>
  <c r="CJ17" i="32"/>
  <c r="CJ14" i="32"/>
  <c r="CJ15" i="32"/>
  <c r="CG24" i="32"/>
  <c r="CG46" i="32"/>
  <c r="CG52" i="32"/>
  <c r="CD20" i="32"/>
  <c r="F17" i="11"/>
  <c r="K18" i="11"/>
  <c r="F10" i="26"/>
  <c r="AH10" i="26"/>
  <c r="AF19" i="25"/>
  <c r="F20" i="25" s="1"/>
  <c r="AG19" i="25"/>
  <c r="K20" i="25" s="1"/>
  <c r="AE19" i="25"/>
  <c r="A20" i="25"/>
  <c r="CC14" i="32"/>
  <c r="CA21" i="32"/>
  <c r="CA23" i="32"/>
  <c r="CA24" i="32"/>
  <c r="CA22" i="32"/>
  <c r="C11" i="13" s="1"/>
  <c r="CA20" i="32"/>
  <c r="CA18" i="32"/>
  <c r="CA19" i="32"/>
  <c r="CH21" i="32"/>
  <c r="CH24" i="32"/>
  <c r="CH23" i="32"/>
  <c r="CH20" i="32"/>
  <c r="CH18" i="32"/>
  <c r="CH22" i="32"/>
  <c r="CH19" i="32"/>
  <c r="CF15" i="32"/>
  <c r="CI15" i="32"/>
  <c r="CC27" i="32"/>
  <c r="CG37" i="32"/>
  <c r="CC21" i="32"/>
  <c r="CC36" i="32"/>
  <c r="CC33" i="32"/>
  <c r="CD39" i="32"/>
  <c r="CD33" i="32"/>
  <c r="CD36" i="32"/>
  <c r="Q9" i="16"/>
  <c r="G9" i="16" s="1"/>
  <c r="P9" i="16"/>
  <c r="CL37" i="32"/>
  <c r="CL38" i="32"/>
  <c r="Q7" i="7"/>
  <c r="Q7" i="11"/>
  <c r="G7" i="11" s="1"/>
  <c r="P7" i="11"/>
  <c r="Q7" i="27"/>
  <c r="G7" i="27" s="1"/>
  <c r="P7" i="27"/>
  <c r="T7" i="7"/>
  <c r="Q8" i="28"/>
  <c r="G8" i="28" s="1"/>
  <c r="P8" i="28"/>
  <c r="V8" i="7"/>
  <c r="CL19" i="32"/>
  <c r="CL18" i="32"/>
  <c r="CL22" i="32"/>
  <c r="CL21" i="32"/>
  <c r="CL20" i="32"/>
  <c r="CL24" i="32"/>
  <c r="CL23" i="32"/>
  <c r="CI18" i="32"/>
  <c r="CI19" i="32"/>
  <c r="CI23" i="32"/>
  <c r="CI22" i="32"/>
  <c r="CI21" i="32"/>
  <c r="CI24" i="32"/>
  <c r="CI20" i="32"/>
  <c r="CC26" i="32"/>
  <c r="CB42" i="32"/>
  <c r="P10" i="18"/>
  <c r="Q10" i="18"/>
  <c r="G10" i="18" s="1"/>
  <c r="C7" i="16"/>
  <c r="D7" i="16" s="1"/>
  <c r="E8" i="16" s="1"/>
  <c r="H8" i="16"/>
  <c r="H8" i="28"/>
  <c r="C7" i="28"/>
  <c r="D7" i="28" s="1"/>
  <c r="E8" i="25"/>
  <c r="AA8" i="7"/>
  <c r="K19" i="24"/>
  <c r="F18" i="24"/>
  <c r="Q10" i="26"/>
  <c r="G10" i="26" s="1"/>
  <c r="P10" i="26"/>
  <c r="R10" i="7"/>
  <c r="CM31" i="32"/>
  <c r="CM30" i="32"/>
  <c r="CM29" i="32"/>
  <c r="CM28" i="32"/>
  <c r="CM27" i="32"/>
  <c r="CM26" i="32"/>
  <c r="CM25" i="32"/>
  <c r="H10" i="19"/>
  <c r="CD27" i="32"/>
  <c r="C7" i="11"/>
  <c r="D7" i="11" s="1"/>
  <c r="H8" i="11"/>
  <c r="C9" i="26"/>
  <c r="D9" i="26" s="1"/>
  <c r="H10" i="26"/>
  <c r="H9" i="24"/>
  <c r="C8" i="24"/>
  <c r="D8" i="24" s="1"/>
  <c r="CG23" i="32"/>
  <c r="CD22" i="32"/>
  <c r="CD24" i="32"/>
  <c r="A19" i="11"/>
  <c r="AG18" i="11"/>
  <c r="AF18" i="11"/>
  <c r="AE18" i="11"/>
  <c r="P8" i="24"/>
  <c r="Q8" i="24"/>
  <c r="G8" i="24" s="1"/>
  <c r="S8" i="7"/>
  <c r="CE15" i="32"/>
  <c r="CK50" i="32"/>
  <c r="CK52" i="32"/>
  <c r="CK49" i="32"/>
  <c r="CK48" i="32"/>
  <c r="CK47" i="32"/>
  <c r="CK51" i="32"/>
  <c r="CK46" i="32"/>
  <c r="CI17" i="32"/>
  <c r="CC44" i="32"/>
  <c r="CC42" i="32"/>
  <c r="CE37" i="32"/>
  <c r="CG28" i="32"/>
  <c r="CM35" i="32"/>
  <c r="CM37" i="32"/>
  <c r="CM34" i="32"/>
  <c r="CM33" i="32"/>
  <c r="CM36" i="32"/>
  <c r="CM38" i="32"/>
  <c r="CM32" i="32"/>
  <c r="CC19" i="32"/>
  <c r="CC22" i="32"/>
  <c r="CC38" i="32"/>
  <c r="CD44" i="32"/>
  <c r="CD45" i="32"/>
  <c r="CD38" i="32"/>
  <c r="CG40" i="32"/>
  <c r="CG41" i="32"/>
  <c r="CL42" i="32"/>
  <c r="CL41" i="32"/>
  <c r="CL45" i="32"/>
  <c r="CL43" i="32"/>
  <c r="CL39" i="32"/>
  <c r="CL44" i="32"/>
  <c r="CL40" i="32"/>
  <c r="CJ44" i="32"/>
  <c r="CJ40" i="32"/>
  <c r="CJ45" i="32"/>
  <c r="CJ43" i="32"/>
  <c r="CJ42" i="32"/>
  <c r="CJ41" i="32"/>
  <c r="CJ39" i="32"/>
  <c r="CI43" i="32"/>
  <c r="CI39" i="32"/>
  <c r="CI40" i="32"/>
  <c r="CI44" i="32"/>
  <c r="CI42" i="32"/>
  <c r="CI45" i="32"/>
  <c r="CI41" i="32"/>
  <c r="CI31" i="32"/>
  <c r="CI30" i="32"/>
  <c r="CI29" i="32"/>
  <c r="CI28" i="32"/>
  <c r="CI27" i="32"/>
  <c r="CI26" i="32"/>
  <c r="CI25" i="32"/>
  <c r="Q6" i="17"/>
  <c r="G6" i="17" s="1"/>
  <c r="C6" i="17" s="1"/>
  <c r="D6" i="17" s="1"/>
  <c r="E7" i="17" s="1"/>
  <c r="P6" i="17"/>
  <c r="CL31" i="32"/>
  <c r="CL25" i="32"/>
  <c r="CL29" i="32"/>
  <c r="CL26" i="32"/>
  <c r="CL30" i="32"/>
  <c r="CL27" i="32"/>
  <c r="CL28" i="32"/>
  <c r="B9" i="33"/>
  <c r="W8" i="33"/>
  <c r="S8" i="33"/>
  <c r="O8" i="33"/>
  <c r="Y8" i="33"/>
  <c r="U8" i="33"/>
  <c r="Q8" i="33"/>
  <c r="X8" i="33"/>
  <c r="P8" i="33"/>
  <c r="H8" i="33"/>
  <c r="V8" i="33"/>
  <c r="L8" i="33"/>
  <c r="T8" i="33"/>
  <c r="J8" i="33"/>
  <c r="R8" i="33"/>
  <c r="F8" i="33"/>
  <c r="Z8" i="33"/>
  <c r="N8" i="33"/>
  <c r="D8" i="33"/>
  <c r="P8" i="25"/>
  <c r="U8" i="7"/>
  <c r="Q8" i="25"/>
  <c r="G8" i="25" s="1"/>
  <c r="C8" i="25" s="1"/>
  <c r="D8" i="25" s="1"/>
  <c r="AE19" i="24"/>
  <c r="AG19" i="24"/>
  <c r="AF19" i="24"/>
  <c r="A20" i="24"/>
  <c r="CK37" i="32"/>
  <c r="CK33" i="32"/>
  <c r="CK38" i="32"/>
  <c r="CK36" i="32"/>
  <c r="CK35" i="32"/>
  <c r="CK34" i="32"/>
  <c r="CK32" i="32"/>
  <c r="CD26" i="32"/>
  <c r="CD30" i="32"/>
  <c r="A19" i="26"/>
  <c r="AE18" i="26"/>
  <c r="AG18" i="26"/>
  <c r="AF18" i="26"/>
  <c r="CJ10" i="32"/>
  <c r="CJ9" i="32"/>
  <c r="CJ8" i="32"/>
  <c r="CJ7" i="32"/>
  <c r="CJ6" i="32"/>
  <c r="CJ5" i="32"/>
  <c r="CJ4" i="32"/>
  <c r="CG21" i="32"/>
  <c r="CM52" i="32"/>
  <c r="CM50" i="32"/>
  <c r="CM51" i="32"/>
  <c r="CM47" i="32"/>
  <c r="CM49" i="32"/>
  <c r="CM46" i="32"/>
  <c r="CM48" i="32"/>
  <c r="CB17" i="32"/>
  <c r="H18" i="7"/>
  <c r="E6" i="27"/>
  <c r="Z6" i="7"/>
  <c r="CE17" i="32"/>
  <c r="CA52" i="32"/>
  <c r="CH51" i="32"/>
  <c r="CA50" i="32"/>
  <c r="CA47" i="32"/>
  <c r="CH46" i="32"/>
  <c r="CH52" i="32"/>
  <c r="CA48" i="32"/>
  <c r="CH47" i="32"/>
  <c r="CA51" i="32"/>
  <c r="CH49" i="32"/>
  <c r="CA49" i="32"/>
  <c r="CA46" i="32"/>
  <c r="CH50" i="32"/>
  <c r="CH48" i="32"/>
  <c r="CF14" i="32"/>
  <c r="CM43" i="32"/>
  <c r="CM39" i="32"/>
  <c r="CM44" i="32"/>
  <c r="CM45" i="32"/>
  <c r="CM41" i="32"/>
  <c r="CM42" i="32"/>
  <c r="CM40" i="32"/>
  <c r="CB43" i="32"/>
  <c r="Q8" i="19"/>
  <c r="G8" i="19" s="1"/>
  <c r="C8" i="19" s="1"/>
  <c r="D8" i="19" s="1"/>
  <c r="E9" i="19" s="1"/>
  <c r="P8" i="19"/>
  <c r="CC18" i="32"/>
  <c r="CC20" i="32"/>
  <c r="CC24" i="32"/>
  <c r="CL51" i="32"/>
  <c r="CL50" i="32"/>
  <c r="CL46" i="32"/>
  <c r="CL48" i="32"/>
  <c r="CL52" i="32"/>
  <c r="CL49" i="32"/>
  <c r="CL47" i="32"/>
  <c r="CC32" i="32"/>
  <c r="CC37" i="32"/>
  <c r="CD37" i="32"/>
  <c r="CD35" i="32"/>
  <c r="CB45" i="32"/>
  <c r="CG39" i="32"/>
  <c r="CG43" i="32"/>
  <c r="CL36" i="32"/>
  <c r="CL35" i="32"/>
  <c r="CF21" i="32"/>
  <c r="CC30" i="32"/>
  <c r="H10" i="25"/>
  <c r="CH13" i="32"/>
  <c r="CH12" i="32"/>
  <c r="CH11" i="32"/>
  <c r="CA14" i="32"/>
  <c r="CA16" i="32"/>
  <c r="CA17" i="32"/>
  <c r="CA15" i="32"/>
  <c r="CA13" i="32"/>
  <c r="CA12" i="32"/>
  <c r="CA11" i="32"/>
  <c r="CH17" i="32"/>
  <c r="CH15" i="32"/>
  <c r="CH16" i="32"/>
  <c r="CH14" i="32"/>
  <c r="CI52" i="32"/>
  <c r="CI50" i="32"/>
  <c r="CI47" i="32"/>
  <c r="CI49" i="32"/>
  <c r="CI46" i="32"/>
  <c r="CI48" i="32"/>
  <c r="CI51" i="32"/>
  <c r="CF38" i="32"/>
  <c r="AG19" i="27"/>
  <c r="K20" i="27" s="1"/>
  <c r="AF19" i="27"/>
  <c r="F20" i="27" s="1"/>
  <c r="AE19" i="27"/>
  <c r="A20" i="27"/>
  <c r="Q8" i="20"/>
  <c r="G8" i="20" s="1"/>
  <c r="C8" i="20" s="1"/>
  <c r="D8" i="20" s="1"/>
  <c r="E9" i="20" s="1"/>
  <c r="P8" i="20"/>
  <c r="CD29" i="32"/>
  <c r="CD31" i="32"/>
  <c r="E7" i="26"/>
  <c r="X7" i="7"/>
  <c r="E5" i="28"/>
  <c r="AB5" i="7"/>
  <c r="CG22" i="32"/>
  <c r="CG51" i="32"/>
  <c r="CB14" i="32"/>
  <c r="CD19" i="32"/>
  <c r="CD21" i="32"/>
  <c r="AE18" i="28"/>
  <c r="L19" i="7" s="1"/>
  <c r="AG18" i="28"/>
  <c r="K19" i="28" s="1"/>
  <c r="A19" i="28"/>
  <c r="AF18" i="28"/>
  <c r="F19" i="28" s="1"/>
  <c r="H7" i="27"/>
  <c r="C6" i="27"/>
  <c r="D6" i="27" s="1"/>
  <c r="C12" i="13"/>
  <c r="CJ36" i="32"/>
  <c r="CJ32" i="32"/>
  <c r="CJ38" i="32"/>
  <c r="CJ37" i="32"/>
  <c r="CJ35" i="32"/>
  <c r="CJ34" i="32"/>
  <c r="CJ33" i="32"/>
  <c r="CE16" i="32"/>
  <c r="CE14" i="32"/>
  <c r="CJ51" i="32"/>
  <c r="CJ48" i="32"/>
  <c r="CJ52" i="32"/>
  <c r="CJ49" i="32"/>
  <c r="CJ46" i="32"/>
  <c r="CJ50" i="32"/>
  <c r="CJ47" i="32"/>
  <c r="CE33" i="32"/>
  <c r="CC45" i="32"/>
  <c r="CE44" i="32"/>
  <c r="CC23" i="32"/>
  <c r="CC34" i="32"/>
  <c r="CC35" i="32"/>
  <c r="CD40" i="32"/>
  <c r="CD41" i="32"/>
  <c r="CD43" i="32"/>
  <c r="CD42" i="32"/>
  <c r="CG30" i="32"/>
  <c r="CD34" i="32"/>
  <c r="C8" i="18"/>
  <c r="D8" i="18" s="1"/>
  <c r="E9" i="18" s="1"/>
  <c r="H9" i="18"/>
  <c r="H8" i="17"/>
  <c r="CG42" i="32"/>
  <c r="CG44" i="32"/>
  <c r="CG45" i="32"/>
  <c r="H10" i="18" l="1"/>
  <c r="C9" i="18"/>
  <c r="D9" i="18" s="1"/>
  <c r="E10" i="18" s="1"/>
  <c r="H9" i="17"/>
  <c r="Q9" i="20"/>
  <c r="G9" i="20" s="1"/>
  <c r="C9" i="20" s="1"/>
  <c r="D9" i="20" s="1"/>
  <c r="E10" i="20" s="1"/>
  <c r="P9" i="20"/>
  <c r="P9" i="24"/>
  <c r="Q9" i="24"/>
  <c r="G9" i="24" s="1"/>
  <c r="S9" i="7"/>
  <c r="F18" i="11"/>
  <c r="K19" i="11"/>
  <c r="E10" i="26"/>
  <c r="X10" i="7"/>
  <c r="H11" i="19"/>
  <c r="C8" i="16"/>
  <c r="D8" i="16" s="1"/>
  <c r="E9" i="16" s="1"/>
  <c r="H9" i="16"/>
  <c r="Q8" i="27"/>
  <c r="G8" i="27" s="1"/>
  <c r="P8" i="27"/>
  <c r="T8" i="7"/>
  <c r="H10" i="20"/>
  <c r="K20" i="24"/>
  <c r="F19" i="24"/>
  <c r="U9" i="7"/>
  <c r="Q9" i="25"/>
  <c r="G9" i="25" s="1"/>
  <c r="C9" i="25" s="1"/>
  <c r="D9" i="25" s="1"/>
  <c r="P9" i="25"/>
  <c r="A20" i="11"/>
  <c r="AG19" i="11"/>
  <c r="AF19" i="11"/>
  <c r="AE19" i="11"/>
  <c r="H20" i="7" s="1"/>
  <c r="Y9" i="7"/>
  <c r="E9" i="24"/>
  <c r="H9" i="11"/>
  <c r="Q9" i="28"/>
  <c r="G9" i="28" s="1"/>
  <c r="P9" i="28"/>
  <c r="V9" i="7"/>
  <c r="E7" i="27"/>
  <c r="Z7" i="7"/>
  <c r="A20" i="28"/>
  <c r="AF19" i="28"/>
  <c r="F20" i="28" s="1"/>
  <c r="AG19" i="28"/>
  <c r="K20" i="28" s="1"/>
  <c r="AE19" i="28"/>
  <c r="AF20" i="27"/>
  <c r="F21" i="27" s="1"/>
  <c r="AE20" i="27"/>
  <c r="A21" i="27"/>
  <c r="AG20" i="27"/>
  <c r="K21" i="27" s="1"/>
  <c r="AG19" i="26"/>
  <c r="AF19" i="26"/>
  <c r="AE19" i="26"/>
  <c r="A20" i="26"/>
  <c r="J20" i="7"/>
  <c r="H19" i="7"/>
  <c r="H10" i="24"/>
  <c r="C9" i="24"/>
  <c r="D9" i="24" s="1"/>
  <c r="E8" i="11"/>
  <c r="W8" i="7"/>
  <c r="Q11" i="26"/>
  <c r="G11" i="26" s="1"/>
  <c r="P11" i="26"/>
  <c r="R11" i="7"/>
  <c r="E8" i="28"/>
  <c r="AB8" i="7"/>
  <c r="P8" i="11"/>
  <c r="Q8" i="7"/>
  <c r="Q8" i="11"/>
  <c r="G8" i="11" s="1"/>
  <c r="C8" i="11" s="1"/>
  <c r="D8" i="11" s="1"/>
  <c r="AE20" i="25"/>
  <c r="AF20" i="25"/>
  <c r="F21" i="25" s="1"/>
  <c r="A21" i="25"/>
  <c r="AG20" i="25"/>
  <c r="K21" i="25" s="1"/>
  <c r="AH11" i="26"/>
  <c r="F11" i="26"/>
  <c r="C7" i="27"/>
  <c r="D7" i="27" s="1"/>
  <c r="H8" i="27"/>
  <c r="H11" i="25"/>
  <c r="Q9" i="19"/>
  <c r="G9" i="19" s="1"/>
  <c r="C9" i="19" s="1"/>
  <c r="D9" i="19" s="1"/>
  <c r="E10" i="19" s="1"/>
  <c r="P9" i="19"/>
  <c r="A21" i="24"/>
  <c r="AG20" i="24"/>
  <c r="AF20" i="24"/>
  <c r="AE20" i="24"/>
  <c r="J21" i="7" s="1"/>
  <c r="E9" i="25"/>
  <c r="AA9" i="7"/>
  <c r="Z9" i="33"/>
  <c r="V9" i="33"/>
  <c r="R9" i="33"/>
  <c r="N9" i="33"/>
  <c r="J9" i="33"/>
  <c r="F9" i="33"/>
  <c r="X9" i="33"/>
  <c r="T9" i="33"/>
  <c r="P9" i="33"/>
  <c r="L9" i="33"/>
  <c r="H9" i="33"/>
  <c r="D9" i="33"/>
  <c r="S9" i="33"/>
  <c r="B10" i="33"/>
  <c r="Q9" i="33"/>
  <c r="Y9" i="33"/>
  <c r="O9" i="33"/>
  <c r="W9" i="33"/>
  <c r="U9" i="33"/>
  <c r="Q7" i="17"/>
  <c r="G7" i="17" s="1"/>
  <c r="C7" i="17" s="1"/>
  <c r="D7" i="17" s="1"/>
  <c r="E8" i="17" s="1"/>
  <c r="P7" i="17"/>
  <c r="H11" i="26"/>
  <c r="C10" i="26"/>
  <c r="D10" i="26" s="1"/>
  <c r="H9" i="28"/>
  <c r="C8" i="28"/>
  <c r="D8" i="28" s="1"/>
  <c r="Q11" i="18"/>
  <c r="G11" i="18" s="1"/>
  <c r="P11" i="18"/>
  <c r="P10" i="16"/>
  <c r="Q10" i="16"/>
  <c r="G10" i="16" s="1"/>
  <c r="L20" i="7"/>
  <c r="E9" i="11" l="1"/>
  <c r="W9" i="7"/>
  <c r="F12" i="26"/>
  <c r="AH12" i="26"/>
  <c r="Q9" i="11"/>
  <c r="G9" i="11" s="1"/>
  <c r="P9" i="11"/>
  <c r="Q9" i="7"/>
  <c r="Q12" i="26"/>
  <c r="G12" i="26" s="1"/>
  <c r="P12" i="26"/>
  <c r="R12" i="7"/>
  <c r="Y10" i="7"/>
  <c r="E10" i="24"/>
  <c r="AE21" i="27"/>
  <c r="A22" i="27"/>
  <c r="AG21" i="27"/>
  <c r="K22" i="27" s="1"/>
  <c r="AF21" i="27"/>
  <c r="F22" i="27" s="1"/>
  <c r="C9" i="11"/>
  <c r="D9" i="11" s="1"/>
  <c r="H10" i="11"/>
  <c r="H10" i="16"/>
  <c r="C9" i="16"/>
  <c r="D9" i="16" s="1"/>
  <c r="E10" i="16" s="1"/>
  <c r="H10" i="17"/>
  <c r="P8" i="17"/>
  <c r="Q8" i="17"/>
  <c r="G8" i="17" s="1"/>
  <c r="C8" i="17" s="1"/>
  <c r="D8" i="17" s="1"/>
  <c r="E9" i="17" s="1"/>
  <c r="AG21" i="24"/>
  <c r="A22" i="24"/>
  <c r="AF21" i="24"/>
  <c r="AE21" i="24"/>
  <c r="Q12" i="18"/>
  <c r="G12" i="18" s="1"/>
  <c r="P12" i="18"/>
  <c r="E11" i="26"/>
  <c r="X11" i="7"/>
  <c r="C11" i="26"/>
  <c r="D11" i="26" s="1"/>
  <c r="H12" i="26"/>
  <c r="F20" i="24"/>
  <c r="K21" i="24"/>
  <c r="P10" i="19"/>
  <c r="Q10" i="19"/>
  <c r="G10" i="19" s="1"/>
  <c r="C10" i="19" s="1"/>
  <c r="D10" i="19" s="1"/>
  <c r="E11" i="19" s="1"/>
  <c r="C8" i="27"/>
  <c r="D8" i="27" s="1"/>
  <c r="H9" i="27"/>
  <c r="H11" i="24"/>
  <c r="Q10" i="20"/>
  <c r="G10" i="20" s="1"/>
  <c r="P10" i="20"/>
  <c r="E9" i="28"/>
  <c r="AB9" i="7"/>
  <c r="E8" i="27"/>
  <c r="Z8" i="7"/>
  <c r="A21" i="26"/>
  <c r="AE20" i="26"/>
  <c r="AG20" i="26"/>
  <c r="AF20" i="26"/>
  <c r="AG20" i="28"/>
  <c r="K21" i="28" s="1"/>
  <c r="AE20" i="28"/>
  <c r="L21" i="7" s="1"/>
  <c r="A21" i="28"/>
  <c r="AF20" i="28"/>
  <c r="F21" i="28" s="1"/>
  <c r="P10" i="28"/>
  <c r="Q10" i="28"/>
  <c r="G10" i="28" s="1"/>
  <c r="V10" i="7"/>
  <c r="F19" i="11"/>
  <c r="K20" i="11"/>
  <c r="Q10" i="25"/>
  <c r="G10" i="25" s="1"/>
  <c r="C10" i="25" s="1"/>
  <c r="D10" i="25" s="1"/>
  <c r="P10" i="25"/>
  <c r="U10" i="7"/>
  <c r="Q9" i="27"/>
  <c r="G9" i="27" s="1"/>
  <c r="P9" i="27"/>
  <c r="T9" i="7"/>
  <c r="P10" i="24"/>
  <c r="Q10" i="24"/>
  <c r="G10" i="24" s="1"/>
  <c r="C10" i="24" s="1"/>
  <c r="D10" i="24" s="1"/>
  <c r="S10" i="7"/>
  <c r="H11" i="18"/>
  <c r="C10" i="18"/>
  <c r="D10" i="18" s="1"/>
  <c r="E11" i="18" s="1"/>
  <c r="Q11" i="16"/>
  <c r="G11" i="16" s="1"/>
  <c r="P11" i="16"/>
  <c r="C9" i="28"/>
  <c r="D9" i="28" s="1"/>
  <c r="H10" i="28"/>
  <c r="Y10" i="33"/>
  <c r="U10" i="33"/>
  <c r="Q10" i="33"/>
  <c r="B11" i="33"/>
  <c r="W10" i="33"/>
  <c r="S10" i="33"/>
  <c r="O10" i="33"/>
  <c r="V10" i="33"/>
  <c r="N10" i="33"/>
  <c r="F10" i="33"/>
  <c r="X10" i="33"/>
  <c r="L10" i="33"/>
  <c r="T10" i="33"/>
  <c r="J10" i="33"/>
  <c r="R10" i="33"/>
  <c r="H10" i="33"/>
  <c r="Z10" i="33"/>
  <c r="P10" i="33"/>
  <c r="D10" i="33"/>
  <c r="H12" i="25"/>
  <c r="A22" i="25"/>
  <c r="AF21" i="25"/>
  <c r="F22" i="25" s="1"/>
  <c r="AE21" i="25"/>
  <c r="AG21" i="25"/>
  <c r="K22" i="25" s="1"/>
  <c r="A21" i="11"/>
  <c r="AG20" i="11"/>
  <c r="AF20" i="11"/>
  <c r="AE20" i="11"/>
  <c r="H21" i="7" s="1"/>
  <c r="E10" i="25"/>
  <c r="AA10" i="7"/>
  <c r="H11" i="20"/>
  <c r="C10" i="20"/>
  <c r="D10" i="20" s="1"/>
  <c r="E11" i="20" s="1"/>
  <c r="H12" i="19"/>
  <c r="Y11" i="7" l="1"/>
  <c r="E11" i="24"/>
  <c r="Q12" i="16"/>
  <c r="G12" i="16" s="1"/>
  <c r="P12" i="16"/>
  <c r="C11" i="18"/>
  <c r="D11" i="18" s="1"/>
  <c r="E12" i="18" s="1"/>
  <c r="H12" i="18"/>
  <c r="Q11" i="25"/>
  <c r="G11" i="25" s="1"/>
  <c r="C11" i="25" s="1"/>
  <c r="D11" i="25" s="1"/>
  <c r="U11" i="7"/>
  <c r="P11" i="25"/>
  <c r="AF21" i="28"/>
  <c r="F22" i="28" s="1"/>
  <c r="A22" i="28"/>
  <c r="AE21" i="28"/>
  <c r="AG21" i="28"/>
  <c r="K22" i="28" s="1"/>
  <c r="E9" i="27"/>
  <c r="Z9" i="7"/>
  <c r="AF22" i="24"/>
  <c r="AG22" i="24"/>
  <c r="AE22" i="24"/>
  <c r="A23" i="24"/>
  <c r="Q13" i="26"/>
  <c r="G13" i="26" s="1"/>
  <c r="P13" i="26"/>
  <c r="R13" i="7"/>
  <c r="E10" i="28"/>
  <c r="AB10" i="7"/>
  <c r="P11" i="24"/>
  <c r="Q11" i="24"/>
  <c r="G11" i="24" s="1"/>
  <c r="S11" i="7"/>
  <c r="Q13" i="18"/>
  <c r="G13" i="18" s="1"/>
  <c r="P13" i="18"/>
  <c r="E10" i="11"/>
  <c r="W10" i="7"/>
  <c r="Q10" i="11"/>
  <c r="G10" i="11" s="1"/>
  <c r="Q10" i="7"/>
  <c r="P10" i="11"/>
  <c r="L22" i="7"/>
  <c r="H13" i="25"/>
  <c r="Q10" i="27"/>
  <c r="G10" i="27" s="1"/>
  <c r="P10" i="27"/>
  <c r="T10" i="7"/>
  <c r="E11" i="25"/>
  <c r="AA11" i="7"/>
  <c r="H12" i="24"/>
  <c r="C11" i="24"/>
  <c r="D11" i="24" s="1"/>
  <c r="H13" i="26"/>
  <c r="C12" i="26"/>
  <c r="D12" i="26" s="1"/>
  <c r="F21" i="24"/>
  <c r="K22" i="24"/>
  <c r="Q9" i="17"/>
  <c r="G9" i="17" s="1"/>
  <c r="C9" i="17" s="1"/>
  <c r="D9" i="17" s="1"/>
  <c r="E10" i="17" s="1"/>
  <c r="P9" i="17"/>
  <c r="H11" i="16"/>
  <c r="C10" i="16"/>
  <c r="D10" i="16" s="1"/>
  <c r="E11" i="16" s="1"/>
  <c r="AH13" i="26"/>
  <c r="F13" i="26"/>
  <c r="A22" i="11"/>
  <c r="AG21" i="11"/>
  <c r="AF21" i="11"/>
  <c r="AE21" i="11"/>
  <c r="H22" i="7" s="1"/>
  <c r="AG22" i="25"/>
  <c r="K23" i="25" s="1"/>
  <c r="AF22" i="25"/>
  <c r="F23" i="25" s="1"/>
  <c r="AE22" i="25"/>
  <c r="A23" i="25"/>
  <c r="AG21" i="26"/>
  <c r="AF21" i="26"/>
  <c r="AE21" i="26"/>
  <c r="A22" i="26"/>
  <c r="H10" i="27"/>
  <c r="C9" i="27"/>
  <c r="D9" i="27" s="1"/>
  <c r="H12" i="20"/>
  <c r="X11" i="33"/>
  <c r="T11" i="33"/>
  <c r="P11" i="33"/>
  <c r="L11" i="33"/>
  <c r="H11" i="33"/>
  <c r="D11" i="33"/>
  <c r="Z11" i="33"/>
  <c r="V11" i="33"/>
  <c r="R11" i="33"/>
  <c r="N11" i="33"/>
  <c r="J11" i="33"/>
  <c r="F11" i="33"/>
  <c r="Y11" i="33"/>
  <c r="Q11" i="33"/>
  <c r="B12" i="33"/>
  <c r="S11" i="33"/>
  <c r="O11" i="33"/>
  <c r="W11" i="33"/>
  <c r="U11" i="33"/>
  <c r="H13" i="19"/>
  <c r="F20" i="11"/>
  <c r="K21" i="11"/>
  <c r="C10" i="28"/>
  <c r="D10" i="28" s="1"/>
  <c r="H11" i="28"/>
  <c r="Q11" i="28"/>
  <c r="G11" i="28" s="1"/>
  <c r="P11" i="28"/>
  <c r="V11" i="7"/>
  <c r="Q11" i="20"/>
  <c r="G11" i="20" s="1"/>
  <c r="C11" i="20" s="1"/>
  <c r="D11" i="20" s="1"/>
  <c r="E12" i="20" s="1"/>
  <c r="P11" i="20"/>
  <c r="P11" i="19"/>
  <c r="Q11" i="19"/>
  <c r="G11" i="19" s="1"/>
  <c r="C11" i="19" s="1"/>
  <c r="D11" i="19" s="1"/>
  <c r="E12" i="19" s="1"/>
  <c r="E12" i="26"/>
  <c r="X12" i="7"/>
  <c r="J22" i="7"/>
  <c r="H11" i="17"/>
  <c r="H11" i="11"/>
  <c r="C10" i="11"/>
  <c r="D10" i="11" s="1"/>
  <c r="A23" i="27"/>
  <c r="AG22" i="27"/>
  <c r="K23" i="27" s="1"/>
  <c r="AF22" i="27"/>
  <c r="F23" i="27" s="1"/>
  <c r="AE22" i="27"/>
  <c r="AF23" i="25" l="1"/>
  <c r="F24" i="25" s="1"/>
  <c r="AE23" i="25"/>
  <c r="A24" i="25"/>
  <c r="AG23" i="25"/>
  <c r="K24" i="25" s="1"/>
  <c r="P10" i="17"/>
  <c r="Q10" i="17"/>
  <c r="G10" i="17" s="1"/>
  <c r="C10" i="17" s="1"/>
  <c r="D10" i="17" s="1"/>
  <c r="E11" i="17" s="1"/>
  <c r="P11" i="27"/>
  <c r="Q11" i="27"/>
  <c r="G11" i="27" s="1"/>
  <c r="T11" i="7"/>
  <c r="H12" i="11"/>
  <c r="P12" i="20"/>
  <c r="Q12" i="20"/>
  <c r="G12" i="20" s="1"/>
  <c r="H14" i="19"/>
  <c r="D13" i="33"/>
  <c r="H11" i="27"/>
  <c r="C10" i="27"/>
  <c r="D10" i="27" s="1"/>
  <c r="F14" i="26"/>
  <c r="AH14" i="26"/>
  <c r="E13" i="26"/>
  <c r="X13" i="7"/>
  <c r="AE23" i="24"/>
  <c r="AF23" i="24"/>
  <c r="A24" i="24"/>
  <c r="AG23" i="24"/>
  <c r="P13" i="16"/>
  <c r="Q13" i="16"/>
  <c r="G13" i="16" s="1"/>
  <c r="E11" i="11"/>
  <c r="W11" i="7"/>
  <c r="P12" i="28"/>
  <c r="Q12" i="28"/>
  <c r="G12" i="28" s="1"/>
  <c r="V12" i="7"/>
  <c r="P12" i="25"/>
  <c r="Q12" i="25"/>
  <c r="G12" i="25" s="1"/>
  <c r="C12" i="25" s="1"/>
  <c r="D12" i="25" s="1"/>
  <c r="U12" i="7"/>
  <c r="H12" i="17"/>
  <c r="H12" i="28"/>
  <c r="C11" i="28"/>
  <c r="D11" i="28" s="1"/>
  <c r="W12" i="33"/>
  <c r="W13" i="33" s="1"/>
  <c r="S12" i="33"/>
  <c r="S13" i="33" s="1"/>
  <c r="O12" i="33"/>
  <c r="O13" i="33" s="1"/>
  <c r="Y12" i="33"/>
  <c r="Y13" i="33" s="1"/>
  <c r="U12" i="33"/>
  <c r="U13" i="33" s="1"/>
  <c r="Q12" i="33"/>
  <c r="Q13" i="33" s="1"/>
  <c r="T12" i="33"/>
  <c r="T13" i="33" s="1"/>
  <c r="L12" i="33"/>
  <c r="D12" i="33"/>
  <c r="X12" i="33"/>
  <c r="X13" i="33" s="1"/>
  <c r="N12" i="33"/>
  <c r="V12" i="33"/>
  <c r="V13" i="33" s="1"/>
  <c r="J12" i="33"/>
  <c r="R12" i="33"/>
  <c r="R13" i="33" s="1"/>
  <c r="H12" i="33"/>
  <c r="Z12" i="33"/>
  <c r="Z13" i="33" s="1"/>
  <c r="P12" i="33"/>
  <c r="P13" i="33" s="1"/>
  <c r="F12" i="33"/>
  <c r="A23" i="26"/>
  <c r="AE22" i="26"/>
  <c r="AG22" i="26"/>
  <c r="AF22" i="26"/>
  <c r="F21" i="11"/>
  <c r="K22" i="11"/>
  <c r="C13" i="26"/>
  <c r="D13" i="26" s="1"/>
  <c r="H14" i="26"/>
  <c r="Q11" i="7"/>
  <c r="Q11" i="11"/>
  <c r="G11" i="11" s="1"/>
  <c r="C11" i="11" s="1"/>
  <c r="D11" i="11" s="1"/>
  <c r="P11" i="11"/>
  <c r="J23" i="7"/>
  <c r="AE22" i="28"/>
  <c r="L23" i="7" s="1"/>
  <c r="AG22" i="28"/>
  <c r="K23" i="28" s="1"/>
  <c r="A23" i="28"/>
  <c r="AF22" i="28"/>
  <c r="F23" i="28" s="1"/>
  <c r="E12" i="25"/>
  <c r="AA12" i="7"/>
  <c r="P12" i="19"/>
  <c r="Q12" i="19"/>
  <c r="G12" i="19" s="1"/>
  <c r="C12" i="19" s="1"/>
  <c r="D12" i="19" s="1"/>
  <c r="E13" i="19" s="1"/>
  <c r="E10" i="27"/>
  <c r="Z10" i="7"/>
  <c r="H13" i="24"/>
  <c r="C12" i="24"/>
  <c r="D12" i="24" s="1"/>
  <c r="H14" i="25"/>
  <c r="AG23" i="27"/>
  <c r="K24" i="27" s="1"/>
  <c r="AF23" i="27"/>
  <c r="F24" i="27" s="1"/>
  <c r="AE23" i="27"/>
  <c r="A24" i="27"/>
  <c r="E11" i="28"/>
  <c r="AB11" i="7"/>
  <c r="H13" i="20"/>
  <c r="C12" i="20"/>
  <c r="D12" i="20" s="1"/>
  <c r="E13" i="20" s="1"/>
  <c r="A23" i="11"/>
  <c r="AG22" i="11"/>
  <c r="AF22" i="11"/>
  <c r="AE22" i="11"/>
  <c r="H23" i="7" s="1"/>
  <c r="H12" i="16"/>
  <c r="C11" i="16"/>
  <c r="D11" i="16" s="1"/>
  <c r="E12" i="16" s="1"/>
  <c r="Y12" i="7"/>
  <c r="E12" i="24"/>
  <c r="Q14" i="18"/>
  <c r="G14" i="18" s="1"/>
  <c r="P14" i="18"/>
  <c r="P12" i="24"/>
  <c r="Q12" i="24"/>
  <c r="G12" i="24" s="1"/>
  <c r="S12" i="7"/>
  <c r="Q14" i="26"/>
  <c r="G14" i="26" s="1"/>
  <c r="P14" i="26"/>
  <c r="R14" i="7"/>
  <c r="K23" i="24"/>
  <c r="F22" i="24"/>
  <c r="H13" i="18"/>
  <c r="C12" i="18"/>
  <c r="D12" i="18" s="1"/>
  <c r="E13" i="18" s="1"/>
  <c r="E12" i="11" l="1"/>
  <c r="W12" i="7"/>
  <c r="C13" i="18"/>
  <c r="D13" i="18" s="1"/>
  <c r="E14" i="18" s="1"/>
  <c r="H14" i="18"/>
  <c r="P13" i="24"/>
  <c r="Q13" i="24"/>
  <c r="G13" i="24" s="1"/>
  <c r="C13" i="24" s="1"/>
  <c r="D13" i="24" s="1"/>
  <c r="S13" i="7"/>
  <c r="J13" i="33"/>
  <c r="Q12" i="27"/>
  <c r="G12" i="27" s="1"/>
  <c r="P12" i="27"/>
  <c r="T12" i="7"/>
  <c r="H13" i="28"/>
  <c r="C12" i="28"/>
  <c r="D12" i="28" s="1"/>
  <c r="E13" i="25"/>
  <c r="AA13" i="7"/>
  <c r="Q13" i="28"/>
  <c r="G13" i="28" s="1"/>
  <c r="P13" i="28"/>
  <c r="V13" i="7"/>
  <c r="Q14" i="16"/>
  <c r="G14" i="16" s="1"/>
  <c r="P14" i="16"/>
  <c r="AH15" i="26"/>
  <c r="F15" i="26"/>
  <c r="H12" i="27"/>
  <c r="C11" i="27"/>
  <c r="D11" i="27" s="1"/>
  <c r="H15" i="19"/>
  <c r="P15" i="26"/>
  <c r="Q15" i="26"/>
  <c r="G15" i="26" s="1"/>
  <c r="R15" i="7"/>
  <c r="H15" i="25"/>
  <c r="E12" i="28"/>
  <c r="AB12" i="7"/>
  <c r="A25" i="24"/>
  <c r="AF24" i="24"/>
  <c r="AE24" i="24"/>
  <c r="AG24" i="24"/>
  <c r="E11" i="27"/>
  <c r="Z11" i="7"/>
  <c r="H13" i="11"/>
  <c r="AE24" i="25"/>
  <c r="A25" i="25"/>
  <c r="AG24" i="25"/>
  <c r="K25" i="25" s="1"/>
  <c r="AF24" i="25"/>
  <c r="F25" i="25" s="1"/>
  <c r="Q15" i="18"/>
  <c r="G15" i="18" s="1"/>
  <c r="P15" i="18"/>
  <c r="Y13" i="7"/>
  <c r="E13" i="24"/>
  <c r="H13" i="16"/>
  <c r="C12" i="16"/>
  <c r="D12" i="16" s="1"/>
  <c r="E13" i="16" s="1"/>
  <c r="F22" i="11"/>
  <c r="K23" i="11"/>
  <c r="H14" i="20"/>
  <c r="C13" i="20"/>
  <c r="D13" i="20" s="1"/>
  <c r="E14" i="20" s="1"/>
  <c r="H14" i="24"/>
  <c r="H15" i="26"/>
  <c r="C14" i="26"/>
  <c r="D14" i="26" s="1"/>
  <c r="AG23" i="26"/>
  <c r="AF23" i="26"/>
  <c r="AE23" i="26"/>
  <c r="A24" i="26"/>
  <c r="F13" i="33"/>
  <c r="L13" i="33"/>
  <c r="H13" i="17"/>
  <c r="Q13" i="25"/>
  <c r="G13" i="25" s="1"/>
  <c r="C13" i="25" s="1"/>
  <c r="D13" i="25" s="1"/>
  <c r="P13" i="25"/>
  <c r="U13" i="7"/>
  <c r="J24" i="7"/>
  <c r="P11" i="17"/>
  <c r="Q11" i="17"/>
  <c r="G11" i="17" s="1"/>
  <c r="C11" i="17" s="1"/>
  <c r="D11" i="17" s="1"/>
  <c r="E12" i="17" s="1"/>
  <c r="A24" i="11"/>
  <c r="AG23" i="11"/>
  <c r="AF23" i="11"/>
  <c r="AE23" i="11"/>
  <c r="AF24" i="27"/>
  <c r="F25" i="27" s="1"/>
  <c r="AE24" i="27"/>
  <c r="A25" i="27"/>
  <c r="AG24" i="27"/>
  <c r="K25" i="27" s="1"/>
  <c r="P13" i="19"/>
  <c r="Q13" i="19"/>
  <c r="G13" i="19" s="1"/>
  <c r="C13" i="19" s="1"/>
  <c r="D13" i="19" s="1"/>
  <c r="E14" i="19" s="1"/>
  <c r="A24" i="28"/>
  <c r="AF23" i="28"/>
  <c r="F24" i="28" s="1"/>
  <c r="AE23" i="28"/>
  <c r="L24" i="7" s="1"/>
  <c r="AG23" i="28"/>
  <c r="K24" i="28" s="1"/>
  <c r="P12" i="11"/>
  <c r="Q12" i="7"/>
  <c r="Q12" i="11"/>
  <c r="G12" i="11" s="1"/>
  <c r="C12" i="11" s="1"/>
  <c r="D12" i="11" s="1"/>
  <c r="E14" i="26"/>
  <c r="X14" i="7"/>
  <c r="H13" i="33"/>
  <c r="N13" i="33"/>
  <c r="K24" i="24"/>
  <c r="F23" i="24"/>
  <c r="Q13" i="20"/>
  <c r="G13" i="20" s="1"/>
  <c r="P13" i="20"/>
  <c r="E13" i="11" l="1"/>
  <c r="W13" i="7"/>
  <c r="Y14" i="7"/>
  <c r="E14" i="24"/>
  <c r="AE25" i="27"/>
  <c r="A26" i="27"/>
  <c r="AG25" i="27"/>
  <c r="K26" i="27" s="1"/>
  <c r="AF25" i="27"/>
  <c r="F26" i="27" s="1"/>
  <c r="A25" i="26"/>
  <c r="AE24" i="26"/>
  <c r="AG24" i="26"/>
  <c r="AF24" i="26"/>
  <c r="E15" i="26"/>
  <c r="X15" i="7"/>
  <c r="P16" i="18"/>
  <c r="Q16" i="18"/>
  <c r="G16" i="18" s="1"/>
  <c r="Q16" i="26"/>
  <c r="G16" i="26" s="1"/>
  <c r="P16" i="26"/>
  <c r="R16" i="7"/>
  <c r="P15" i="16"/>
  <c r="Q15" i="16"/>
  <c r="G15" i="16" s="1"/>
  <c r="Q13" i="27"/>
  <c r="G13" i="27" s="1"/>
  <c r="P13" i="27"/>
  <c r="T13" i="7"/>
  <c r="Q14" i="20"/>
  <c r="G14" i="20" s="1"/>
  <c r="P14" i="20"/>
  <c r="Q13" i="11"/>
  <c r="G13" i="11" s="1"/>
  <c r="C13" i="11" s="1"/>
  <c r="D13" i="11" s="1"/>
  <c r="P13" i="11"/>
  <c r="Q13" i="7"/>
  <c r="AG24" i="28"/>
  <c r="K25" i="28" s="1"/>
  <c r="AE24" i="28"/>
  <c r="L25" i="7" s="1"/>
  <c r="AF24" i="28"/>
  <c r="F25" i="28" s="1"/>
  <c r="A25" i="28"/>
  <c r="H24" i="7"/>
  <c r="H14" i="17"/>
  <c r="H15" i="24"/>
  <c r="J25" i="7"/>
  <c r="F16" i="26"/>
  <c r="AH16" i="26"/>
  <c r="P14" i="28"/>
  <c r="Q14" i="28"/>
  <c r="G14" i="28" s="1"/>
  <c r="V14" i="7"/>
  <c r="E13" i="28"/>
  <c r="AB13" i="7"/>
  <c r="H15" i="18"/>
  <c r="C14" i="18"/>
  <c r="D14" i="18" s="1"/>
  <c r="E15" i="18" s="1"/>
  <c r="A26" i="25"/>
  <c r="AE25" i="25"/>
  <c r="AG25" i="25"/>
  <c r="K26" i="25" s="1"/>
  <c r="AF25" i="25"/>
  <c r="F26" i="25" s="1"/>
  <c r="H14" i="28"/>
  <c r="C13" i="28"/>
  <c r="D13" i="28" s="1"/>
  <c r="F23" i="11"/>
  <c r="K24" i="11"/>
  <c r="AG25" i="24"/>
  <c r="AF25" i="24"/>
  <c r="AE25" i="24"/>
  <c r="J26" i="7" s="1"/>
  <c r="A26" i="24"/>
  <c r="C12" i="27"/>
  <c r="D12" i="27" s="1"/>
  <c r="H13" i="27"/>
  <c r="Q12" i="17"/>
  <c r="G12" i="17" s="1"/>
  <c r="C12" i="17" s="1"/>
  <c r="D12" i="17" s="1"/>
  <c r="E13" i="17" s="1"/>
  <c r="P12" i="17"/>
  <c r="P14" i="25"/>
  <c r="U14" i="7"/>
  <c r="Q14" i="25"/>
  <c r="G14" i="25" s="1"/>
  <c r="C14" i="25" s="1"/>
  <c r="D14" i="25" s="1"/>
  <c r="E12" i="27"/>
  <c r="Z12" i="7"/>
  <c r="P14" i="19"/>
  <c r="Q14" i="19"/>
  <c r="G14" i="19" s="1"/>
  <c r="C14" i="19" s="1"/>
  <c r="D14" i="19" s="1"/>
  <c r="E15" i="19" s="1"/>
  <c r="E14" i="25"/>
  <c r="AA14" i="7"/>
  <c r="C15" i="26"/>
  <c r="D15" i="26" s="1"/>
  <c r="H16" i="26"/>
  <c r="C14" i="20"/>
  <c r="D14" i="20" s="1"/>
  <c r="E15" i="20" s="1"/>
  <c r="H15" i="20"/>
  <c r="H14" i="16"/>
  <c r="C13" i="16"/>
  <c r="D13" i="16" s="1"/>
  <c r="E14" i="16" s="1"/>
  <c r="H16" i="25"/>
  <c r="A25" i="11"/>
  <c r="AG24" i="11"/>
  <c r="AF24" i="11"/>
  <c r="AE24" i="11"/>
  <c r="H25" i="7" s="1"/>
  <c r="H14" i="11"/>
  <c r="K25" i="24"/>
  <c r="F24" i="24"/>
  <c r="H16" i="19"/>
  <c r="P14" i="24"/>
  <c r="Q14" i="24"/>
  <c r="G14" i="24" s="1"/>
  <c r="C14" i="24" s="1"/>
  <c r="D14" i="24" s="1"/>
  <c r="S14" i="7"/>
  <c r="Y15" i="7" l="1"/>
  <c r="E15" i="24"/>
  <c r="E14" i="11"/>
  <c r="W14" i="7"/>
  <c r="Q17" i="26"/>
  <c r="G17" i="26" s="1"/>
  <c r="P17" i="26"/>
  <c r="R17" i="7"/>
  <c r="H15" i="11"/>
  <c r="H16" i="20"/>
  <c r="C15" i="20"/>
  <c r="D15" i="20" s="1"/>
  <c r="E16" i="20" s="1"/>
  <c r="E13" i="27"/>
  <c r="Z13" i="7"/>
  <c r="C15" i="18"/>
  <c r="D15" i="18" s="1"/>
  <c r="E16" i="18" s="1"/>
  <c r="H16" i="18"/>
  <c r="Q17" i="18"/>
  <c r="G17" i="18" s="1"/>
  <c r="P17" i="18"/>
  <c r="AG26" i="25"/>
  <c r="K27" i="25" s="1"/>
  <c r="AE26" i="25"/>
  <c r="A27" i="25"/>
  <c r="AF26" i="25"/>
  <c r="F27" i="25" s="1"/>
  <c r="AH17" i="26"/>
  <c r="F17" i="26"/>
  <c r="H16" i="24"/>
  <c r="C15" i="24"/>
  <c r="D15" i="24" s="1"/>
  <c r="AF25" i="28"/>
  <c r="F26" i="28" s="1"/>
  <c r="A26" i="28"/>
  <c r="AG25" i="28"/>
  <c r="K26" i="28" s="1"/>
  <c r="AE25" i="28"/>
  <c r="A27" i="27"/>
  <c r="AG26" i="27"/>
  <c r="K27" i="27" s="1"/>
  <c r="AF26" i="27"/>
  <c r="F27" i="27" s="1"/>
  <c r="AE26" i="27"/>
  <c r="H17" i="19"/>
  <c r="H17" i="25"/>
  <c r="Q15" i="25"/>
  <c r="G15" i="25" s="1"/>
  <c r="C15" i="25" s="1"/>
  <c r="D15" i="25" s="1"/>
  <c r="U15" i="7"/>
  <c r="P15" i="25"/>
  <c r="F25" i="24"/>
  <c r="K26" i="24"/>
  <c r="E14" i="28"/>
  <c r="AB14" i="7"/>
  <c r="H15" i="17"/>
  <c r="P14" i="27"/>
  <c r="Q14" i="27"/>
  <c r="G14" i="27" s="1"/>
  <c r="T14" i="7"/>
  <c r="F24" i="11"/>
  <c r="K25" i="11"/>
  <c r="P13" i="17"/>
  <c r="Q13" i="17"/>
  <c r="G13" i="17" s="1"/>
  <c r="C13" i="17" s="1"/>
  <c r="D13" i="17" s="1"/>
  <c r="E14" i="17" s="1"/>
  <c r="AF26" i="24"/>
  <c r="AE26" i="24"/>
  <c r="A27" i="24"/>
  <c r="AG26" i="24"/>
  <c r="C14" i="28"/>
  <c r="D14" i="28" s="1"/>
  <c r="H15" i="28"/>
  <c r="L26" i="7"/>
  <c r="P15" i="28"/>
  <c r="Q15" i="28"/>
  <c r="G15" i="28" s="1"/>
  <c r="V15" i="7"/>
  <c r="P15" i="20"/>
  <c r="Q15" i="20"/>
  <c r="G15" i="20" s="1"/>
  <c r="P15" i="24"/>
  <c r="Q15" i="24"/>
  <c r="G15" i="24" s="1"/>
  <c r="S15" i="7"/>
  <c r="A26" i="11"/>
  <c r="AG25" i="11"/>
  <c r="AF25" i="11"/>
  <c r="AE25" i="11"/>
  <c r="H17" i="26"/>
  <c r="C16" i="26"/>
  <c r="D16" i="26" s="1"/>
  <c r="E15" i="25"/>
  <c r="AA15" i="7"/>
  <c r="H15" i="16"/>
  <c r="C14" i="16"/>
  <c r="D14" i="16" s="1"/>
  <c r="E15" i="16" s="1"/>
  <c r="E16" i="26"/>
  <c r="X16" i="7"/>
  <c r="P15" i="19"/>
  <c r="Q15" i="19"/>
  <c r="G15" i="19" s="1"/>
  <c r="C15" i="19" s="1"/>
  <c r="D15" i="19" s="1"/>
  <c r="E16" i="19" s="1"/>
  <c r="C13" i="27"/>
  <c r="D13" i="27" s="1"/>
  <c r="H14" i="27"/>
  <c r="Q14" i="11"/>
  <c r="G14" i="11" s="1"/>
  <c r="C14" i="11" s="1"/>
  <c r="D14" i="11" s="1"/>
  <c r="P14" i="11"/>
  <c r="Q14" i="7"/>
  <c r="P16" i="16"/>
  <c r="Q16" i="16"/>
  <c r="G16" i="16" s="1"/>
  <c r="AG25" i="26"/>
  <c r="AF25" i="26"/>
  <c r="AE25" i="26"/>
  <c r="A26" i="26"/>
  <c r="E15" i="11" l="1"/>
  <c r="W15" i="7"/>
  <c r="Q15" i="7"/>
  <c r="P15" i="11"/>
  <c r="Q15" i="11"/>
  <c r="G15" i="11" s="1"/>
  <c r="E17" i="26"/>
  <c r="X17" i="7"/>
  <c r="F25" i="11"/>
  <c r="K26" i="11"/>
  <c r="P16" i="24"/>
  <c r="Q16" i="24"/>
  <c r="G16" i="24" s="1"/>
  <c r="S16" i="7"/>
  <c r="E15" i="28"/>
  <c r="AB15" i="7"/>
  <c r="Q15" i="27"/>
  <c r="G15" i="27" s="1"/>
  <c r="P15" i="27"/>
  <c r="T15" i="7"/>
  <c r="H18" i="19"/>
  <c r="AE26" i="28"/>
  <c r="L27" i="7" s="1"/>
  <c r="AG26" i="28"/>
  <c r="K27" i="28" s="1"/>
  <c r="AF26" i="28"/>
  <c r="F27" i="28" s="1"/>
  <c r="A27" i="28"/>
  <c r="H17" i="18"/>
  <c r="C16" i="18"/>
  <c r="D16" i="18" s="1"/>
  <c r="E17" i="18" s="1"/>
  <c r="A27" i="26"/>
  <c r="AE26" i="26"/>
  <c r="AG26" i="26"/>
  <c r="AF26" i="26"/>
  <c r="Q16" i="19"/>
  <c r="G16" i="19" s="1"/>
  <c r="C16" i="19" s="1"/>
  <c r="D16" i="19" s="1"/>
  <c r="E17" i="19" s="1"/>
  <c r="P16" i="19"/>
  <c r="H16" i="16"/>
  <c r="C15" i="16"/>
  <c r="D15" i="16" s="1"/>
  <c r="E16" i="16" s="1"/>
  <c r="H18" i="26"/>
  <c r="C17" i="26"/>
  <c r="D17" i="26" s="1"/>
  <c r="A27" i="11"/>
  <c r="AG26" i="11"/>
  <c r="AF26" i="11"/>
  <c r="AE26" i="11"/>
  <c r="H27" i="7" s="1"/>
  <c r="P16" i="28"/>
  <c r="Q16" i="28"/>
  <c r="G16" i="28" s="1"/>
  <c r="V16" i="7"/>
  <c r="F26" i="24"/>
  <c r="K27" i="24"/>
  <c r="H17" i="20"/>
  <c r="P18" i="26"/>
  <c r="R18" i="7"/>
  <c r="Q18" i="26"/>
  <c r="G18" i="26" s="1"/>
  <c r="P17" i="16"/>
  <c r="Q17" i="16"/>
  <c r="G17" i="16" s="1"/>
  <c r="H15" i="27"/>
  <c r="C14" i="27"/>
  <c r="D14" i="27" s="1"/>
  <c r="H26" i="7"/>
  <c r="Q16" i="20"/>
  <c r="G16" i="20" s="1"/>
  <c r="C16" i="20" s="1"/>
  <c r="D16" i="20" s="1"/>
  <c r="E17" i="20" s="1"/>
  <c r="P16" i="20"/>
  <c r="P14" i="17"/>
  <c r="Q14" i="17"/>
  <c r="G14" i="17" s="1"/>
  <c r="C14" i="17" s="1"/>
  <c r="D14" i="17" s="1"/>
  <c r="E15" i="17" s="1"/>
  <c r="H16" i="17"/>
  <c r="Y16" i="7"/>
  <c r="E16" i="24"/>
  <c r="H16" i="11"/>
  <c r="C15" i="11"/>
  <c r="D15" i="11" s="1"/>
  <c r="E14" i="27"/>
  <c r="Z14" i="7"/>
  <c r="H16" i="28"/>
  <c r="C15" i="28"/>
  <c r="D15" i="28" s="1"/>
  <c r="J27" i="7"/>
  <c r="P16" i="25"/>
  <c r="U16" i="7"/>
  <c r="Q16" i="25"/>
  <c r="G16" i="25" s="1"/>
  <c r="C16" i="25" s="1"/>
  <c r="D16" i="25" s="1"/>
  <c r="H18" i="25"/>
  <c r="H17" i="24"/>
  <c r="C16" i="24"/>
  <c r="D16" i="24" s="1"/>
  <c r="AF27" i="25"/>
  <c r="A28" i="25"/>
  <c r="AG27" i="25"/>
  <c r="K28" i="25" s="1"/>
  <c r="AE27" i="25"/>
  <c r="E16" i="25"/>
  <c r="AA16" i="7"/>
  <c r="AG27" i="27"/>
  <c r="K28" i="27" s="1"/>
  <c r="AF27" i="27"/>
  <c r="F28" i="27" s="1"/>
  <c r="AE27" i="27"/>
  <c r="A28" i="27"/>
  <c r="AH18" i="26"/>
  <c r="F18" i="26"/>
  <c r="K17" i="26"/>
  <c r="AE27" i="24"/>
  <c r="J28" i="7" s="1"/>
  <c r="A28" i="24"/>
  <c r="AG27" i="24"/>
  <c r="AF27" i="24"/>
  <c r="Q18" i="18"/>
  <c r="G18" i="18" s="1"/>
  <c r="P18" i="18"/>
  <c r="P19" i="18" l="1"/>
  <c r="Q19" i="18"/>
  <c r="G19" i="18" s="1"/>
  <c r="F19" i="26"/>
  <c r="AH19" i="26"/>
  <c r="K18" i="26"/>
  <c r="H17" i="28"/>
  <c r="C16" i="28"/>
  <c r="D16" i="28" s="1"/>
  <c r="C15" i="27"/>
  <c r="D15" i="27" s="1"/>
  <c r="H16" i="27"/>
  <c r="P17" i="28"/>
  <c r="Q17" i="28"/>
  <c r="G17" i="28" s="1"/>
  <c r="V17" i="7"/>
  <c r="H17" i="16"/>
  <c r="C16" i="16"/>
  <c r="D16" i="16" s="1"/>
  <c r="E17" i="16" s="1"/>
  <c r="Q17" i="25"/>
  <c r="G17" i="25" s="1"/>
  <c r="C17" i="25" s="1"/>
  <c r="D17" i="25" s="1"/>
  <c r="P17" i="25"/>
  <c r="U17" i="7"/>
  <c r="H17" i="11"/>
  <c r="P19" i="26"/>
  <c r="R19" i="7"/>
  <c r="Q19" i="26"/>
  <c r="G19" i="26" s="1"/>
  <c r="X18" i="7"/>
  <c r="E18" i="26"/>
  <c r="Q17" i="19"/>
  <c r="G17" i="19" s="1"/>
  <c r="C17" i="19" s="1"/>
  <c r="D17" i="19" s="1"/>
  <c r="E18" i="19" s="1"/>
  <c r="P17" i="19"/>
  <c r="Q16" i="27"/>
  <c r="G16" i="27" s="1"/>
  <c r="P16" i="27"/>
  <c r="T16" i="7"/>
  <c r="P18" i="16"/>
  <c r="Q18" i="16"/>
  <c r="G18" i="16" s="1"/>
  <c r="C17" i="20"/>
  <c r="D17" i="20" s="1"/>
  <c r="E18" i="20" s="1"/>
  <c r="H18" i="20"/>
  <c r="C18" i="26"/>
  <c r="D18" i="26" s="1"/>
  <c r="H19" i="26"/>
  <c r="AG27" i="26"/>
  <c r="K28" i="26" s="1"/>
  <c r="AF27" i="26"/>
  <c r="AE27" i="26"/>
  <c r="A28" i="26"/>
  <c r="A28" i="28"/>
  <c r="AF27" i="28"/>
  <c r="F28" i="28" s="1"/>
  <c r="AG27" i="28"/>
  <c r="K28" i="28" s="1"/>
  <c r="AE27" i="28"/>
  <c r="A29" i="24"/>
  <c r="AE28" i="24"/>
  <c r="AG28" i="24"/>
  <c r="AF28" i="24"/>
  <c r="H18" i="24"/>
  <c r="E16" i="11"/>
  <c r="W16" i="7"/>
  <c r="P17" i="20"/>
  <c r="Q17" i="20"/>
  <c r="G17" i="20" s="1"/>
  <c r="A28" i="11"/>
  <c r="AG27" i="11"/>
  <c r="AF27" i="11"/>
  <c r="AE27" i="11"/>
  <c r="H28" i="7" s="1"/>
  <c r="C17" i="18"/>
  <c r="D17" i="18" s="1"/>
  <c r="E18" i="18" s="1"/>
  <c r="H18" i="18"/>
  <c r="AF28" i="27"/>
  <c r="F29" i="27" s="1"/>
  <c r="AE28" i="27"/>
  <c r="A29" i="27"/>
  <c r="AG28" i="27"/>
  <c r="K29" i="27" s="1"/>
  <c r="AE28" i="25"/>
  <c r="A29" i="25"/>
  <c r="AG28" i="25"/>
  <c r="AF28" i="25"/>
  <c r="H19" i="25"/>
  <c r="H17" i="17"/>
  <c r="Q16" i="7"/>
  <c r="Q16" i="11"/>
  <c r="G16" i="11" s="1"/>
  <c r="C16" i="11" s="1"/>
  <c r="D16" i="11" s="1"/>
  <c r="P16" i="11"/>
  <c r="K28" i="24"/>
  <c r="F27" i="24"/>
  <c r="L28" i="7"/>
  <c r="E17" i="24"/>
  <c r="Y17" i="7"/>
  <c r="E17" i="25"/>
  <c r="AA17" i="7"/>
  <c r="E16" i="28"/>
  <c r="AB16" i="7"/>
  <c r="P15" i="17"/>
  <c r="Q15" i="17"/>
  <c r="G15" i="17" s="1"/>
  <c r="C15" i="17" s="1"/>
  <c r="D15" i="17" s="1"/>
  <c r="E16" i="17" s="1"/>
  <c r="E15" i="27"/>
  <c r="Z15" i="7"/>
  <c r="F26" i="11"/>
  <c r="K27" i="11"/>
  <c r="H19" i="19"/>
  <c r="Q17" i="24"/>
  <c r="G17" i="24" s="1"/>
  <c r="C17" i="24" s="1"/>
  <c r="D17" i="24" s="1"/>
  <c r="P17" i="24"/>
  <c r="S17" i="7"/>
  <c r="E18" i="24" l="1"/>
  <c r="Y18" i="7"/>
  <c r="E17" i="11"/>
  <c r="W17" i="7"/>
  <c r="H20" i="25"/>
  <c r="Q18" i="20"/>
  <c r="G18" i="20" s="1"/>
  <c r="P18" i="20"/>
  <c r="Q17" i="27"/>
  <c r="G17" i="27" s="1"/>
  <c r="P17" i="27"/>
  <c r="T17" i="7"/>
  <c r="Q20" i="26"/>
  <c r="G20" i="26" s="1"/>
  <c r="P20" i="26"/>
  <c r="R20" i="7"/>
  <c r="P18" i="25"/>
  <c r="Q18" i="25"/>
  <c r="G18" i="25" s="1"/>
  <c r="C18" i="25" s="1"/>
  <c r="D18" i="25" s="1"/>
  <c r="U18" i="7"/>
  <c r="E16" i="27"/>
  <c r="Z16" i="7"/>
  <c r="AH20" i="26"/>
  <c r="F20" i="26"/>
  <c r="K19" i="26"/>
  <c r="C18" i="18"/>
  <c r="D18" i="18" s="1"/>
  <c r="E19" i="18" s="1"/>
  <c r="H19" i="18"/>
  <c r="F27" i="11"/>
  <c r="K28" i="11"/>
  <c r="A29" i="26"/>
  <c r="AE28" i="26"/>
  <c r="AG28" i="26"/>
  <c r="K29" i="26" s="1"/>
  <c r="AF28" i="26"/>
  <c r="H20" i="26"/>
  <c r="C19" i="26"/>
  <c r="D19" i="26" s="1"/>
  <c r="H18" i="11"/>
  <c r="E18" i="25"/>
  <c r="AA18" i="7"/>
  <c r="E17" i="28"/>
  <c r="AB17" i="7"/>
  <c r="Q16" i="17"/>
  <c r="G16" i="17" s="1"/>
  <c r="C16" i="17" s="1"/>
  <c r="D16" i="17" s="1"/>
  <c r="E17" i="17" s="1"/>
  <c r="P16" i="17"/>
  <c r="AG29" i="24"/>
  <c r="AE29" i="24"/>
  <c r="A30" i="24"/>
  <c r="AF29" i="24"/>
  <c r="AG28" i="28"/>
  <c r="K29" i="28" s="1"/>
  <c r="AE28" i="28"/>
  <c r="L29" i="7" s="1"/>
  <c r="A29" i="28"/>
  <c r="AF28" i="28"/>
  <c r="F29" i="28" s="1"/>
  <c r="P18" i="24"/>
  <c r="Q18" i="24"/>
  <c r="G18" i="24" s="1"/>
  <c r="S18" i="7"/>
  <c r="Q17" i="11"/>
  <c r="G17" i="11" s="1"/>
  <c r="C17" i="11" s="1"/>
  <c r="D17" i="11" s="1"/>
  <c r="P17" i="11"/>
  <c r="Q17" i="7"/>
  <c r="H18" i="17"/>
  <c r="K29" i="25"/>
  <c r="F28" i="25"/>
  <c r="AE29" i="27"/>
  <c r="A30" i="27"/>
  <c r="AG29" i="27"/>
  <c r="K30" i="27" s="1"/>
  <c r="AF29" i="27"/>
  <c r="F30" i="27" s="1"/>
  <c r="A29" i="11"/>
  <c r="AG28" i="11"/>
  <c r="AF28" i="11"/>
  <c r="AE28" i="11"/>
  <c r="F28" i="24"/>
  <c r="K29" i="24"/>
  <c r="E19" i="26"/>
  <c r="X19" i="7"/>
  <c r="P19" i="16"/>
  <c r="Q19" i="16"/>
  <c r="G19" i="16" s="1"/>
  <c r="Q18" i="19"/>
  <c r="G18" i="19" s="1"/>
  <c r="C18" i="19" s="1"/>
  <c r="D18" i="19" s="1"/>
  <c r="E19" i="19" s="1"/>
  <c r="P18" i="19"/>
  <c r="P18" i="28"/>
  <c r="Q18" i="28"/>
  <c r="G18" i="28" s="1"/>
  <c r="V18" i="7"/>
  <c r="H18" i="28"/>
  <c r="C17" i="28"/>
  <c r="D17" i="28" s="1"/>
  <c r="H20" i="19"/>
  <c r="A30" i="25"/>
  <c r="AG29" i="25"/>
  <c r="AF29" i="25"/>
  <c r="AE29" i="25"/>
  <c r="H19" i="24"/>
  <c r="C18" i="24"/>
  <c r="D18" i="24" s="1"/>
  <c r="J29" i="7"/>
  <c r="C18" i="20"/>
  <c r="D18" i="20" s="1"/>
  <c r="E19" i="20" s="1"/>
  <c r="H19" i="20"/>
  <c r="H18" i="16"/>
  <c r="C17" i="16"/>
  <c r="D17" i="16" s="1"/>
  <c r="E18" i="16" s="1"/>
  <c r="C16" i="27"/>
  <c r="D16" i="27" s="1"/>
  <c r="H17" i="27"/>
  <c r="Q20" i="18"/>
  <c r="G20" i="18" s="1"/>
  <c r="P20" i="18"/>
  <c r="E18" i="11" l="1"/>
  <c r="W18" i="7"/>
  <c r="C17" i="27"/>
  <c r="D17" i="27" s="1"/>
  <c r="H18" i="27"/>
  <c r="E19" i="24"/>
  <c r="Y19" i="7"/>
  <c r="P19" i="28"/>
  <c r="V19" i="7"/>
  <c r="Q19" i="28"/>
  <c r="G19" i="28" s="1"/>
  <c r="E20" i="26"/>
  <c r="X20" i="7"/>
  <c r="E19" i="25"/>
  <c r="AA19" i="7"/>
  <c r="E17" i="27"/>
  <c r="Z17" i="7"/>
  <c r="H20" i="24"/>
  <c r="AG30" i="25"/>
  <c r="A31" i="25"/>
  <c r="AF30" i="25"/>
  <c r="AE30" i="25"/>
  <c r="C18" i="28"/>
  <c r="D18" i="28" s="1"/>
  <c r="H19" i="28"/>
  <c r="P19" i="19"/>
  <c r="Q19" i="19"/>
  <c r="G19" i="19" s="1"/>
  <c r="C19" i="19" s="1"/>
  <c r="D19" i="19" s="1"/>
  <c r="E20" i="19" s="1"/>
  <c r="H29" i="7"/>
  <c r="J30" i="7"/>
  <c r="H21" i="26"/>
  <c r="AG29" i="26"/>
  <c r="K30" i="26" s="1"/>
  <c r="AF29" i="26"/>
  <c r="AE29" i="26"/>
  <c r="A30" i="26"/>
  <c r="Q19" i="25"/>
  <c r="G19" i="25" s="1"/>
  <c r="C19" i="25" s="1"/>
  <c r="D19" i="25" s="1"/>
  <c r="P19" i="25"/>
  <c r="U19" i="7"/>
  <c r="F29" i="25"/>
  <c r="K30" i="25"/>
  <c r="AF29" i="28"/>
  <c r="F30" i="28" s="1"/>
  <c r="A30" i="28"/>
  <c r="AG29" i="28"/>
  <c r="K30" i="28" s="1"/>
  <c r="AE29" i="28"/>
  <c r="P17" i="17"/>
  <c r="Q17" i="17"/>
  <c r="G17" i="17" s="1"/>
  <c r="C17" i="17" s="1"/>
  <c r="D17" i="17" s="1"/>
  <c r="E18" i="17" s="1"/>
  <c r="C19" i="18"/>
  <c r="D19" i="18" s="1"/>
  <c r="E20" i="18" s="1"/>
  <c r="H20" i="18"/>
  <c r="H21" i="19"/>
  <c r="P18" i="11"/>
  <c r="Q18" i="11"/>
  <c r="G18" i="11" s="1"/>
  <c r="Q18" i="7"/>
  <c r="S19" i="7"/>
  <c r="P19" i="24"/>
  <c r="Q19" i="24"/>
  <c r="G19" i="24" s="1"/>
  <c r="C19" i="24" s="1"/>
  <c r="D19" i="24" s="1"/>
  <c r="F29" i="24"/>
  <c r="K30" i="24"/>
  <c r="H19" i="11"/>
  <c r="C18" i="11"/>
  <c r="D18" i="11" s="1"/>
  <c r="Q18" i="27"/>
  <c r="G18" i="27" s="1"/>
  <c r="P18" i="27"/>
  <c r="T18" i="7"/>
  <c r="H20" i="20"/>
  <c r="E18" i="28"/>
  <c r="AB18" i="7"/>
  <c r="P20" i="16"/>
  <c r="Q20" i="16"/>
  <c r="G20" i="16" s="1"/>
  <c r="A30" i="11"/>
  <c r="AG29" i="11"/>
  <c r="AF29" i="11"/>
  <c r="AE29" i="11"/>
  <c r="H30" i="7" s="1"/>
  <c r="H19" i="17"/>
  <c r="AF30" i="24"/>
  <c r="A31" i="24"/>
  <c r="AG30" i="24"/>
  <c r="AE30" i="24"/>
  <c r="F21" i="26"/>
  <c r="AH21" i="26"/>
  <c r="K20" i="26"/>
  <c r="C20" i="26" s="1"/>
  <c r="D20" i="26" s="1"/>
  <c r="P19" i="20"/>
  <c r="Q19" i="20"/>
  <c r="G19" i="20" s="1"/>
  <c r="C19" i="20" s="1"/>
  <c r="D19" i="20" s="1"/>
  <c r="E20" i="20" s="1"/>
  <c r="Q21" i="18"/>
  <c r="G21" i="18" s="1"/>
  <c r="P21" i="18"/>
  <c r="L30" i="7"/>
  <c r="C18" i="16"/>
  <c r="D18" i="16" s="1"/>
  <c r="E19" i="16" s="1"/>
  <c r="H19" i="16"/>
  <c r="F28" i="11"/>
  <c r="K29" i="11"/>
  <c r="A31" i="27"/>
  <c r="AG30" i="27"/>
  <c r="K31" i="27" s="1"/>
  <c r="AF30" i="27"/>
  <c r="F31" i="27" s="1"/>
  <c r="AE30" i="27"/>
  <c r="P21" i="26"/>
  <c r="Q21" i="26"/>
  <c r="G21" i="26" s="1"/>
  <c r="R21" i="7"/>
  <c r="H21" i="25"/>
  <c r="E20" i="24" l="1"/>
  <c r="Y20" i="7"/>
  <c r="E21" i="26"/>
  <c r="X21" i="7"/>
  <c r="Q22" i="26"/>
  <c r="G22" i="26" s="1"/>
  <c r="P22" i="26"/>
  <c r="R22" i="7"/>
  <c r="AE31" i="27"/>
  <c r="AG31" i="27"/>
  <c r="K32" i="27" s="1"/>
  <c r="AF31" i="27"/>
  <c r="F32" i="27" s="1"/>
  <c r="A32" i="27"/>
  <c r="H22" i="25"/>
  <c r="Q22" i="18"/>
  <c r="G22" i="18" s="1"/>
  <c r="P22" i="18"/>
  <c r="K31" i="24"/>
  <c r="F30" i="24"/>
  <c r="A31" i="11"/>
  <c r="AG30" i="11"/>
  <c r="AF30" i="11"/>
  <c r="AE30" i="11"/>
  <c r="P19" i="27"/>
  <c r="Q19" i="27"/>
  <c r="G19" i="27" s="1"/>
  <c r="T19" i="7"/>
  <c r="AE30" i="28"/>
  <c r="A31" i="28"/>
  <c r="AG30" i="28"/>
  <c r="K31" i="28" s="1"/>
  <c r="AF30" i="28"/>
  <c r="F31" i="28" s="1"/>
  <c r="Q20" i="19"/>
  <c r="G20" i="19" s="1"/>
  <c r="C20" i="19" s="1"/>
  <c r="D20" i="19" s="1"/>
  <c r="E21" i="19" s="1"/>
  <c r="P20" i="19"/>
  <c r="H21" i="24"/>
  <c r="C18" i="27"/>
  <c r="D18" i="27" s="1"/>
  <c r="H19" i="27"/>
  <c r="C19" i="16"/>
  <c r="D19" i="16" s="1"/>
  <c r="E20" i="16" s="1"/>
  <c r="H20" i="16"/>
  <c r="AH22" i="26"/>
  <c r="F22" i="26"/>
  <c r="K21" i="26"/>
  <c r="AE31" i="24"/>
  <c r="J32" i="7" s="1"/>
  <c r="A32" i="24"/>
  <c r="AG31" i="24"/>
  <c r="AF31" i="24"/>
  <c r="H21" i="20"/>
  <c r="H22" i="19"/>
  <c r="Q18" i="17"/>
  <c r="G18" i="17" s="1"/>
  <c r="C18" i="17" s="1"/>
  <c r="D18" i="17" s="1"/>
  <c r="E19" i="17" s="1"/>
  <c r="P18" i="17"/>
  <c r="Q20" i="25"/>
  <c r="G20" i="25" s="1"/>
  <c r="C20" i="25" s="1"/>
  <c r="D20" i="25" s="1"/>
  <c r="P20" i="25"/>
  <c r="U20" i="7"/>
  <c r="C19" i="28"/>
  <c r="D19" i="28" s="1"/>
  <c r="H20" i="28"/>
  <c r="AF31" i="25"/>
  <c r="A32" i="25"/>
  <c r="AG31" i="25"/>
  <c r="AE31" i="25"/>
  <c r="P20" i="28"/>
  <c r="Q20" i="28"/>
  <c r="G20" i="28" s="1"/>
  <c r="V20" i="7"/>
  <c r="E18" i="27"/>
  <c r="Z18" i="7"/>
  <c r="Q21" i="16"/>
  <c r="G21" i="16" s="1"/>
  <c r="P21" i="16"/>
  <c r="E19" i="11"/>
  <c r="W19" i="7"/>
  <c r="C20" i="18"/>
  <c r="D20" i="18" s="1"/>
  <c r="E21" i="18" s="1"/>
  <c r="H21" i="18"/>
  <c r="E20" i="25"/>
  <c r="AA20" i="7"/>
  <c r="E19" i="28"/>
  <c r="AB19" i="7"/>
  <c r="F30" i="25"/>
  <c r="K31" i="25"/>
  <c r="Q20" i="20"/>
  <c r="G20" i="20" s="1"/>
  <c r="C20" i="20" s="1"/>
  <c r="D20" i="20" s="1"/>
  <c r="E21" i="20" s="1"/>
  <c r="P20" i="20"/>
  <c r="J31" i="7"/>
  <c r="H20" i="17"/>
  <c r="F29" i="11"/>
  <c r="K30" i="11"/>
  <c r="H20" i="11"/>
  <c r="Q20" i="24"/>
  <c r="G20" i="24" s="1"/>
  <c r="C20" i="24" s="1"/>
  <c r="D20" i="24" s="1"/>
  <c r="P20" i="24"/>
  <c r="S20" i="7"/>
  <c r="P19" i="11"/>
  <c r="Q19" i="11"/>
  <c r="G19" i="11" s="1"/>
  <c r="C19" i="11" s="1"/>
  <c r="D19" i="11" s="1"/>
  <c r="Q19" i="7"/>
  <c r="A31" i="26"/>
  <c r="AE30" i="26"/>
  <c r="AG30" i="26"/>
  <c r="K31" i="26" s="1"/>
  <c r="AF30" i="26"/>
  <c r="H22" i="26"/>
  <c r="C21" i="26"/>
  <c r="D21" i="26" s="1"/>
  <c r="L31" i="7"/>
  <c r="E20" i="11" l="1"/>
  <c r="W20" i="7"/>
  <c r="E21" i="24"/>
  <c r="Y21" i="7"/>
  <c r="X22" i="7"/>
  <c r="E22" i="26"/>
  <c r="P20" i="11"/>
  <c r="Q20" i="11"/>
  <c r="G20" i="11" s="1"/>
  <c r="Q20" i="7"/>
  <c r="AE32" i="25"/>
  <c r="AG32" i="25"/>
  <c r="AF32" i="25"/>
  <c r="A33" i="25"/>
  <c r="H21" i="16"/>
  <c r="C20" i="16"/>
  <c r="D20" i="16" s="1"/>
  <c r="E21" i="16" s="1"/>
  <c r="H22" i="24"/>
  <c r="AG31" i="26"/>
  <c r="K32" i="26" s="1"/>
  <c r="AF31" i="26"/>
  <c r="AE31" i="26"/>
  <c r="A32" i="26"/>
  <c r="H21" i="11"/>
  <c r="C20" i="11"/>
  <c r="D20" i="11" s="1"/>
  <c r="H21" i="17"/>
  <c r="Q21" i="28"/>
  <c r="G21" i="28" s="1"/>
  <c r="P21" i="28"/>
  <c r="V21" i="7"/>
  <c r="Q21" i="25"/>
  <c r="G21" i="25" s="1"/>
  <c r="C21" i="25" s="1"/>
  <c r="D21" i="25" s="1"/>
  <c r="P21" i="25"/>
  <c r="U21" i="7"/>
  <c r="F30" i="11"/>
  <c r="K31" i="11"/>
  <c r="Q23" i="18"/>
  <c r="G23" i="18" s="1"/>
  <c r="P23" i="18"/>
  <c r="A33" i="27"/>
  <c r="AF32" i="27"/>
  <c r="F33" i="27" s="1"/>
  <c r="AG32" i="27"/>
  <c r="K33" i="27" s="1"/>
  <c r="AE32" i="27"/>
  <c r="H23" i="26"/>
  <c r="P21" i="24"/>
  <c r="Q21" i="24"/>
  <c r="G21" i="24" s="1"/>
  <c r="C21" i="24" s="1"/>
  <c r="D21" i="24" s="1"/>
  <c r="S21" i="7"/>
  <c r="C20" i="28"/>
  <c r="D20" i="28" s="1"/>
  <c r="H21" i="28"/>
  <c r="E21" i="25"/>
  <c r="AA21" i="7"/>
  <c r="H23" i="19"/>
  <c r="K32" i="24"/>
  <c r="F31" i="24"/>
  <c r="H20" i="27"/>
  <c r="C19" i="27"/>
  <c r="D19" i="27" s="1"/>
  <c r="P21" i="19"/>
  <c r="Q21" i="19"/>
  <c r="G21" i="19" s="1"/>
  <c r="C21" i="19" s="1"/>
  <c r="D21" i="19" s="1"/>
  <c r="E22" i="19" s="1"/>
  <c r="A32" i="28"/>
  <c r="AG31" i="28"/>
  <c r="K32" i="28" s="1"/>
  <c r="AF31" i="28"/>
  <c r="F32" i="28" s="1"/>
  <c r="AE31" i="28"/>
  <c r="L32" i="7" s="1"/>
  <c r="Q20" i="27"/>
  <c r="G20" i="27" s="1"/>
  <c r="P20" i="27"/>
  <c r="T20" i="7"/>
  <c r="A32" i="11"/>
  <c r="AG31" i="11"/>
  <c r="AF31" i="11"/>
  <c r="AE31" i="11"/>
  <c r="H32" i="7" s="1"/>
  <c r="P23" i="26"/>
  <c r="Q23" i="26"/>
  <c r="G23" i="26" s="1"/>
  <c r="R23" i="7"/>
  <c r="Q21" i="20"/>
  <c r="G21" i="20" s="1"/>
  <c r="P21" i="20"/>
  <c r="C21" i="18"/>
  <c r="D21" i="18" s="1"/>
  <c r="E22" i="18" s="1"/>
  <c r="H22" i="18"/>
  <c r="Q22" i="16"/>
  <c r="G22" i="16" s="1"/>
  <c r="P22" i="16"/>
  <c r="K32" i="25"/>
  <c r="F31" i="25"/>
  <c r="E20" i="28"/>
  <c r="AB20" i="7"/>
  <c r="P19" i="17"/>
  <c r="Q19" i="17"/>
  <c r="G19" i="17" s="1"/>
  <c r="C19" i="17" s="1"/>
  <c r="D19" i="17" s="1"/>
  <c r="E20" i="17" s="1"/>
  <c r="C21" i="20"/>
  <c r="D21" i="20" s="1"/>
  <c r="E22" i="20" s="1"/>
  <c r="H22" i="20"/>
  <c r="A33" i="24"/>
  <c r="AG32" i="24"/>
  <c r="AF32" i="24"/>
  <c r="AE32" i="24"/>
  <c r="J33" i="7" s="1"/>
  <c r="F23" i="26"/>
  <c r="AH23" i="26"/>
  <c r="K22" i="26"/>
  <c r="C22" i="26" s="1"/>
  <c r="D22" i="26" s="1"/>
  <c r="E19" i="27"/>
  <c r="Z19" i="7"/>
  <c r="H31" i="7"/>
  <c r="H23" i="25"/>
  <c r="E22" i="24" l="1"/>
  <c r="Y22" i="7"/>
  <c r="E23" i="26"/>
  <c r="X23" i="7"/>
  <c r="F32" i="24"/>
  <c r="K33" i="24"/>
  <c r="Q20" i="17"/>
  <c r="G20" i="17" s="1"/>
  <c r="C20" i="17" s="1"/>
  <c r="D20" i="17" s="1"/>
  <c r="E21" i="17" s="1"/>
  <c r="P20" i="17"/>
  <c r="H24" i="25"/>
  <c r="Q22" i="19"/>
  <c r="G22" i="19" s="1"/>
  <c r="C22" i="19" s="1"/>
  <c r="D22" i="19" s="1"/>
  <c r="E23" i="19" s="1"/>
  <c r="P22" i="19"/>
  <c r="AG33" i="27"/>
  <c r="K34" i="27" s="1"/>
  <c r="AE33" i="27"/>
  <c r="A34" i="27"/>
  <c r="AF33" i="27"/>
  <c r="F34" i="27" s="1"/>
  <c r="H22" i="17"/>
  <c r="H23" i="24"/>
  <c r="AH24" i="26"/>
  <c r="F24" i="26"/>
  <c r="K23" i="26"/>
  <c r="C22" i="18"/>
  <c r="D22" i="18" s="1"/>
  <c r="E23" i="18" s="1"/>
  <c r="H23" i="18"/>
  <c r="Q21" i="27"/>
  <c r="G21" i="27" s="1"/>
  <c r="P21" i="27"/>
  <c r="T21" i="7"/>
  <c r="E20" i="27"/>
  <c r="Z20" i="7"/>
  <c r="H22" i="28"/>
  <c r="C21" i="28"/>
  <c r="D21" i="28" s="1"/>
  <c r="P24" i="18"/>
  <c r="Q24" i="18"/>
  <c r="G24" i="18" s="1"/>
  <c r="P22" i="28"/>
  <c r="Q22" i="28"/>
  <c r="G22" i="28" s="1"/>
  <c r="V22" i="7"/>
  <c r="E21" i="11"/>
  <c r="W21" i="7"/>
  <c r="K33" i="25"/>
  <c r="F32" i="25"/>
  <c r="P21" i="11"/>
  <c r="Q21" i="7"/>
  <c r="Q21" i="11"/>
  <c r="G21" i="11" s="1"/>
  <c r="AG32" i="28"/>
  <c r="K33" i="28" s="1"/>
  <c r="AF32" i="28"/>
  <c r="F33" i="28" s="1"/>
  <c r="AE32" i="28"/>
  <c r="L33" i="7" s="1"/>
  <c r="A33" i="28"/>
  <c r="H21" i="27"/>
  <c r="C20" i="27"/>
  <c r="D20" i="27" s="1"/>
  <c r="H24" i="19"/>
  <c r="E21" i="28"/>
  <c r="AB21" i="7"/>
  <c r="Q22" i="24"/>
  <c r="G22" i="24" s="1"/>
  <c r="C22" i="24" s="1"/>
  <c r="D22" i="24" s="1"/>
  <c r="P22" i="24"/>
  <c r="S22" i="7"/>
  <c r="P22" i="25"/>
  <c r="Q22" i="25"/>
  <c r="G22" i="25" s="1"/>
  <c r="C22" i="25" s="1"/>
  <c r="D22" i="25" s="1"/>
  <c r="U22" i="7"/>
  <c r="H22" i="11"/>
  <c r="C21" i="11"/>
  <c r="D21" i="11" s="1"/>
  <c r="C21" i="16"/>
  <c r="D21" i="16" s="1"/>
  <c r="E22" i="16" s="1"/>
  <c r="H22" i="16"/>
  <c r="AG33" i="24"/>
  <c r="A34" i="24"/>
  <c r="AF33" i="24"/>
  <c r="AE33" i="24"/>
  <c r="J34" i="7" s="1"/>
  <c r="F31" i="11"/>
  <c r="K32" i="11"/>
  <c r="H23" i="20"/>
  <c r="P23" i="16"/>
  <c r="Q23" i="16"/>
  <c r="G23" i="16" s="1"/>
  <c r="Q22" i="20"/>
  <c r="G22" i="20" s="1"/>
  <c r="C22" i="20" s="1"/>
  <c r="D22" i="20" s="1"/>
  <c r="E23" i="20" s="1"/>
  <c r="P22" i="20"/>
  <c r="Q24" i="26"/>
  <c r="G24" i="26" s="1"/>
  <c r="P24" i="26"/>
  <c r="R24" i="7"/>
  <c r="A33" i="11"/>
  <c r="AG32" i="11"/>
  <c r="AF32" i="11"/>
  <c r="AE32" i="11"/>
  <c r="H24" i="26"/>
  <c r="C23" i="26"/>
  <c r="D23" i="26" s="1"/>
  <c r="E22" i="25"/>
  <c r="AA22" i="7"/>
  <c r="A33" i="26"/>
  <c r="AE32" i="26"/>
  <c r="AG32" i="26"/>
  <c r="K33" i="26" s="1"/>
  <c r="AF32" i="26"/>
  <c r="A34" i="25"/>
  <c r="AG33" i="25"/>
  <c r="AF33" i="25"/>
  <c r="AE33" i="25"/>
  <c r="E23" i="24" l="1"/>
  <c r="Y23" i="7"/>
  <c r="L34" i="7"/>
  <c r="H33" i="7"/>
  <c r="H23" i="16"/>
  <c r="C22" i="16"/>
  <c r="D22" i="16" s="1"/>
  <c r="E23" i="16" s="1"/>
  <c r="Q23" i="24"/>
  <c r="G23" i="24" s="1"/>
  <c r="S23" i="7"/>
  <c r="P23" i="24"/>
  <c r="H25" i="19"/>
  <c r="AF33" i="28"/>
  <c r="F34" i="28" s="1"/>
  <c r="AE33" i="28"/>
  <c r="A34" i="28"/>
  <c r="AG33" i="28"/>
  <c r="K34" i="28" s="1"/>
  <c r="E22" i="28"/>
  <c r="AB22" i="7"/>
  <c r="Q23" i="19"/>
  <c r="G23" i="19" s="1"/>
  <c r="C23" i="19" s="1"/>
  <c r="D23" i="19" s="1"/>
  <c r="E24" i="19" s="1"/>
  <c r="P23" i="19"/>
  <c r="P21" i="17"/>
  <c r="Q21" i="17"/>
  <c r="G21" i="17" s="1"/>
  <c r="C21" i="17" s="1"/>
  <c r="D21" i="17" s="1"/>
  <c r="E22" i="17" s="1"/>
  <c r="Q23" i="28"/>
  <c r="G23" i="28" s="1"/>
  <c r="P23" i="28"/>
  <c r="V23" i="7"/>
  <c r="C22" i="28"/>
  <c r="D22" i="28" s="1"/>
  <c r="H23" i="28"/>
  <c r="Q22" i="27"/>
  <c r="G22" i="27" s="1"/>
  <c r="P22" i="27"/>
  <c r="T22" i="7"/>
  <c r="H24" i="24"/>
  <c r="C23" i="24"/>
  <c r="D23" i="24" s="1"/>
  <c r="AF34" i="27"/>
  <c r="F35" i="27" s="1"/>
  <c r="A35" i="27"/>
  <c r="AG34" i="27"/>
  <c r="K35" i="27" s="1"/>
  <c r="AE34" i="27"/>
  <c r="AF34" i="24"/>
  <c r="A35" i="24"/>
  <c r="AG34" i="24"/>
  <c r="AE34" i="24"/>
  <c r="J35" i="7" s="1"/>
  <c r="F33" i="25"/>
  <c r="K34" i="25"/>
  <c r="E24" i="26"/>
  <c r="X24" i="7"/>
  <c r="F32" i="11"/>
  <c r="K33" i="11"/>
  <c r="P24" i="16"/>
  <c r="Q24" i="16"/>
  <c r="G24" i="16" s="1"/>
  <c r="E22" i="11"/>
  <c r="W22" i="7"/>
  <c r="E21" i="27"/>
  <c r="Z21" i="7"/>
  <c r="P22" i="11"/>
  <c r="Q22" i="11"/>
  <c r="G22" i="11" s="1"/>
  <c r="Q22" i="7"/>
  <c r="H23" i="17"/>
  <c r="P25" i="26"/>
  <c r="Q25" i="26"/>
  <c r="G25" i="26" s="1"/>
  <c r="R25" i="7"/>
  <c r="AB6" i="33" s="1"/>
  <c r="AH6" i="33" s="1"/>
  <c r="E23" i="25"/>
  <c r="AA23" i="7"/>
  <c r="F33" i="24"/>
  <c r="K34" i="24"/>
  <c r="Q23" i="25"/>
  <c r="G23" i="25" s="1"/>
  <c r="C23" i="25" s="1"/>
  <c r="D23" i="25" s="1"/>
  <c r="P23" i="25"/>
  <c r="U23" i="7"/>
  <c r="AG34" i="25"/>
  <c r="A35" i="25"/>
  <c r="AF34" i="25"/>
  <c r="AE34" i="25"/>
  <c r="AG33" i="26"/>
  <c r="K34" i="26" s="1"/>
  <c r="AF33" i="26"/>
  <c r="AE33" i="26"/>
  <c r="A34" i="26"/>
  <c r="H25" i="26"/>
  <c r="A34" i="11"/>
  <c r="AG33" i="11"/>
  <c r="AF33" i="11"/>
  <c r="AE33" i="11"/>
  <c r="H34" i="7" s="1"/>
  <c r="Q23" i="20"/>
  <c r="G23" i="20" s="1"/>
  <c r="P23" i="20"/>
  <c r="C23" i="20"/>
  <c r="D23" i="20" s="1"/>
  <c r="E24" i="20" s="1"/>
  <c r="H24" i="20"/>
  <c r="H23" i="11"/>
  <c r="C22" i="11"/>
  <c r="D22" i="11" s="1"/>
  <c r="C21" i="27"/>
  <c r="D21" i="27" s="1"/>
  <c r="H22" i="27"/>
  <c r="P25" i="18"/>
  <c r="Q25" i="18"/>
  <c r="G25" i="18" s="1"/>
  <c r="C23" i="18"/>
  <c r="D23" i="18" s="1"/>
  <c r="E24" i="18" s="1"/>
  <c r="H24" i="18"/>
  <c r="F25" i="26"/>
  <c r="AH25" i="26"/>
  <c r="K24" i="26"/>
  <c r="C24" i="26" s="1"/>
  <c r="D24" i="26" s="1"/>
  <c r="H25" i="25"/>
  <c r="E25" i="26" l="1"/>
  <c r="X25" i="7"/>
  <c r="E6" i="33" s="1"/>
  <c r="E22" i="27"/>
  <c r="Z22" i="7"/>
  <c r="F34" i="25"/>
  <c r="K35" i="25"/>
  <c r="H24" i="17"/>
  <c r="E23" i="11"/>
  <c r="W23" i="7"/>
  <c r="Q24" i="20"/>
  <c r="G24" i="20" s="1"/>
  <c r="P24" i="20"/>
  <c r="H26" i="25"/>
  <c r="H25" i="18"/>
  <c r="C24" i="18"/>
  <c r="D24" i="18" s="1"/>
  <c r="E25" i="18" s="1"/>
  <c r="C22" i="27"/>
  <c r="D22" i="27" s="1"/>
  <c r="H23" i="27"/>
  <c r="C24" i="20"/>
  <c r="D24" i="20" s="1"/>
  <c r="E25" i="20" s="1"/>
  <c r="H25" i="20"/>
  <c r="H26" i="26"/>
  <c r="AF35" i="25"/>
  <c r="AG35" i="25"/>
  <c r="AE35" i="25"/>
  <c r="A36" i="25"/>
  <c r="E24" i="25"/>
  <c r="AA24" i="7"/>
  <c r="P23" i="11"/>
  <c r="Q23" i="11"/>
  <c r="G23" i="11" s="1"/>
  <c r="C23" i="11" s="1"/>
  <c r="D23" i="11" s="1"/>
  <c r="Q23" i="7"/>
  <c r="P23" i="27"/>
  <c r="Q23" i="27"/>
  <c r="G23" i="27" s="1"/>
  <c r="T23" i="7"/>
  <c r="Q22" i="17"/>
  <c r="G22" i="17" s="1"/>
  <c r="C22" i="17" s="1"/>
  <c r="D22" i="17" s="1"/>
  <c r="E23" i="17" s="1"/>
  <c r="P22" i="17"/>
  <c r="E24" i="24"/>
  <c r="Y24" i="7"/>
  <c r="P24" i="28"/>
  <c r="Q24" i="28"/>
  <c r="G24" i="28" s="1"/>
  <c r="V24" i="7"/>
  <c r="Q24" i="19"/>
  <c r="G24" i="19" s="1"/>
  <c r="C24" i="19" s="1"/>
  <c r="D24" i="19" s="1"/>
  <c r="E25" i="19" s="1"/>
  <c r="P24" i="19"/>
  <c r="Q25" i="16"/>
  <c r="G25" i="16" s="1"/>
  <c r="P25" i="16"/>
  <c r="K35" i="24"/>
  <c r="F34" i="24"/>
  <c r="H25" i="24"/>
  <c r="C23" i="28"/>
  <c r="D23" i="28" s="1"/>
  <c r="H24" i="28"/>
  <c r="AE34" i="28"/>
  <c r="L35" i="7" s="1"/>
  <c r="A35" i="28"/>
  <c r="AG34" i="28"/>
  <c r="K35" i="28" s="1"/>
  <c r="AF34" i="28"/>
  <c r="F35" i="28" s="1"/>
  <c r="H26" i="19"/>
  <c r="AH26" i="26"/>
  <c r="F26" i="26"/>
  <c r="K25" i="26"/>
  <c r="C25" i="26" s="1"/>
  <c r="D25" i="26" s="1"/>
  <c r="F33" i="11"/>
  <c r="K34" i="11"/>
  <c r="A35" i="26"/>
  <c r="AE34" i="26"/>
  <c r="AG34" i="26"/>
  <c r="K35" i="26" s="1"/>
  <c r="AF34" i="26"/>
  <c r="P26" i="18"/>
  <c r="Q26" i="18"/>
  <c r="G26" i="18" s="1"/>
  <c r="H24" i="11"/>
  <c r="A35" i="11"/>
  <c r="AG34" i="11"/>
  <c r="AF34" i="11"/>
  <c r="AE34" i="11"/>
  <c r="Q24" i="25"/>
  <c r="G24" i="25" s="1"/>
  <c r="C24" i="25" s="1"/>
  <c r="D24" i="25" s="1"/>
  <c r="P24" i="25"/>
  <c r="U24" i="7"/>
  <c r="Q26" i="26"/>
  <c r="G26" i="26" s="1"/>
  <c r="P26" i="26"/>
  <c r="R26" i="7"/>
  <c r="AB7" i="33" s="1"/>
  <c r="AH7" i="33" s="1"/>
  <c r="AE35" i="24"/>
  <c r="AG35" i="24"/>
  <c r="AF35" i="24"/>
  <c r="A36" i="24"/>
  <c r="AE35" i="27"/>
  <c r="AG35" i="27"/>
  <c r="K36" i="27" s="1"/>
  <c r="A36" i="27"/>
  <c r="AF35" i="27"/>
  <c r="F36" i="27" s="1"/>
  <c r="E23" i="28"/>
  <c r="AB23" i="7"/>
  <c r="Q24" i="24"/>
  <c r="G24" i="24" s="1"/>
  <c r="C24" i="24" s="1"/>
  <c r="D24" i="24" s="1"/>
  <c r="P24" i="24"/>
  <c r="S24" i="7"/>
  <c r="H24" i="16"/>
  <c r="C23" i="16"/>
  <c r="D23" i="16" s="1"/>
  <c r="E24" i="16" s="1"/>
  <c r="E24" i="11" l="1"/>
  <c r="W24" i="7"/>
  <c r="X26" i="7"/>
  <c r="E7" i="33" s="1"/>
  <c r="E26" i="26"/>
  <c r="E25" i="24"/>
  <c r="Y25" i="7"/>
  <c r="G6" i="33" s="1"/>
  <c r="J36" i="7"/>
  <c r="H25" i="13" s="1"/>
  <c r="Q25" i="25"/>
  <c r="G25" i="25" s="1"/>
  <c r="C25" i="25" s="1"/>
  <c r="D25" i="25" s="1"/>
  <c r="P25" i="25"/>
  <c r="U25" i="7"/>
  <c r="AE6" i="33" s="1"/>
  <c r="AK6" i="33" s="1"/>
  <c r="H25" i="16"/>
  <c r="C24" i="16"/>
  <c r="D24" i="16" s="1"/>
  <c r="E25" i="16" s="1"/>
  <c r="K36" i="24"/>
  <c r="F35" i="24"/>
  <c r="H35" i="7"/>
  <c r="F27" i="26"/>
  <c r="AH27" i="26"/>
  <c r="K26" i="26"/>
  <c r="H25" i="28"/>
  <c r="C24" i="28"/>
  <c r="D24" i="28" s="1"/>
  <c r="P23" i="17"/>
  <c r="Q23" i="17"/>
  <c r="G23" i="17" s="1"/>
  <c r="C23" i="17" s="1"/>
  <c r="D23" i="17" s="1"/>
  <c r="E24" i="17" s="1"/>
  <c r="Q24" i="27"/>
  <c r="G24" i="27" s="1"/>
  <c r="P24" i="27"/>
  <c r="T24" i="7"/>
  <c r="K36" i="25"/>
  <c r="F35" i="25"/>
  <c r="H26" i="20"/>
  <c r="Q25" i="20"/>
  <c r="G25" i="20" s="1"/>
  <c r="C25" i="20" s="1"/>
  <c r="D25" i="20" s="1"/>
  <c r="E26" i="20" s="1"/>
  <c r="P25" i="20"/>
  <c r="E24" i="28"/>
  <c r="AB24" i="7"/>
  <c r="P25" i="19"/>
  <c r="Q25" i="19"/>
  <c r="G25" i="19" s="1"/>
  <c r="C25" i="19" s="1"/>
  <c r="D25" i="19" s="1"/>
  <c r="E26" i="19" s="1"/>
  <c r="Q25" i="28"/>
  <c r="G25" i="28" s="1"/>
  <c r="P25" i="28"/>
  <c r="V25" i="7"/>
  <c r="AF6" i="33" s="1"/>
  <c r="AL6" i="33" s="1"/>
  <c r="C25" i="18"/>
  <c r="D25" i="18" s="1"/>
  <c r="E26" i="18" s="1"/>
  <c r="H26" i="18"/>
  <c r="H25" i="17"/>
  <c r="H25" i="11"/>
  <c r="P25" i="24"/>
  <c r="Q25" i="24"/>
  <c r="G25" i="24" s="1"/>
  <c r="C25" i="24" s="1"/>
  <c r="D25" i="24" s="1"/>
  <c r="S25" i="7"/>
  <c r="AC6" i="33" s="1"/>
  <c r="AI6" i="33" s="1"/>
  <c r="A37" i="24"/>
  <c r="AG36" i="24"/>
  <c r="AF36" i="24"/>
  <c r="AE36" i="24"/>
  <c r="AE36" i="25"/>
  <c r="AF36" i="25"/>
  <c r="A37" i="25"/>
  <c r="AG36" i="25"/>
  <c r="H24" i="27"/>
  <c r="C23" i="27"/>
  <c r="D23" i="27" s="1"/>
  <c r="H27" i="25"/>
  <c r="F34" i="11"/>
  <c r="K35" i="11"/>
  <c r="A36" i="28"/>
  <c r="AG35" i="28"/>
  <c r="K36" i="28" s="1"/>
  <c r="AF35" i="28"/>
  <c r="F36" i="28" s="1"/>
  <c r="AE35" i="28"/>
  <c r="L36" i="7" s="1"/>
  <c r="H26" i="24"/>
  <c r="Q26" i="16"/>
  <c r="G26" i="16" s="1"/>
  <c r="P26" i="16"/>
  <c r="A37" i="27"/>
  <c r="AF36" i="27"/>
  <c r="F37" i="27" s="1"/>
  <c r="AG36" i="27"/>
  <c r="K37" i="27" s="1"/>
  <c r="AE36" i="27"/>
  <c r="P27" i="26"/>
  <c r="Q27" i="26"/>
  <c r="G27" i="26" s="1"/>
  <c r="R27" i="7"/>
  <c r="AB8" i="33" s="1"/>
  <c r="AH8" i="33" s="1"/>
  <c r="E25" i="25"/>
  <c r="AA25" i="7"/>
  <c r="K6" i="33" s="1"/>
  <c r="A36" i="11"/>
  <c r="AG35" i="11"/>
  <c r="AF35" i="11"/>
  <c r="AE35" i="11"/>
  <c r="H36" i="7" s="1"/>
  <c r="F25" i="13" s="1"/>
  <c r="P27" i="18"/>
  <c r="Q27" i="18"/>
  <c r="G27" i="18" s="1"/>
  <c r="AG35" i="26"/>
  <c r="K36" i="26" s="1"/>
  <c r="AF35" i="26"/>
  <c r="AE35" i="26"/>
  <c r="A36" i="26"/>
  <c r="H27" i="19"/>
  <c r="P24" i="11"/>
  <c r="Q24" i="11"/>
  <c r="G24" i="11" s="1"/>
  <c r="C24" i="11" s="1"/>
  <c r="D24" i="11" s="1"/>
  <c r="Q24" i="7"/>
  <c r="C26" i="26"/>
  <c r="D26" i="26" s="1"/>
  <c r="H27" i="26"/>
  <c r="E23" i="27"/>
  <c r="Z23" i="7"/>
  <c r="E26" i="24" l="1"/>
  <c r="Y26" i="7"/>
  <c r="G7" i="33" s="1"/>
  <c r="E25" i="11"/>
  <c r="W25" i="7"/>
  <c r="C6" i="33" s="1"/>
  <c r="J26" i="13"/>
  <c r="J25" i="13"/>
  <c r="H28" i="19"/>
  <c r="Q28" i="26"/>
  <c r="G28" i="26" s="1"/>
  <c r="P28" i="26"/>
  <c r="R28" i="7"/>
  <c r="AB9" i="33" s="1"/>
  <c r="AH9" i="33" s="1"/>
  <c r="AG37" i="27"/>
  <c r="K38" i="27" s="1"/>
  <c r="AE37" i="27"/>
  <c r="A38" i="27"/>
  <c r="AF37" i="27"/>
  <c r="F38" i="27" s="1"/>
  <c r="H27" i="24"/>
  <c r="AG36" i="28"/>
  <c r="K37" i="28" s="1"/>
  <c r="AF36" i="28"/>
  <c r="F37" i="28" s="1"/>
  <c r="AE36" i="28"/>
  <c r="A37" i="28"/>
  <c r="K37" i="25"/>
  <c r="F36" i="25"/>
  <c r="J37" i="7"/>
  <c r="H26" i="13" s="1"/>
  <c r="H26" i="11"/>
  <c r="Q26" i="20"/>
  <c r="G26" i="20" s="1"/>
  <c r="P26" i="20"/>
  <c r="H26" i="28"/>
  <c r="C25" i="28"/>
  <c r="D25" i="28" s="1"/>
  <c r="H26" i="16"/>
  <c r="C25" i="16"/>
  <c r="D25" i="16" s="1"/>
  <c r="E26" i="16" s="1"/>
  <c r="Q27" i="16"/>
  <c r="G27" i="16" s="1"/>
  <c r="P27" i="16"/>
  <c r="A38" i="25"/>
  <c r="AF37" i="25"/>
  <c r="AE37" i="25"/>
  <c r="AG37" i="25"/>
  <c r="Q26" i="19"/>
  <c r="G26" i="19" s="1"/>
  <c r="C26" i="19" s="1"/>
  <c r="D26" i="19" s="1"/>
  <c r="E27" i="19" s="1"/>
  <c r="P26" i="19"/>
  <c r="H26" i="17"/>
  <c r="H28" i="26"/>
  <c r="C27" i="26"/>
  <c r="D27" i="26" s="1"/>
  <c r="F35" i="11"/>
  <c r="K36" i="11"/>
  <c r="E24" i="27"/>
  <c r="Z24" i="7"/>
  <c r="F36" i="24"/>
  <c r="K37" i="24"/>
  <c r="Q26" i="24"/>
  <c r="G26" i="24" s="1"/>
  <c r="C26" i="24" s="1"/>
  <c r="D26" i="24" s="1"/>
  <c r="P26" i="24"/>
  <c r="S26" i="7"/>
  <c r="AC7" i="33" s="1"/>
  <c r="AI7" i="33" s="1"/>
  <c r="P26" i="28"/>
  <c r="Q26" i="28"/>
  <c r="G26" i="28" s="1"/>
  <c r="V26" i="7"/>
  <c r="AF7" i="33" s="1"/>
  <c r="AL7" i="33" s="1"/>
  <c r="C26" i="20"/>
  <c r="D26" i="20" s="1"/>
  <c r="E27" i="20" s="1"/>
  <c r="H27" i="20"/>
  <c r="P24" i="17"/>
  <c r="Q24" i="17"/>
  <c r="G24" i="17" s="1"/>
  <c r="C24" i="17" s="1"/>
  <c r="D24" i="17" s="1"/>
  <c r="E25" i="17" s="1"/>
  <c r="AH28" i="26"/>
  <c r="F28" i="26"/>
  <c r="K27" i="26"/>
  <c r="P26" i="25"/>
  <c r="Q26" i="25"/>
  <c r="G26" i="25" s="1"/>
  <c r="C26" i="25" s="1"/>
  <c r="D26" i="25" s="1"/>
  <c r="U26" i="7"/>
  <c r="AE7" i="33" s="1"/>
  <c r="AK7" i="33" s="1"/>
  <c r="H28" i="25"/>
  <c r="A37" i="26"/>
  <c r="AE36" i="26"/>
  <c r="AG36" i="26"/>
  <c r="K37" i="26" s="1"/>
  <c r="AF36" i="26"/>
  <c r="E27" i="26"/>
  <c r="X27" i="7"/>
  <c r="E8" i="33" s="1"/>
  <c r="P25" i="11"/>
  <c r="Q25" i="7"/>
  <c r="AA6" i="33" s="1"/>
  <c r="AG6" i="33" s="1"/>
  <c r="Q25" i="11"/>
  <c r="G25" i="11" s="1"/>
  <c r="C25" i="11" s="1"/>
  <c r="D25" i="11" s="1"/>
  <c r="P28" i="18"/>
  <c r="Q28" i="18"/>
  <c r="G28" i="18" s="1"/>
  <c r="A37" i="11"/>
  <c r="AG36" i="11"/>
  <c r="AF36" i="11"/>
  <c r="AE36" i="11"/>
  <c r="H25" i="27"/>
  <c r="C24" i="27"/>
  <c r="D24" i="27" s="1"/>
  <c r="L37" i="7"/>
  <c r="AG37" i="24"/>
  <c r="A38" i="24"/>
  <c r="AF37" i="24"/>
  <c r="AE37" i="24"/>
  <c r="J38" i="7" s="1"/>
  <c r="C26" i="18"/>
  <c r="D26" i="18" s="1"/>
  <c r="E27" i="18" s="1"/>
  <c r="H27" i="18"/>
  <c r="Q25" i="27"/>
  <c r="G25" i="27" s="1"/>
  <c r="P25" i="27"/>
  <c r="T25" i="7"/>
  <c r="AD6" i="33" s="1"/>
  <c r="AJ6" i="33" s="1"/>
  <c r="E25" i="28"/>
  <c r="AB25" i="7"/>
  <c r="M6" i="33" s="1"/>
  <c r="E26" i="25"/>
  <c r="AA26" i="7"/>
  <c r="K7" i="33" s="1"/>
  <c r="E26" i="11" l="1"/>
  <c r="W26" i="7"/>
  <c r="C7" i="33" s="1"/>
  <c r="E27" i="24"/>
  <c r="Y27" i="7"/>
  <c r="G8" i="33" s="1"/>
  <c r="AF38" i="24"/>
  <c r="AG38" i="24"/>
  <c r="AE38" i="24"/>
  <c r="A39" i="24"/>
  <c r="C25" i="27"/>
  <c r="D25" i="27" s="1"/>
  <c r="H26" i="27"/>
  <c r="A38" i="11"/>
  <c r="AG37" i="11"/>
  <c r="AF37" i="11"/>
  <c r="AE37" i="11"/>
  <c r="Q26" i="27"/>
  <c r="G26" i="27" s="1"/>
  <c r="P26" i="27"/>
  <c r="T26" i="7"/>
  <c r="AD7" i="33" s="1"/>
  <c r="AJ7" i="33" s="1"/>
  <c r="P29" i="18"/>
  <c r="Q29" i="18"/>
  <c r="G29" i="18" s="1"/>
  <c r="H28" i="20"/>
  <c r="Q27" i="28"/>
  <c r="G27" i="28" s="1"/>
  <c r="P27" i="28"/>
  <c r="V27" i="7"/>
  <c r="AF8" i="33" s="1"/>
  <c r="AL8" i="33" s="1"/>
  <c r="H27" i="17"/>
  <c r="Q27" i="19"/>
  <c r="G27" i="19" s="1"/>
  <c r="C27" i="19" s="1"/>
  <c r="D27" i="19" s="1"/>
  <c r="E28" i="19" s="1"/>
  <c r="P27" i="19"/>
  <c r="H27" i="28"/>
  <c r="C26" i="28"/>
  <c r="D26" i="28" s="1"/>
  <c r="H27" i="11"/>
  <c r="AF38" i="27"/>
  <c r="F39" i="27" s="1"/>
  <c r="A39" i="27"/>
  <c r="AE38" i="27"/>
  <c r="AG38" i="27"/>
  <c r="K39" i="27" s="1"/>
  <c r="P29" i="26"/>
  <c r="Q29" i="26"/>
  <c r="G29" i="26" s="1"/>
  <c r="R29" i="7"/>
  <c r="AB10" i="33" s="1"/>
  <c r="AH10" i="33" s="1"/>
  <c r="E25" i="27"/>
  <c r="Z25" i="7"/>
  <c r="I6" i="33" s="1"/>
  <c r="F36" i="11"/>
  <c r="K37" i="11"/>
  <c r="AG37" i="26"/>
  <c r="K38" i="26" s="1"/>
  <c r="AF37" i="26"/>
  <c r="AE37" i="26"/>
  <c r="A38" i="26"/>
  <c r="E27" i="25"/>
  <c r="AA27" i="7"/>
  <c r="K8" i="33" s="1"/>
  <c r="F29" i="26"/>
  <c r="AH29" i="26"/>
  <c r="Q27" i="20"/>
  <c r="G27" i="20" s="1"/>
  <c r="C27" i="20" s="1"/>
  <c r="D27" i="20" s="1"/>
  <c r="E28" i="20" s="1"/>
  <c r="P27" i="20"/>
  <c r="AF37" i="28"/>
  <c r="F38" i="28" s="1"/>
  <c r="AE37" i="28"/>
  <c r="L38" i="7" s="1"/>
  <c r="A38" i="28"/>
  <c r="AG37" i="28"/>
  <c r="K38" i="28" s="1"/>
  <c r="Q27" i="25"/>
  <c r="G27" i="25" s="1"/>
  <c r="C27" i="25" s="1"/>
  <c r="D27" i="25" s="1"/>
  <c r="P27" i="25"/>
  <c r="U27" i="7"/>
  <c r="AE8" i="33" s="1"/>
  <c r="AK8" i="33" s="1"/>
  <c r="Q27" i="24"/>
  <c r="G27" i="24" s="1"/>
  <c r="P27" i="24"/>
  <c r="S27" i="7"/>
  <c r="AC8" i="33" s="1"/>
  <c r="AI8" i="33" s="1"/>
  <c r="E28" i="26"/>
  <c r="X28" i="7"/>
  <c r="E9" i="33" s="1"/>
  <c r="AG38" i="25"/>
  <c r="AF38" i="25"/>
  <c r="AE38" i="25"/>
  <c r="A39" i="25"/>
  <c r="H27" i="16"/>
  <c r="C26" i="16"/>
  <c r="D26" i="16" s="1"/>
  <c r="E27" i="16" s="1"/>
  <c r="H28" i="24"/>
  <c r="C27" i="24"/>
  <c r="D27" i="24" s="1"/>
  <c r="H28" i="18"/>
  <c r="C27" i="18"/>
  <c r="D27" i="18" s="1"/>
  <c r="E28" i="18" s="1"/>
  <c r="F37" i="24"/>
  <c r="K38" i="24"/>
  <c r="H37" i="7"/>
  <c r="F26" i="13" s="1"/>
  <c r="P26" i="11"/>
  <c r="Q26" i="11"/>
  <c r="G26" i="11" s="1"/>
  <c r="C26" i="11" s="1"/>
  <c r="D26" i="11" s="1"/>
  <c r="Q26" i="7"/>
  <c r="AA7" i="33" s="1"/>
  <c r="AG7" i="33" s="1"/>
  <c r="H29" i="25"/>
  <c r="Q25" i="17"/>
  <c r="G25" i="17" s="1"/>
  <c r="C25" i="17" s="1"/>
  <c r="D25" i="17" s="1"/>
  <c r="E26" i="17" s="1"/>
  <c r="P25" i="17"/>
  <c r="C28" i="26"/>
  <c r="D28" i="26" s="1"/>
  <c r="H29" i="26"/>
  <c r="K38" i="25"/>
  <c r="F37" i="25"/>
  <c r="Q28" i="16"/>
  <c r="G28" i="16" s="1"/>
  <c r="P28" i="16"/>
  <c r="E26" i="28"/>
  <c r="AB26" i="7"/>
  <c r="M7" i="33" s="1"/>
  <c r="H29" i="19"/>
  <c r="E27" i="11" l="1"/>
  <c r="W27" i="7"/>
  <c r="C8" i="33" s="1"/>
  <c r="E29" i="26"/>
  <c r="X29" i="7"/>
  <c r="E10" i="33" s="1"/>
  <c r="H30" i="25"/>
  <c r="H29" i="24"/>
  <c r="Q28" i="20"/>
  <c r="G28" i="20" s="1"/>
  <c r="P28" i="20"/>
  <c r="AE39" i="27"/>
  <c r="AG39" i="27"/>
  <c r="K40" i="27" s="1"/>
  <c r="AF39" i="27"/>
  <c r="F40" i="27" s="1"/>
  <c r="A40" i="27"/>
  <c r="E27" i="28"/>
  <c r="AB27" i="7"/>
  <c r="M8" i="33" s="1"/>
  <c r="P28" i="28"/>
  <c r="Q28" i="28"/>
  <c r="G28" i="28" s="1"/>
  <c r="V28" i="7"/>
  <c r="AF9" i="33" s="1"/>
  <c r="AL9" i="33" s="1"/>
  <c r="P27" i="27"/>
  <c r="Q27" i="27"/>
  <c r="G27" i="27" s="1"/>
  <c r="T27" i="7"/>
  <c r="AD8" i="33" s="1"/>
  <c r="AJ8" i="33" s="1"/>
  <c r="F37" i="11"/>
  <c r="K38" i="11"/>
  <c r="AE39" i="24"/>
  <c r="J40" i="7" s="1"/>
  <c r="AF39" i="24"/>
  <c r="A40" i="24"/>
  <c r="AG39" i="24"/>
  <c r="Q26" i="17"/>
  <c r="G26" i="17" s="1"/>
  <c r="C26" i="17" s="1"/>
  <c r="D26" i="17" s="1"/>
  <c r="E27" i="17" s="1"/>
  <c r="P26" i="17"/>
  <c r="P28" i="25"/>
  <c r="Q28" i="25"/>
  <c r="G28" i="25" s="1"/>
  <c r="C28" i="25" s="1"/>
  <c r="D28" i="25" s="1"/>
  <c r="U28" i="7"/>
  <c r="AE9" i="33" s="1"/>
  <c r="AK9" i="33" s="1"/>
  <c r="Q30" i="26"/>
  <c r="G30" i="26" s="1"/>
  <c r="P30" i="26"/>
  <c r="R30" i="7"/>
  <c r="AB11" i="33" s="1"/>
  <c r="AH11" i="33" s="1"/>
  <c r="C27" i="28"/>
  <c r="D27" i="28" s="1"/>
  <c r="H28" i="28"/>
  <c r="H28" i="17"/>
  <c r="A39" i="11"/>
  <c r="AG38" i="11"/>
  <c r="AF38" i="11"/>
  <c r="AE38" i="11"/>
  <c r="J39" i="7"/>
  <c r="H29" i="18"/>
  <c r="C29" i="18" s="1"/>
  <c r="D29" i="18" s="1"/>
  <c r="C28" i="18"/>
  <c r="D28" i="18" s="1"/>
  <c r="E29" i="18" s="1"/>
  <c r="AE38" i="28"/>
  <c r="L39" i="7" s="1"/>
  <c r="A39" i="28"/>
  <c r="AG38" i="28"/>
  <c r="K39" i="28" s="1"/>
  <c r="AF38" i="28"/>
  <c r="F39" i="28" s="1"/>
  <c r="H28" i="16"/>
  <c r="C27" i="16"/>
  <c r="D27" i="16" s="1"/>
  <c r="E28" i="16" s="1"/>
  <c r="F38" i="25"/>
  <c r="K39" i="25"/>
  <c r="Q28" i="24"/>
  <c r="G28" i="24" s="1"/>
  <c r="C28" i="24" s="1"/>
  <c r="D28" i="24" s="1"/>
  <c r="P28" i="24"/>
  <c r="S28" i="7"/>
  <c r="AC9" i="33" s="1"/>
  <c r="AI9" i="33" s="1"/>
  <c r="E28" i="25"/>
  <c r="AA28" i="7"/>
  <c r="K9" i="33" s="1"/>
  <c r="AH30" i="26"/>
  <c r="F30" i="26"/>
  <c r="A39" i="26"/>
  <c r="AE38" i="26"/>
  <c r="AG38" i="26"/>
  <c r="K39" i="26" s="1"/>
  <c r="AF38" i="26"/>
  <c r="C28" i="20"/>
  <c r="D28" i="20" s="1"/>
  <c r="E29" i="20" s="1"/>
  <c r="H29" i="20"/>
  <c r="H38" i="7"/>
  <c r="C26" i="27"/>
  <c r="D26" i="27" s="1"/>
  <c r="H27" i="27"/>
  <c r="K39" i="24"/>
  <c r="F38" i="24"/>
  <c r="Q29" i="16"/>
  <c r="G29" i="16" s="1"/>
  <c r="P29" i="16"/>
  <c r="H30" i="26"/>
  <c r="C29" i="26"/>
  <c r="D29" i="26" s="1"/>
  <c r="P27" i="11"/>
  <c r="Q27" i="11"/>
  <c r="G27" i="11" s="1"/>
  <c r="Q27" i="7"/>
  <c r="AA8" i="33" s="1"/>
  <c r="AG8" i="33" s="1"/>
  <c r="E28" i="24"/>
  <c r="Y28" i="7"/>
  <c r="G9" i="33" s="1"/>
  <c r="AF39" i="25"/>
  <c r="AE39" i="25"/>
  <c r="A40" i="25"/>
  <c r="AG39" i="25"/>
  <c r="H28" i="11"/>
  <c r="C27" i="11"/>
  <c r="D27" i="11" s="1"/>
  <c r="Q28" i="19"/>
  <c r="G28" i="19" s="1"/>
  <c r="C28" i="19" s="1"/>
  <c r="D28" i="19" s="1"/>
  <c r="E29" i="19" s="1"/>
  <c r="P28" i="19"/>
  <c r="E26" i="27"/>
  <c r="Z26" i="7"/>
  <c r="I7" i="33" s="1"/>
  <c r="Y29" i="7" l="1"/>
  <c r="G10" i="33" s="1"/>
  <c r="E29" i="24"/>
  <c r="Q29" i="19"/>
  <c r="G29" i="19" s="1"/>
  <c r="C29" i="19" s="1"/>
  <c r="D29" i="19" s="1"/>
  <c r="P29" i="19"/>
  <c r="F39" i="25"/>
  <c r="K40" i="25"/>
  <c r="P28" i="11"/>
  <c r="Q28" i="11"/>
  <c r="G28" i="11" s="1"/>
  <c r="Q28" i="7"/>
  <c r="AA9" i="33" s="1"/>
  <c r="AG9" i="33" s="1"/>
  <c r="E27" i="27"/>
  <c r="Z27" i="7"/>
  <c r="I8" i="33" s="1"/>
  <c r="F38" i="11"/>
  <c r="K39" i="11"/>
  <c r="H29" i="28"/>
  <c r="C28" i="28"/>
  <c r="D28" i="28" s="1"/>
  <c r="P27" i="17"/>
  <c r="Q27" i="17"/>
  <c r="G27" i="17" s="1"/>
  <c r="C27" i="17" s="1"/>
  <c r="D27" i="17" s="1"/>
  <c r="E28" i="17" s="1"/>
  <c r="A41" i="27"/>
  <c r="AF40" i="27"/>
  <c r="F41" i="27" s="1"/>
  <c r="AG40" i="27"/>
  <c r="K41" i="27" s="1"/>
  <c r="AE40" i="27"/>
  <c r="H30" i="24"/>
  <c r="AE40" i="25"/>
  <c r="A41" i="25"/>
  <c r="AG40" i="25"/>
  <c r="AF40" i="25"/>
  <c r="F31" i="26"/>
  <c r="AH31" i="26"/>
  <c r="A40" i="28"/>
  <c r="AG39" i="28"/>
  <c r="K40" i="28" s="1"/>
  <c r="AF39" i="28"/>
  <c r="F40" i="28" s="1"/>
  <c r="AE39" i="28"/>
  <c r="A40" i="11"/>
  <c r="AG39" i="11"/>
  <c r="AF39" i="11"/>
  <c r="AE39" i="11"/>
  <c r="E28" i="28"/>
  <c r="AB28" i="7"/>
  <c r="M9" i="33" s="1"/>
  <c r="Q29" i="28"/>
  <c r="G29" i="28" s="1"/>
  <c r="P29" i="28"/>
  <c r="V29" i="7"/>
  <c r="AF10" i="33" s="1"/>
  <c r="AL10" i="33" s="1"/>
  <c r="Q29" i="20"/>
  <c r="G29" i="20" s="1"/>
  <c r="C29" i="20" s="1"/>
  <c r="D29" i="20" s="1"/>
  <c r="P29" i="20"/>
  <c r="E30" i="26"/>
  <c r="X30" i="7"/>
  <c r="E11" i="33" s="1"/>
  <c r="E29" i="25"/>
  <c r="AA29" i="7"/>
  <c r="K10" i="33" s="1"/>
  <c r="K40" i="24"/>
  <c r="F39" i="24"/>
  <c r="Q28" i="27"/>
  <c r="G28" i="27" s="1"/>
  <c r="P28" i="27"/>
  <c r="T28" i="7"/>
  <c r="AD9" i="33" s="1"/>
  <c r="AJ9" i="33" s="1"/>
  <c r="H31" i="25"/>
  <c r="P29" i="24"/>
  <c r="Q29" i="24"/>
  <c r="G29" i="24" s="1"/>
  <c r="C29" i="24" s="1"/>
  <c r="D29" i="24" s="1"/>
  <c r="S29" i="7"/>
  <c r="AC10" i="33" s="1"/>
  <c r="AI10" i="33" s="1"/>
  <c r="E28" i="11"/>
  <c r="W28" i="7"/>
  <c r="C9" i="33" s="1"/>
  <c r="L40" i="7"/>
  <c r="C30" i="26"/>
  <c r="D30" i="26" s="1"/>
  <c r="H31" i="26"/>
  <c r="H29" i="16"/>
  <c r="C29" i="16" s="1"/>
  <c r="D29" i="16" s="1"/>
  <c r="C28" i="16"/>
  <c r="D28" i="16" s="1"/>
  <c r="E29" i="16" s="1"/>
  <c r="H39" i="7"/>
  <c r="H29" i="11"/>
  <c r="C28" i="11"/>
  <c r="D28" i="11" s="1"/>
  <c r="H28" i="27"/>
  <c r="C27" i="27"/>
  <c r="D27" i="27" s="1"/>
  <c r="AG39" i="26"/>
  <c r="K40" i="26" s="1"/>
  <c r="AF39" i="26"/>
  <c r="AE39" i="26"/>
  <c r="A40" i="26"/>
  <c r="H29" i="17"/>
  <c r="P31" i="26"/>
  <c r="Q31" i="26"/>
  <c r="G31" i="26" s="1"/>
  <c r="R31" i="7"/>
  <c r="AB12" i="33" s="1"/>
  <c r="AH12" i="33" s="1"/>
  <c r="AH13" i="33" s="1"/>
  <c r="Q29" i="25"/>
  <c r="G29" i="25" s="1"/>
  <c r="C29" i="25" s="1"/>
  <c r="D29" i="25" s="1"/>
  <c r="U29" i="7"/>
  <c r="AE10" i="33" s="1"/>
  <c r="AK10" i="33" s="1"/>
  <c r="P29" i="25"/>
  <c r="A41" i="24"/>
  <c r="AF40" i="24"/>
  <c r="AE40" i="24"/>
  <c r="J41" i="7" s="1"/>
  <c r="AG40" i="24"/>
  <c r="E30" i="24" l="1"/>
  <c r="Y30" i="7"/>
  <c r="G11" i="33" s="1"/>
  <c r="K41" i="24"/>
  <c r="F40" i="24"/>
  <c r="P30" i="25"/>
  <c r="Q30" i="25"/>
  <c r="G30" i="25" s="1"/>
  <c r="C30" i="25" s="1"/>
  <c r="D30" i="25" s="1"/>
  <c r="U30" i="7"/>
  <c r="AE11" i="33" s="1"/>
  <c r="AK11" i="33" s="1"/>
  <c r="A41" i="26"/>
  <c r="AE40" i="26"/>
  <c r="AG40" i="26"/>
  <c r="K41" i="26" s="1"/>
  <c r="AF40" i="26"/>
  <c r="E28" i="27"/>
  <c r="Z28" i="7"/>
  <c r="I9" i="33" s="1"/>
  <c r="E31" i="26"/>
  <c r="X31" i="7"/>
  <c r="E12" i="33" s="1"/>
  <c r="E13" i="33" s="1"/>
  <c r="H32" i="25"/>
  <c r="Q32" i="26"/>
  <c r="G32" i="26" s="1"/>
  <c r="P32" i="26"/>
  <c r="R32" i="7"/>
  <c r="H29" i="27"/>
  <c r="C28" i="27"/>
  <c r="D28" i="27" s="1"/>
  <c r="F39" i="11"/>
  <c r="K40" i="11"/>
  <c r="Q28" i="17"/>
  <c r="G28" i="17" s="1"/>
  <c r="C28" i="17" s="1"/>
  <c r="D28" i="17" s="1"/>
  <c r="E29" i="17" s="1"/>
  <c r="P28" i="17"/>
  <c r="E29" i="11"/>
  <c r="W29" i="7"/>
  <c r="C10" i="33" s="1"/>
  <c r="Q30" i="24"/>
  <c r="G30" i="24" s="1"/>
  <c r="C30" i="24" s="1"/>
  <c r="D30" i="24" s="1"/>
  <c r="P30" i="24"/>
  <c r="S30" i="7"/>
  <c r="AC11" i="33" s="1"/>
  <c r="AI11" i="33" s="1"/>
  <c r="Q29" i="27"/>
  <c r="G29" i="27" s="1"/>
  <c r="P29" i="27"/>
  <c r="T29" i="7"/>
  <c r="AD10" i="33" s="1"/>
  <c r="AJ10" i="33" s="1"/>
  <c r="A41" i="11"/>
  <c r="AG40" i="11"/>
  <c r="AF40" i="11"/>
  <c r="AE40" i="11"/>
  <c r="H41" i="7" s="1"/>
  <c r="AG40" i="28"/>
  <c r="K41" i="28" s="1"/>
  <c r="AF40" i="28"/>
  <c r="F41" i="28" s="1"/>
  <c r="AE40" i="28"/>
  <c r="L41" i="7" s="1"/>
  <c r="A41" i="28"/>
  <c r="K41" i="25"/>
  <c r="F40" i="25"/>
  <c r="H31" i="24"/>
  <c r="AG41" i="27"/>
  <c r="M12" i="13" s="1"/>
  <c r="AE41" i="27"/>
  <c r="AF41" i="27"/>
  <c r="E29" i="28"/>
  <c r="AB29" i="7"/>
  <c r="M10" i="33" s="1"/>
  <c r="P29" i="11"/>
  <c r="Q29" i="7"/>
  <c r="AA10" i="33" s="1"/>
  <c r="AG10" i="33" s="1"/>
  <c r="Q29" i="11"/>
  <c r="G29" i="11" s="1"/>
  <c r="AA30" i="7"/>
  <c r="K11" i="33" s="1"/>
  <c r="E30" i="25"/>
  <c r="AG41" i="24"/>
  <c r="AF41" i="24"/>
  <c r="AE41" i="24"/>
  <c r="J42" i="7" s="1"/>
  <c r="H30" i="11"/>
  <c r="C29" i="11"/>
  <c r="D29" i="11" s="1"/>
  <c r="H32" i="26"/>
  <c r="C31" i="26"/>
  <c r="D31" i="26" s="1"/>
  <c r="P30" i="28"/>
  <c r="Q30" i="28"/>
  <c r="G30" i="28" s="1"/>
  <c r="V30" i="7"/>
  <c r="AF11" i="33" s="1"/>
  <c r="AL11" i="33" s="1"/>
  <c r="H40" i="7"/>
  <c r="AH32" i="26"/>
  <c r="F32" i="26"/>
  <c r="AE41" i="25"/>
  <c r="AG41" i="25"/>
  <c r="AF41" i="25"/>
  <c r="H30" i="28"/>
  <c r="C29" i="28"/>
  <c r="D29" i="28" s="1"/>
  <c r="E31" i="24" l="1"/>
  <c r="Y31" i="7"/>
  <c r="G12" i="33" s="1"/>
  <c r="G13" i="33" s="1"/>
  <c r="C32" i="26"/>
  <c r="D32" i="26" s="1"/>
  <c r="H33" i="26"/>
  <c r="AG41" i="11"/>
  <c r="AF41" i="11"/>
  <c r="AE41" i="11"/>
  <c r="P33" i="26"/>
  <c r="Q33" i="26"/>
  <c r="G33" i="26" s="1"/>
  <c r="R33" i="7"/>
  <c r="P31" i="25"/>
  <c r="Q31" i="25"/>
  <c r="G31" i="25" s="1"/>
  <c r="C31" i="25" s="1"/>
  <c r="D31" i="25" s="1"/>
  <c r="U31" i="7"/>
  <c r="AE12" i="33" s="1"/>
  <c r="AK12" i="33" s="1"/>
  <c r="AK13" i="33" s="1"/>
  <c r="E30" i="28"/>
  <c r="AB30" i="7"/>
  <c r="M11" i="33" s="1"/>
  <c r="H31" i="28"/>
  <c r="C30" i="28"/>
  <c r="D30" i="28" s="1"/>
  <c r="E30" i="11"/>
  <c r="W30" i="7"/>
  <c r="C11" i="33" s="1"/>
  <c r="AF41" i="28"/>
  <c r="AE41" i="28"/>
  <c r="L42" i="7" s="1"/>
  <c r="AG41" i="28"/>
  <c r="M13" i="13" s="1"/>
  <c r="P31" i="24"/>
  <c r="Q31" i="24"/>
  <c r="G31" i="24" s="1"/>
  <c r="S31" i="7"/>
  <c r="AC12" i="33" s="1"/>
  <c r="AI12" i="33" s="1"/>
  <c r="AI13" i="33" s="1"/>
  <c r="P29" i="17"/>
  <c r="Q29" i="17"/>
  <c r="G29" i="17" s="1"/>
  <c r="C29" i="17" s="1"/>
  <c r="D29" i="17" s="1"/>
  <c r="E29" i="27"/>
  <c r="Z29" i="7"/>
  <c r="I10" i="33" s="1"/>
  <c r="H33" i="25"/>
  <c r="AG41" i="26"/>
  <c r="M11" i="13" s="1"/>
  <c r="AF41" i="26"/>
  <c r="AE41" i="26"/>
  <c r="F33" i="26"/>
  <c r="AH33" i="26"/>
  <c r="C29" i="27"/>
  <c r="D29" i="27" s="1"/>
  <c r="H30" i="27"/>
  <c r="Q31" i="28"/>
  <c r="G31" i="28" s="1"/>
  <c r="P31" i="28"/>
  <c r="V31" i="7"/>
  <c r="AF12" i="33" s="1"/>
  <c r="AL12" i="33" s="1"/>
  <c r="AL13" i="33" s="1"/>
  <c r="H31" i="11"/>
  <c r="C30" i="11"/>
  <c r="D30" i="11" s="1"/>
  <c r="F41" i="24"/>
  <c r="M6" i="13"/>
  <c r="H32" i="24"/>
  <c r="C31" i="24"/>
  <c r="D31" i="24" s="1"/>
  <c r="Q30" i="27"/>
  <c r="G30" i="27" s="1"/>
  <c r="P30" i="27"/>
  <c r="T30" i="7"/>
  <c r="AD11" i="33" s="1"/>
  <c r="AJ11" i="33" s="1"/>
  <c r="F41" i="25"/>
  <c r="M7" i="13"/>
  <c r="E32" i="26"/>
  <c r="X32" i="7"/>
  <c r="P30" i="11"/>
  <c r="Q30" i="11"/>
  <c r="G30" i="11" s="1"/>
  <c r="Q30" i="7"/>
  <c r="AA11" i="33" s="1"/>
  <c r="AG11" i="33" s="1"/>
  <c r="F40" i="11"/>
  <c r="K41" i="11"/>
  <c r="E31" i="25"/>
  <c r="AA31" i="7"/>
  <c r="K12" i="33" s="1"/>
  <c r="K13" i="33" s="1"/>
  <c r="P31" i="27" l="1"/>
  <c r="Q31" i="27"/>
  <c r="G31" i="27" s="1"/>
  <c r="T31" i="7"/>
  <c r="AD12" i="33" s="1"/>
  <c r="AJ12" i="33" s="1"/>
  <c r="AJ13" i="33" s="1"/>
  <c r="P31" i="11"/>
  <c r="Q31" i="11"/>
  <c r="G31" i="11" s="1"/>
  <c r="Q31" i="7"/>
  <c r="AA12" i="33" s="1"/>
  <c r="AG12" i="33" s="1"/>
  <c r="AG13" i="33" s="1"/>
  <c r="Y32" i="7"/>
  <c r="E32" i="24"/>
  <c r="E31" i="11"/>
  <c r="W31" i="7"/>
  <c r="C12" i="33" s="1"/>
  <c r="C13" i="33" s="1"/>
  <c r="Q32" i="24"/>
  <c r="G32" i="24" s="1"/>
  <c r="C32" i="24" s="1"/>
  <c r="D32" i="24" s="1"/>
  <c r="P32" i="24"/>
  <c r="S32" i="7"/>
  <c r="U32" i="7"/>
  <c r="Q32" i="25"/>
  <c r="G32" i="25" s="1"/>
  <c r="C32" i="25" s="1"/>
  <c r="D32" i="25" s="1"/>
  <c r="P32" i="25"/>
  <c r="H42" i="7"/>
  <c r="E33" i="26"/>
  <c r="X33" i="7"/>
  <c r="H33" i="24"/>
  <c r="H32" i="11"/>
  <c r="C31" i="11"/>
  <c r="D31" i="11" s="1"/>
  <c r="H31" i="27"/>
  <c r="C30" i="27"/>
  <c r="D30" i="27" s="1"/>
  <c r="H34" i="25"/>
  <c r="E30" i="27"/>
  <c r="Z30" i="7"/>
  <c r="I11" i="33" s="1"/>
  <c r="F41" i="11"/>
  <c r="M5" i="13"/>
  <c r="E31" i="28"/>
  <c r="AB31" i="7"/>
  <c r="M12" i="33" s="1"/>
  <c r="M13" i="33" s="1"/>
  <c r="P32" i="28"/>
  <c r="Q32" i="28"/>
  <c r="G32" i="28" s="1"/>
  <c r="V32" i="7"/>
  <c r="AH34" i="26"/>
  <c r="F34" i="26"/>
  <c r="C31" i="28"/>
  <c r="D31" i="28" s="1"/>
  <c r="H32" i="28"/>
  <c r="E32" i="25"/>
  <c r="AA32" i="7"/>
  <c r="Q34" i="26"/>
  <c r="G34" i="26" s="1"/>
  <c r="P34" i="26"/>
  <c r="R34" i="7"/>
  <c r="H34" i="26"/>
  <c r="C33" i="26"/>
  <c r="D33" i="26" s="1"/>
  <c r="E33" i="24" l="1"/>
  <c r="Y33" i="7"/>
  <c r="E32" i="28"/>
  <c r="AB32" i="7"/>
  <c r="H35" i="25"/>
  <c r="P35" i="26"/>
  <c r="Q35" i="26"/>
  <c r="G35" i="26" s="1"/>
  <c r="R35" i="7"/>
  <c r="H33" i="28"/>
  <c r="C32" i="28"/>
  <c r="D32" i="28" s="1"/>
  <c r="H32" i="27"/>
  <c r="C31" i="27"/>
  <c r="D31" i="27" s="1"/>
  <c r="Q33" i="25"/>
  <c r="G33" i="25" s="1"/>
  <c r="C33" i="25" s="1"/>
  <c r="D33" i="25" s="1"/>
  <c r="P33" i="25"/>
  <c r="U33" i="7"/>
  <c r="P33" i="24"/>
  <c r="Q33" i="24"/>
  <c r="G33" i="24" s="1"/>
  <c r="S33" i="7"/>
  <c r="P32" i="11"/>
  <c r="Q32" i="7"/>
  <c r="Q32" i="11"/>
  <c r="G32" i="11" s="1"/>
  <c r="E32" i="11"/>
  <c r="W32" i="7"/>
  <c r="C34" i="26"/>
  <c r="D34" i="26" s="1"/>
  <c r="H35" i="26"/>
  <c r="Q33" i="28"/>
  <c r="G33" i="28" s="1"/>
  <c r="P33" i="28"/>
  <c r="V33" i="7"/>
  <c r="H33" i="11"/>
  <c r="C32" i="11"/>
  <c r="D32" i="11" s="1"/>
  <c r="E34" i="26"/>
  <c r="X34" i="7"/>
  <c r="E33" i="25"/>
  <c r="AA33" i="7"/>
  <c r="F35" i="26"/>
  <c r="AH35" i="26"/>
  <c r="E31" i="27"/>
  <c r="Z31" i="7"/>
  <c r="I12" i="33" s="1"/>
  <c r="I13" i="33" s="1"/>
  <c r="H34" i="24"/>
  <c r="C33" i="24"/>
  <c r="D33" i="24" s="1"/>
  <c r="Q32" i="27"/>
  <c r="G32" i="27" s="1"/>
  <c r="P32" i="27"/>
  <c r="T32" i="7"/>
  <c r="H35" i="24" l="1"/>
  <c r="Q34" i="28"/>
  <c r="G34" i="28" s="1"/>
  <c r="P34" i="28"/>
  <c r="V34" i="7"/>
  <c r="P33" i="11"/>
  <c r="Q33" i="11"/>
  <c r="G33" i="11" s="1"/>
  <c r="Q33" i="7"/>
  <c r="C32" i="27"/>
  <c r="D32" i="27" s="1"/>
  <c r="H33" i="27"/>
  <c r="P34" i="25"/>
  <c r="Q34" i="25"/>
  <c r="G34" i="25" s="1"/>
  <c r="C34" i="25" s="1"/>
  <c r="D34" i="25" s="1"/>
  <c r="U34" i="7"/>
  <c r="E33" i="28"/>
  <c r="AB33" i="7"/>
  <c r="Q36" i="26"/>
  <c r="G36" i="26" s="1"/>
  <c r="P36" i="26"/>
  <c r="R36" i="7"/>
  <c r="N25" i="13" s="1"/>
  <c r="L11" i="13" s="1"/>
  <c r="P33" i="27"/>
  <c r="Q33" i="27"/>
  <c r="G33" i="27" s="1"/>
  <c r="T33" i="7"/>
  <c r="H34" i="11"/>
  <c r="C33" i="11"/>
  <c r="D33" i="11" s="1"/>
  <c r="H36" i="26"/>
  <c r="C35" i="26"/>
  <c r="D35" i="26" s="1"/>
  <c r="E34" i="25"/>
  <c r="AA34" i="7"/>
  <c r="H34" i="28"/>
  <c r="C33" i="28"/>
  <c r="D33" i="28" s="1"/>
  <c r="E33" i="11"/>
  <c r="W33" i="7"/>
  <c r="E34" i="24"/>
  <c r="Y34" i="7"/>
  <c r="AH36" i="26"/>
  <c r="F36" i="26"/>
  <c r="E35" i="26"/>
  <c r="X35" i="7"/>
  <c r="P34" i="24"/>
  <c r="S34" i="7"/>
  <c r="Q34" i="24"/>
  <c r="G34" i="24" s="1"/>
  <c r="C34" i="24" s="1"/>
  <c r="D34" i="24" s="1"/>
  <c r="E32" i="27"/>
  <c r="Z32" i="7"/>
  <c r="H36" i="25"/>
  <c r="E35" i="24" l="1"/>
  <c r="Y35" i="7"/>
  <c r="C34" i="28"/>
  <c r="D34" i="28" s="1"/>
  <c r="H35" i="28"/>
  <c r="C36" i="26"/>
  <c r="D36" i="26" s="1"/>
  <c r="H37" i="26"/>
  <c r="E35" i="25"/>
  <c r="AA35" i="7"/>
  <c r="Q35" i="28"/>
  <c r="G35" i="28" s="1"/>
  <c r="P35" i="28"/>
  <c r="V35" i="7"/>
  <c r="Q34" i="27"/>
  <c r="G34" i="27" s="1"/>
  <c r="P34" i="27"/>
  <c r="T34" i="7"/>
  <c r="H34" i="27"/>
  <c r="C33" i="27"/>
  <c r="D33" i="27" s="1"/>
  <c r="P34" i="11"/>
  <c r="Q34" i="11"/>
  <c r="G34" i="11" s="1"/>
  <c r="C34" i="11" s="1"/>
  <c r="D34" i="11" s="1"/>
  <c r="Q34" i="7"/>
  <c r="H37" i="25"/>
  <c r="E34" i="11"/>
  <c r="W34" i="7"/>
  <c r="Q35" i="25"/>
  <c r="G35" i="25" s="1"/>
  <c r="C35" i="25" s="1"/>
  <c r="D35" i="25" s="1"/>
  <c r="P35" i="25"/>
  <c r="U35" i="7"/>
  <c r="Q35" i="24"/>
  <c r="G35" i="24" s="1"/>
  <c r="C35" i="24" s="1"/>
  <c r="D35" i="24" s="1"/>
  <c r="P35" i="24"/>
  <c r="S35" i="7"/>
  <c r="F37" i="26"/>
  <c r="AH37" i="26"/>
  <c r="H35" i="11"/>
  <c r="E34" i="28"/>
  <c r="AB34" i="7"/>
  <c r="E36" i="26"/>
  <c r="X36" i="7"/>
  <c r="T25" i="13" s="1"/>
  <c r="P37" i="26"/>
  <c r="Q37" i="26"/>
  <c r="G37" i="26" s="1"/>
  <c r="R37" i="7"/>
  <c r="N26" i="13" s="1"/>
  <c r="E33" i="27"/>
  <c r="Z33" i="7"/>
  <c r="H36" i="24"/>
  <c r="E36" i="24" l="1"/>
  <c r="Y36" i="7"/>
  <c r="U25" i="13" s="1"/>
  <c r="E35" i="11"/>
  <c r="W35" i="7"/>
  <c r="H36" i="11"/>
  <c r="Q36" i="24"/>
  <c r="G36" i="24" s="1"/>
  <c r="P36" i="24"/>
  <c r="S36" i="7"/>
  <c r="O25" i="13" s="1"/>
  <c r="L6" i="13" s="1"/>
  <c r="E36" i="25"/>
  <c r="AA36" i="7"/>
  <c r="W25" i="13" s="1"/>
  <c r="H38" i="25"/>
  <c r="E34" i="27"/>
  <c r="Z34" i="7"/>
  <c r="C35" i="28"/>
  <c r="D35" i="28" s="1"/>
  <c r="H36" i="28"/>
  <c r="AH38" i="26"/>
  <c r="F38" i="26"/>
  <c r="H35" i="27"/>
  <c r="C34" i="27"/>
  <c r="D34" i="27" s="1"/>
  <c r="E35" i="28"/>
  <c r="AB35" i="7"/>
  <c r="Q38" i="26"/>
  <c r="G38" i="26" s="1"/>
  <c r="P38" i="26"/>
  <c r="R38" i="7"/>
  <c r="P36" i="28"/>
  <c r="Q36" i="28"/>
  <c r="G36" i="28" s="1"/>
  <c r="V36" i="7"/>
  <c r="R25" i="13" s="1"/>
  <c r="L13" i="13" s="1"/>
  <c r="H38" i="26"/>
  <c r="C37" i="26"/>
  <c r="D37" i="26" s="1"/>
  <c r="C36" i="24"/>
  <c r="D36" i="24" s="1"/>
  <c r="H37" i="24"/>
  <c r="Q36" i="25"/>
  <c r="G36" i="25" s="1"/>
  <c r="C36" i="25" s="1"/>
  <c r="D36" i="25" s="1"/>
  <c r="U36" i="7"/>
  <c r="Q25" i="13" s="1"/>
  <c r="L7" i="13" s="1"/>
  <c r="P36" i="25"/>
  <c r="P35" i="11"/>
  <c r="Q35" i="11"/>
  <c r="G35" i="11" s="1"/>
  <c r="C35" i="11" s="1"/>
  <c r="D35" i="11" s="1"/>
  <c r="Q35" i="7"/>
  <c r="P35" i="27"/>
  <c r="Q35" i="27"/>
  <c r="G35" i="27" s="1"/>
  <c r="T35" i="7"/>
  <c r="E37" i="26"/>
  <c r="X37" i="7"/>
  <c r="T26" i="13" s="1"/>
  <c r="I11" i="13" s="1"/>
  <c r="J11" i="13" s="1"/>
  <c r="E36" i="11" l="1"/>
  <c r="W36" i="7"/>
  <c r="S25" i="13" s="1"/>
  <c r="Q37" i="28"/>
  <c r="G37" i="28" s="1"/>
  <c r="P37" i="28"/>
  <c r="V37" i="7"/>
  <c r="R26" i="13" s="1"/>
  <c r="Q36" i="27"/>
  <c r="G36" i="27" s="1"/>
  <c r="P36" i="27"/>
  <c r="T36" i="7"/>
  <c r="P25" i="13" s="1"/>
  <c r="L12" i="13" s="1"/>
  <c r="Q37" i="25"/>
  <c r="G37" i="25" s="1"/>
  <c r="C37" i="25" s="1"/>
  <c r="D37" i="25" s="1"/>
  <c r="P37" i="25"/>
  <c r="U37" i="7"/>
  <c r="Q26" i="13" s="1"/>
  <c r="E37" i="24"/>
  <c r="Y37" i="7"/>
  <c r="U26" i="13" s="1"/>
  <c r="I6" i="13" s="1"/>
  <c r="J6" i="13" s="1"/>
  <c r="C35" i="27"/>
  <c r="D35" i="27" s="1"/>
  <c r="H36" i="27"/>
  <c r="E36" i="28"/>
  <c r="AB36" i="7"/>
  <c r="X25" i="13" s="1"/>
  <c r="P37" i="24"/>
  <c r="Q37" i="24"/>
  <c r="G37" i="24" s="1"/>
  <c r="C37" i="24" s="1"/>
  <c r="D37" i="24" s="1"/>
  <c r="S37" i="7"/>
  <c r="O26" i="13" s="1"/>
  <c r="E38" i="26"/>
  <c r="X38" i="7"/>
  <c r="E37" i="25"/>
  <c r="AA37" i="7"/>
  <c r="W26" i="13" s="1"/>
  <c r="I7" i="13" s="1"/>
  <c r="J7" i="13" s="1"/>
  <c r="C38" i="26"/>
  <c r="D38" i="26" s="1"/>
  <c r="H39" i="26"/>
  <c r="F39" i="26"/>
  <c r="AH39" i="26"/>
  <c r="P36" i="11"/>
  <c r="Q36" i="7"/>
  <c r="M25" i="13" s="1"/>
  <c r="L5" i="13" s="1"/>
  <c r="Q36" i="11"/>
  <c r="G36" i="11" s="1"/>
  <c r="C36" i="11" s="1"/>
  <c r="D36" i="11" s="1"/>
  <c r="H38" i="24"/>
  <c r="P39" i="26"/>
  <c r="Q39" i="26"/>
  <c r="G39" i="26" s="1"/>
  <c r="R39" i="7"/>
  <c r="E35" i="27"/>
  <c r="Z35" i="7"/>
  <c r="H37" i="28"/>
  <c r="C36" i="28"/>
  <c r="D36" i="28" s="1"/>
  <c r="H39" i="25"/>
  <c r="H37" i="11"/>
  <c r="E37" i="11" l="1"/>
  <c r="W37" i="7"/>
  <c r="S26" i="13" s="1"/>
  <c r="I5" i="13" s="1"/>
  <c r="J5" i="13" s="1"/>
  <c r="E38" i="24"/>
  <c r="Y38" i="7"/>
  <c r="H38" i="11"/>
  <c r="C37" i="11"/>
  <c r="D37" i="11" s="1"/>
  <c r="P37" i="11"/>
  <c r="Q37" i="11"/>
  <c r="G37" i="11" s="1"/>
  <c r="Q37" i="7"/>
  <c r="M26" i="13" s="1"/>
  <c r="E37" i="28"/>
  <c r="AB37" i="7"/>
  <c r="X26" i="13" s="1"/>
  <c r="I13" i="13" s="1"/>
  <c r="J13" i="13" s="1"/>
  <c r="H39" i="24"/>
  <c r="AH40" i="26"/>
  <c r="F40" i="26"/>
  <c r="Q38" i="28"/>
  <c r="G38" i="28" s="1"/>
  <c r="P38" i="28"/>
  <c r="V38" i="7"/>
  <c r="P37" i="27"/>
  <c r="Q37" i="27"/>
  <c r="G37" i="27" s="1"/>
  <c r="T37" i="7"/>
  <c r="P26" i="13" s="1"/>
  <c r="H38" i="28"/>
  <c r="C37" i="28"/>
  <c r="D37" i="28" s="1"/>
  <c r="C36" i="27"/>
  <c r="D36" i="27" s="1"/>
  <c r="H37" i="27"/>
  <c r="Q40" i="26"/>
  <c r="G40" i="26" s="1"/>
  <c r="P40" i="26"/>
  <c r="R40" i="7"/>
  <c r="H40" i="26"/>
  <c r="C39" i="26"/>
  <c r="D39" i="26" s="1"/>
  <c r="S38" i="7"/>
  <c r="Q38" i="24"/>
  <c r="G38" i="24" s="1"/>
  <c r="C38" i="24" s="1"/>
  <c r="D38" i="24" s="1"/>
  <c r="P38" i="24"/>
  <c r="E36" i="27"/>
  <c r="Z36" i="7"/>
  <c r="V25" i="13" s="1"/>
  <c r="P38" i="25"/>
  <c r="Q38" i="25"/>
  <c r="G38" i="25" s="1"/>
  <c r="C38" i="25" s="1"/>
  <c r="D38" i="25" s="1"/>
  <c r="U38" i="7"/>
  <c r="H40" i="25"/>
  <c r="E39" i="26"/>
  <c r="X39" i="7"/>
  <c r="E38" i="25"/>
  <c r="AA38" i="7"/>
  <c r="E39" i="24" l="1"/>
  <c r="Y39" i="7"/>
  <c r="Q38" i="27"/>
  <c r="G38" i="27" s="1"/>
  <c r="P38" i="27"/>
  <c r="T38" i="7"/>
  <c r="Q39" i="25"/>
  <c r="G39" i="25" s="1"/>
  <c r="C39" i="25" s="1"/>
  <c r="D39" i="25" s="1"/>
  <c r="P39" i="25"/>
  <c r="U39" i="7"/>
  <c r="E37" i="27"/>
  <c r="Z37" i="7"/>
  <c r="V26" i="13" s="1"/>
  <c r="I12" i="13" s="1"/>
  <c r="J12" i="13" s="1"/>
  <c r="H40" i="24"/>
  <c r="E38" i="28"/>
  <c r="AB38" i="7"/>
  <c r="P38" i="11"/>
  <c r="Q38" i="11"/>
  <c r="G38" i="11" s="1"/>
  <c r="Q38" i="7"/>
  <c r="H41" i="25"/>
  <c r="C38" i="28"/>
  <c r="D38" i="28" s="1"/>
  <c r="H39" i="28"/>
  <c r="F41" i="26"/>
  <c r="AH41" i="26"/>
  <c r="E38" i="11"/>
  <c r="W38" i="7"/>
  <c r="P41" i="26"/>
  <c r="R42" i="7" s="1"/>
  <c r="Q41" i="26"/>
  <c r="G41" i="26" s="1"/>
  <c r="R41" i="7"/>
  <c r="E40" i="26"/>
  <c r="X40" i="7"/>
  <c r="E39" i="25"/>
  <c r="AA39" i="7"/>
  <c r="Q39" i="24"/>
  <c r="G39" i="24" s="1"/>
  <c r="C39" i="24" s="1"/>
  <c r="D39" i="24" s="1"/>
  <c r="P39" i="24"/>
  <c r="S39" i="7"/>
  <c r="C40" i="26"/>
  <c r="D40" i="26" s="1"/>
  <c r="H41" i="26"/>
  <c r="C37" i="27"/>
  <c r="D37" i="27" s="1"/>
  <c r="H38" i="27"/>
  <c r="Q39" i="28"/>
  <c r="G39" i="28" s="1"/>
  <c r="P39" i="28"/>
  <c r="V39" i="7"/>
  <c r="H39" i="11"/>
  <c r="C38" i="11"/>
  <c r="D38" i="11" s="1"/>
  <c r="E40" i="24" l="1"/>
  <c r="Y40" i="7"/>
  <c r="E39" i="11"/>
  <c r="W39" i="7"/>
  <c r="E41" i="26"/>
  <c r="X41" i="7"/>
  <c r="E39" i="28"/>
  <c r="AB39" i="7"/>
  <c r="P39" i="27"/>
  <c r="Q39" i="27"/>
  <c r="G39" i="27" s="1"/>
  <c r="T39" i="7"/>
  <c r="P39" i="11"/>
  <c r="Q39" i="11"/>
  <c r="G39" i="11" s="1"/>
  <c r="Q39" i="7"/>
  <c r="H41" i="24"/>
  <c r="Q40" i="25"/>
  <c r="G40" i="25" s="1"/>
  <c r="C40" i="25" s="1"/>
  <c r="D40" i="25" s="1"/>
  <c r="P40" i="25"/>
  <c r="U40" i="7"/>
  <c r="E40" i="25"/>
  <c r="AA40" i="7"/>
  <c r="H40" i="11"/>
  <c r="C39" i="11"/>
  <c r="D39" i="11" s="1"/>
  <c r="H39" i="27"/>
  <c r="C38" i="27"/>
  <c r="D38" i="27" s="1"/>
  <c r="E38" i="27"/>
  <c r="Z38" i="7"/>
  <c r="Q40" i="24"/>
  <c r="G40" i="24" s="1"/>
  <c r="C40" i="24" s="1"/>
  <c r="D40" i="24" s="1"/>
  <c r="P40" i="24"/>
  <c r="S40" i="7"/>
  <c r="P40" i="28"/>
  <c r="Q40" i="28"/>
  <c r="G40" i="28" s="1"/>
  <c r="V40" i="7"/>
  <c r="C41" i="26"/>
  <c r="D41" i="26" s="1"/>
  <c r="X42" i="7" s="1"/>
  <c r="C39" i="28"/>
  <c r="D39" i="28" s="1"/>
  <c r="H40" i="28"/>
  <c r="E41" i="24" l="1"/>
  <c r="Y41" i="7"/>
  <c r="E40" i="28"/>
  <c r="AB40" i="7"/>
  <c r="Q41" i="28"/>
  <c r="G41" i="28" s="1"/>
  <c r="P41" i="28"/>
  <c r="V42" i="7" s="1"/>
  <c r="V41" i="7"/>
  <c r="H40" i="27"/>
  <c r="C39" i="27"/>
  <c r="D39" i="27" s="1"/>
  <c r="P40" i="11"/>
  <c r="Q40" i="7"/>
  <c r="Q40" i="11"/>
  <c r="G40" i="11" s="1"/>
  <c r="H41" i="28"/>
  <c r="C41" i="28" s="1"/>
  <c r="D41" i="28" s="1"/>
  <c r="AB42" i="7" s="1"/>
  <c r="C40" i="28"/>
  <c r="D40" i="28" s="1"/>
  <c r="E40" i="11"/>
  <c r="W40" i="7"/>
  <c r="H41" i="11"/>
  <c r="C40" i="11"/>
  <c r="D40" i="11" s="1"/>
  <c r="Q41" i="25"/>
  <c r="G41" i="25" s="1"/>
  <c r="C41" i="25" s="1"/>
  <c r="D41" i="25" s="1"/>
  <c r="AA42" i="7" s="1"/>
  <c r="P41" i="25"/>
  <c r="U42" i="7" s="1"/>
  <c r="U41" i="7"/>
  <c r="P41" i="24"/>
  <c r="S42" i="7" s="1"/>
  <c r="Q41" i="24"/>
  <c r="G41" i="24" s="1"/>
  <c r="C41" i="24" s="1"/>
  <c r="D41" i="24" s="1"/>
  <c r="Y42" i="7" s="1"/>
  <c r="S41" i="7"/>
  <c r="E39" i="27"/>
  <c r="Z39" i="7"/>
  <c r="E41" i="25"/>
  <c r="AA41" i="7"/>
  <c r="Q40" i="27"/>
  <c r="G40" i="27" s="1"/>
  <c r="P40" i="27"/>
  <c r="T40" i="7"/>
  <c r="C40" i="27" l="1"/>
  <c r="D40" i="27" s="1"/>
  <c r="H41" i="27"/>
  <c r="P41" i="27"/>
  <c r="T42" i="7" s="1"/>
  <c r="Q41" i="27"/>
  <c r="G41" i="27" s="1"/>
  <c r="T41" i="7"/>
  <c r="E41" i="11"/>
  <c r="W41" i="7"/>
  <c r="E41" i="28"/>
  <c r="AB41" i="7"/>
  <c r="P41" i="11"/>
  <c r="Q42" i="7" s="1"/>
  <c r="Q41" i="11"/>
  <c r="G41" i="11" s="1"/>
  <c r="C41" i="11" s="1"/>
  <c r="D41" i="11" s="1"/>
  <c r="W42" i="7" s="1"/>
  <c r="Q41" i="7"/>
  <c r="E40" i="27"/>
  <c r="Z40" i="7"/>
  <c r="C41" i="27" l="1"/>
  <c r="D41" i="27" s="1"/>
  <c r="Z42" i="7" s="1"/>
  <c r="E41" i="27"/>
  <c r="Z41" i="7"/>
</calcChain>
</file>

<file path=xl/sharedStrings.xml><?xml version="1.0" encoding="utf-8"?>
<sst xmlns="http://schemas.openxmlformats.org/spreadsheetml/2006/main" count="666" uniqueCount="192">
  <si>
    <t>螺纹</t>
  </si>
  <si>
    <t>螺纹钢 昨日 开盘价</t>
  </si>
  <si>
    <t>元</t>
  </si>
  <si>
    <t>今日报价</t>
  </si>
  <si>
    <t>今日报价（扣除虚高）</t>
  </si>
  <si>
    <t>今日模型定价</t>
  </si>
  <si>
    <t xml:space="preserve"> 今日价差 
【实际定价 - 模型定价】</t>
  </si>
  <si>
    <t>昨日竞品价差
【镔鑫定价-竞品定价】</t>
  </si>
  <si>
    <t>区域逐日销量完成进展
【截至昨晚】</t>
  </si>
  <si>
    <t>对标钢厂</t>
  </si>
  <si>
    <t>基准价差</t>
  </si>
  <si>
    <t>目标价差</t>
  </si>
  <si>
    <t>螺纹钢 今日 开盘价</t>
  </si>
  <si>
    <t>山东</t>
  </si>
  <si>
    <t>永锋 - 青岛</t>
  </si>
  <si>
    <t>主力期货开盘价涨跌幅</t>
  </si>
  <si>
    <t>苏北</t>
  </si>
  <si>
    <t>兴鑫 - 连云港</t>
  </si>
  <si>
    <t>苏南</t>
  </si>
  <si>
    <t>沙钢  - 南京</t>
  </si>
  <si>
    <t>本周销售策略</t>
  </si>
  <si>
    <t>产量</t>
  </si>
  <si>
    <t>盘螺</t>
  </si>
  <si>
    <t>昨日总销量</t>
  </si>
  <si>
    <t>万吨</t>
  </si>
  <si>
    <t xml:space="preserve"> 今日 实际/模型 价差</t>
  </si>
  <si>
    <t>昨日镔鑫定价-竞品定价</t>
  </si>
  <si>
    <t>昨日逐日销售目标完成比例</t>
  </si>
  <si>
    <t>百分比</t>
  </si>
  <si>
    <t>今日目标销量</t>
  </si>
  <si>
    <t>亚新 - 连云港</t>
  </si>
  <si>
    <t>昨日成材可售库存</t>
  </si>
  <si>
    <t>沙钢 - 南京</t>
  </si>
  <si>
    <t>虚高价格</t>
  </si>
  <si>
    <t>期货</t>
  </si>
  <si>
    <t>山东销售情况</t>
  </si>
  <si>
    <t>苏北地区销售情况</t>
  </si>
  <si>
    <t>苏南销售情况</t>
  </si>
  <si>
    <t>竞品市场指导价格</t>
  </si>
  <si>
    <t>模型定价</t>
  </si>
  <si>
    <t>实际定价</t>
  </si>
  <si>
    <t>日期</t>
  </si>
  <si>
    <t>成品期货涨跌</t>
  </si>
  <si>
    <t>今日开盘价</t>
  </si>
  <si>
    <t>昨日开盘价</t>
  </si>
  <si>
    <t>昨日销售</t>
  </si>
  <si>
    <t>昨日周销售目标完成度</t>
  </si>
  <si>
    <t>青岛 - 永锋 - 螺纹</t>
  </si>
  <si>
    <t>青岛 - 永锋 - 盘螺</t>
  </si>
  <si>
    <t>徐州 - 徐钢 - 螺纹</t>
  </si>
  <si>
    <t>徐州 - 徐钢 - 盘螺</t>
  </si>
  <si>
    <t>南京 - 沙钢 - 螺纹</t>
  </si>
  <si>
    <t>南京 - 沙钢 - 盘螺</t>
  </si>
  <si>
    <t>山东螺纹</t>
  </si>
  <si>
    <t>山东盘螺</t>
  </si>
  <si>
    <t>苏北螺纹</t>
  </si>
  <si>
    <t>苏北盘螺</t>
  </si>
  <si>
    <t>苏南螺纹</t>
  </si>
  <si>
    <t>苏南盘螺</t>
  </si>
  <si>
    <t>苏北销售情况</t>
  </si>
  <si>
    <t>竞品价格</t>
  </si>
  <si>
    <t>螺纹钢主力期货今日开盘价</t>
  </si>
  <si>
    <t>螺纹钢主力期货昨日开盘价</t>
  </si>
  <si>
    <t>铁矿石期货涨跌</t>
  </si>
  <si>
    <t>焦炭期货涨跌</t>
  </si>
  <si>
    <t>动力煤期货涨跌</t>
  </si>
  <si>
    <t>总可售库存</t>
  </si>
  <si>
    <t>总销量</t>
  </si>
  <si>
    <t>青岛- 永峰 - 螺纹</t>
  </si>
  <si>
    <t>青岛 - 永峰 - 盘螺</t>
  </si>
  <si>
    <t>连云港- 兴鑫 - 螺纹</t>
  </si>
  <si>
    <t>连云港- 亚鑫  - 盘螺</t>
  </si>
  <si>
    <t>苏南 - 沙钢 - 螺纹</t>
  </si>
  <si>
    <t>苏南 - 沙钢 - 盘螺</t>
  </si>
  <si>
    <t>今日镔鑫实际定价(扣除虚高)</t>
  </si>
  <si>
    <t>今日价格调整</t>
  </si>
  <si>
    <t>昨日模型定价</t>
  </si>
  <si>
    <t>昨日逐日累计销售目标完成率</t>
  </si>
  <si>
    <t>竞品价差调整</t>
  </si>
  <si>
    <t>权重 - 
竞品价差</t>
  </si>
  <si>
    <t>市场波动调整</t>
  </si>
  <si>
    <t>权重 - 
市场波动</t>
  </si>
  <si>
    <t>销售策略调整</t>
  </si>
  <si>
    <t>竞品
结算价格</t>
  </si>
  <si>
    <t>竞品出厂价</t>
  </si>
  <si>
    <t>竞品运费</t>
  </si>
  <si>
    <t>昨日竞品价差</t>
  </si>
  <si>
    <t>今日预计调价</t>
  </si>
  <si>
    <t>螺纹涨跌</t>
  </si>
  <si>
    <t>铁矿石主力期货今日开盘价</t>
  </si>
  <si>
    <t>铁矿石主力期货昨日开盘价</t>
  </si>
  <si>
    <t>铁矿涨跌</t>
  </si>
  <si>
    <t>焦炭主力期货今日开盘价</t>
  </si>
  <si>
    <t>焦炭主力期货昨日开盘价</t>
  </si>
  <si>
    <t>焦炭涨跌</t>
  </si>
  <si>
    <t>动力煤主力期货今日开盘价</t>
  </si>
  <si>
    <t>动力煤主力期货昨日开盘价</t>
  </si>
  <si>
    <t>动力煤涨跌</t>
  </si>
  <si>
    <t>山东地区
螺纹销量</t>
  </si>
  <si>
    <t>每日销售目标</t>
  </si>
  <si>
    <t>区域销量完成率</t>
  </si>
  <si>
    <t>价量比例
吨/元</t>
  </si>
  <si>
    <t>苏北地区
螺纹销量</t>
  </si>
  <si>
    <t>逐日销售目标</t>
  </si>
  <si>
    <t>价量比例</t>
  </si>
  <si>
    <t>苏南地区
螺纹销量</t>
  </si>
  <si>
    <t>山东地区
盘螺销量</t>
  </si>
  <si>
    <t>竞品(亚新）出厂价格</t>
  </si>
  <si>
    <t>苏北地区
盘螺销量</t>
  </si>
  <si>
    <t>竞品 (沙钢）出厂价格</t>
  </si>
  <si>
    <t>苏南地区
盘螺销量</t>
  </si>
  <si>
    <t>地区分配比例</t>
  </si>
  <si>
    <t>螺纹比例</t>
  </si>
  <si>
    <t>螺纹每日销售目标</t>
  </si>
  <si>
    <t>螺纹周累计销售目标</t>
  </si>
  <si>
    <t>螺纹逐日目标完成率</t>
  </si>
  <si>
    <t>盘螺比例</t>
  </si>
  <si>
    <t>盘螺每日销售目标</t>
  </si>
  <si>
    <t>盘螺周累计销售目标</t>
  </si>
  <si>
    <t>盘螺逐日目标完成率</t>
  </si>
  <si>
    <t>总-每日销售目标</t>
  </si>
  <si>
    <t>总-周累计销售目标</t>
  </si>
  <si>
    <t>总-逐日目标完成率</t>
  </si>
  <si>
    <t>星期</t>
  </si>
  <si>
    <t>螺纹 - 山东</t>
  </si>
  <si>
    <t>螺纹 - 苏北</t>
  </si>
  <si>
    <t>螺纹 - 苏南</t>
  </si>
  <si>
    <t>螺纹 - 河南</t>
  </si>
  <si>
    <t>螺纹 - 安徽</t>
  </si>
  <si>
    <t>螺纹 - 其他</t>
  </si>
  <si>
    <t>盘螺 - 山东</t>
  </si>
  <si>
    <t>盘螺 - 苏北</t>
  </si>
  <si>
    <t>盘螺 - 苏南</t>
  </si>
  <si>
    <t>盘螺 - 河南</t>
  </si>
  <si>
    <t>盘螺 - 安徽</t>
  </si>
  <si>
    <t>盘螺 - 其他</t>
  </si>
  <si>
    <t>周销售累计</t>
  </si>
  <si>
    <t>周销售目标</t>
  </si>
  <si>
    <t>货量分配 - 山东</t>
  </si>
  <si>
    <t>货量分配 - 苏北</t>
  </si>
  <si>
    <t>货量分配 - 苏南</t>
  </si>
  <si>
    <t>货量分配 - 河南</t>
  </si>
  <si>
    <t>货量分配 - 安徽</t>
  </si>
  <si>
    <t>货量分配 - 其他</t>
  </si>
  <si>
    <t>螺纹比例 - 山东</t>
  </si>
  <si>
    <t>螺纹比例 - 苏北</t>
  </si>
  <si>
    <t>螺纹比例 - 苏南</t>
  </si>
  <si>
    <t>螺纹比例 - 河南</t>
  </si>
  <si>
    <t>螺纹比例 - 安徽</t>
  </si>
  <si>
    <t>螺纹比例 - 其他</t>
  </si>
  <si>
    <t>周中分配比例</t>
  </si>
  <si>
    <t>每日销量 - 山东</t>
  </si>
  <si>
    <t>每日销量 - 苏北</t>
  </si>
  <si>
    <t>每日销量 - 苏南</t>
  </si>
  <si>
    <t>每日销量 - 河南</t>
  </si>
  <si>
    <t>每日销量 - 安徽</t>
  </si>
  <si>
    <t>每日销量 - 其他</t>
  </si>
  <si>
    <t>累计销售 - 山东</t>
  </si>
  <si>
    <t>累计销售 - 苏北</t>
  </si>
  <si>
    <t>累计销售 - 苏南</t>
  </si>
  <si>
    <t>累计销售 - 河南</t>
  </si>
  <si>
    <t>累计销售 - 安徽</t>
  </si>
  <si>
    <t>累计销售 - 其他</t>
  </si>
  <si>
    <t>逐日目标 - 山东</t>
  </si>
  <si>
    <t>逐日目标 - 苏北</t>
  </si>
  <si>
    <t>逐日目标 - 苏南</t>
  </si>
  <si>
    <t>逐日目标 - 河南</t>
  </si>
  <si>
    <t>逐日目标 - 安徽</t>
  </si>
  <si>
    <t>逐日目标 - 其他</t>
  </si>
  <si>
    <t>盘螺比例 - 山东</t>
  </si>
  <si>
    <t>盘螺比例 - 苏北</t>
  </si>
  <si>
    <t>盘螺比例 - 苏南</t>
  </si>
  <si>
    <t>盘螺比例 - 河南</t>
  </si>
  <si>
    <t>盘螺比例 - 安徽</t>
  </si>
  <si>
    <t>盘螺比例 - 其他</t>
  </si>
  <si>
    <t>累计目标总销量</t>
  </si>
  <si>
    <t>初始日期</t>
  </si>
  <si>
    <t>出货量</t>
  </si>
  <si>
    <t>竞品价差</t>
  </si>
  <si>
    <t>模型出货量</t>
  </si>
  <si>
    <t>实际出货量</t>
  </si>
  <si>
    <t>平均</t>
  </si>
  <si>
    <t>竞品
指导价格</t>
  </si>
  <si>
    <t>江苏地区
昨日销售</t>
  </si>
  <si>
    <t>江苏地区本周累计销量</t>
  </si>
  <si>
    <t>销售策略调整上限</t>
  </si>
  <si>
    <t>竞品(亚新）指导价格</t>
  </si>
  <si>
    <t>竞品（新鑫)
指导价</t>
  </si>
  <si>
    <t>江苏地区
今日销售</t>
  </si>
  <si>
    <t>竞品
指导价</t>
  </si>
  <si>
    <t>山东地区
昨日销售</t>
  </si>
  <si>
    <t>山东地区本周累计销量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</si>
</sst>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8" formatCode="_ * #,##0_ ;_ * \-#,##0_ ;_ * &quot;-&quot;??_ ;_ @_ "/>
    <numFmt numFmtId="179" formatCode="_ * #,##0.0_ ;_ * \-#,##0.0_ ;_ * &quot;-&quot;??_ ;_ @_ "/>
  </numFmts>
  <fonts count="17">
    <font>
      <sz val="11"/>
      <color theme="1"/>
      <name val="等线"/>
      <charset val="134"/>
      <scheme val="minor"/>
    </font>
    <font>
      <sz val="10"/>
      <name val="Arial"/>
      <family val="2"/>
    </font>
    <font>
      <sz val="10"/>
      <name val="等线"/>
      <family val="3"/>
      <charset val="134"/>
      <scheme val="minor"/>
    </font>
    <font>
      <sz val="11"/>
      <color theme="1"/>
      <name val="KaiTi"/>
      <family val="1"/>
    </font>
    <font>
      <b/>
      <sz val="14"/>
      <color theme="1"/>
      <name val="KaiTi"/>
      <family val="3"/>
    </font>
    <font>
      <sz val="11"/>
      <color theme="0"/>
      <name val="KaiTi"/>
      <family val="3"/>
    </font>
    <font>
      <sz val="11"/>
      <name val="等线"/>
      <family val="3"/>
      <charset val="134"/>
      <scheme val="minor"/>
    </font>
    <font>
      <sz val="11"/>
      <color theme="1" tint="0.3499862666707357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3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3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rgb="FF0000FF"/>
      <name val="等线"/>
      <family val="3"/>
      <charset val="134"/>
      <scheme val="minor"/>
    </font>
    <font>
      <b/>
      <sz val="22"/>
      <name val="等线 Light"/>
      <family val="3"/>
      <charset val="134"/>
      <scheme val="maj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67040009765925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676503799554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E6E6E6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auto="1"/>
      </right>
      <top style="double">
        <color auto="1"/>
      </top>
      <bottom style="hair">
        <color theme="0" tint="-0.24994659260841701"/>
      </bottom>
      <diagonal/>
    </border>
    <border>
      <left/>
      <right style="thin">
        <color auto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2">
    <xf numFmtId="0" fontId="0" fillId="0" borderId="0"/>
    <xf numFmtId="0" fontId="6" fillId="2" borderId="0" applyNumberFormat="0" applyBorder="0" applyAlignment="0" applyProtection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6" fillId="0" borderId="0" applyNumberFormat="0" applyAlignment="0" applyProtection="0">
      <alignment vertical="center"/>
    </xf>
    <xf numFmtId="0" fontId="15" fillId="0" borderId="0"/>
    <xf numFmtId="0" fontId="12" fillId="33" borderId="0" applyNumberFormat="0" applyAlignment="0" applyProtection="0">
      <alignment vertical="center"/>
    </xf>
    <xf numFmtId="0" fontId="1" fillId="0" borderId="0"/>
    <xf numFmtId="0" fontId="10" fillId="32" borderId="0" applyNumberFormat="0" applyBorder="0" applyAlignment="0" applyProtection="0"/>
    <xf numFmtId="0" fontId="1" fillId="0" borderId="0"/>
    <xf numFmtId="0" fontId="8" fillId="30" borderId="0" applyNumberFormat="0" applyAlignment="0" applyProtection="0">
      <alignment vertical="center"/>
    </xf>
    <xf numFmtId="0" fontId="11" fillId="32" borderId="0" applyNumberFormat="0" applyAlignment="0" applyProtection="0">
      <alignment vertical="center"/>
    </xf>
    <xf numFmtId="0" fontId="10" fillId="29" borderId="0" applyNumberFormat="0" applyBorder="0" applyAlignment="0" applyProtection="0"/>
    <xf numFmtId="0" fontId="9" fillId="0" borderId="0" applyNumberFormat="0" applyAlignment="0" applyProtection="0"/>
    <xf numFmtId="0" fontId="7" fillId="0" borderId="0" applyNumberFormat="0" applyAlignment="0" applyProtection="0">
      <alignment vertical="center"/>
    </xf>
    <xf numFmtId="9" fontId="1" fillId="0" borderId="0" applyFont="0" applyFill="0" applyBorder="0" applyAlignment="0" applyProtection="0"/>
    <xf numFmtId="0" fontId="13" fillId="0" borderId="0" applyNumberFormat="0" applyAlignment="0" applyProtection="0">
      <alignment vertical="center"/>
    </xf>
    <xf numFmtId="0" fontId="14" fillId="0" borderId="0" applyNumberFormat="0" applyFill="0" applyAlignment="0" applyProtection="0"/>
    <xf numFmtId="0" fontId="15" fillId="2" borderId="0" applyNumberFormat="0" applyAlignment="0" applyProtection="0">
      <alignment vertical="center"/>
    </xf>
  </cellStyleXfs>
  <cellXfs count="345">
    <xf numFmtId="0" fontId="0" fillId="0" borderId="0" xfId="0"/>
    <xf numFmtId="0" fontId="0" fillId="0" borderId="0" xfId="0" applyBorder="1"/>
    <xf numFmtId="14" fontId="0" fillId="0" borderId="0" xfId="0" applyNumberFormat="1"/>
    <xf numFmtId="0" fontId="0" fillId="2" borderId="0" xfId="0" applyFill="1"/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4" fontId="0" fillId="3" borderId="4" xfId="0" applyNumberFormat="1" applyFill="1" applyBorder="1"/>
    <xf numFmtId="178" fontId="0" fillId="6" borderId="4" xfId="2" applyNumberFormat="1" applyFont="1" applyFill="1" applyBorder="1"/>
    <xf numFmtId="178" fontId="0" fillId="7" borderId="4" xfId="2" applyNumberFormat="1" applyFont="1" applyFill="1" applyBorder="1"/>
    <xf numFmtId="9" fontId="0" fillId="7" borderId="4" xfId="0" applyNumberFormat="1" applyFill="1" applyBorder="1"/>
    <xf numFmtId="178" fontId="0" fillId="7" borderId="5" xfId="0" applyNumberFormat="1" applyFill="1" applyBorder="1"/>
    <xf numFmtId="0" fontId="0" fillId="7" borderId="4" xfId="0" applyFill="1" applyBorder="1"/>
    <xf numFmtId="14" fontId="0" fillId="3" borderId="5" xfId="0" applyNumberFormat="1" applyFill="1" applyBorder="1"/>
    <xf numFmtId="178" fontId="0" fillId="6" borderId="5" xfId="2" applyNumberFormat="1" applyFont="1" applyFill="1" applyBorder="1"/>
    <xf numFmtId="178" fontId="0" fillId="7" borderId="5" xfId="2" applyNumberFormat="1" applyFont="1" applyFill="1" applyBorder="1"/>
    <xf numFmtId="9" fontId="0" fillId="7" borderId="5" xfId="3" applyFont="1" applyFill="1" applyBorder="1"/>
    <xf numFmtId="0" fontId="0" fillId="7" borderId="5" xfId="0" applyFill="1" applyBorder="1"/>
    <xf numFmtId="178" fontId="0" fillId="8" borderId="5" xfId="2" applyNumberFormat="1" applyFont="1" applyFill="1" applyBorder="1"/>
    <xf numFmtId="0" fontId="0" fillId="9" borderId="2" xfId="0" applyFill="1" applyBorder="1" applyAlignment="1">
      <alignment vertical="center" wrapText="1"/>
    </xf>
    <xf numFmtId="0" fontId="0" fillId="9" borderId="3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7" borderId="6" xfId="0" applyFill="1" applyBorder="1"/>
    <xf numFmtId="0" fontId="0" fillId="6" borderId="4" xfId="0" applyFill="1" applyBorder="1"/>
    <xf numFmtId="0" fontId="0" fillId="11" borderId="4" xfId="0" applyFill="1" applyBorder="1"/>
    <xf numFmtId="0" fontId="0" fillId="7" borderId="7" xfId="0" applyFill="1" applyBorder="1"/>
    <xf numFmtId="0" fontId="0" fillId="11" borderId="5" xfId="0" applyFill="1" applyBorder="1"/>
    <xf numFmtId="0" fontId="0" fillId="6" borderId="5" xfId="0" applyFill="1" applyBorder="1"/>
    <xf numFmtId="0" fontId="0" fillId="0" borderId="0" xfId="0" applyFill="1"/>
    <xf numFmtId="0" fontId="0" fillId="9" borderId="1" xfId="0" applyFill="1" applyBorder="1" applyAlignment="1">
      <alignment vertical="center" wrapText="1"/>
    </xf>
    <xf numFmtId="178" fontId="0" fillId="7" borderId="4" xfId="0" applyNumberFormat="1" applyFill="1" applyBorder="1"/>
    <xf numFmtId="178" fontId="0" fillId="6" borderId="5" xfId="0" applyNumberFormat="1" applyFill="1" applyBorder="1"/>
    <xf numFmtId="0" fontId="0" fillId="6" borderId="6" xfId="0" applyFill="1" applyBorder="1"/>
    <xf numFmtId="178" fontId="0" fillId="11" borderId="4" xfId="2" applyNumberFormat="1" applyFont="1" applyFill="1" applyBorder="1"/>
    <xf numFmtId="178" fontId="0" fillId="6" borderId="7" xfId="0" applyNumberFormat="1" applyFill="1" applyBorder="1"/>
    <xf numFmtId="178" fontId="0" fillId="11" borderId="5" xfId="2" applyNumberFormat="1" applyFont="1" applyFill="1" applyBorder="1"/>
    <xf numFmtId="0" fontId="0" fillId="12" borderId="1" xfId="0" applyFill="1" applyBorder="1" applyAlignment="1">
      <alignment vertical="center" wrapText="1"/>
    </xf>
    <xf numFmtId="14" fontId="0" fillId="13" borderId="0" xfId="0" applyNumberFormat="1" applyFill="1"/>
    <xf numFmtId="178" fontId="0" fillId="0" borderId="8" xfId="2" applyNumberFormat="1" applyFont="1" applyBorder="1"/>
    <xf numFmtId="178" fontId="0" fillId="0" borderId="9" xfId="2" applyNumberFormat="1" applyFont="1" applyBorder="1"/>
    <xf numFmtId="178" fontId="0" fillId="0" borderId="10" xfId="2" applyNumberFormat="1" applyFont="1" applyBorder="1"/>
    <xf numFmtId="178" fontId="0" fillId="0" borderId="11" xfId="2" applyNumberFormat="1" applyFont="1" applyBorder="1"/>
    <xf numFmtId="178" fontId="0" fillId="0" borderId="12" xfId="2" applyNumberFormat="1" applyFont="1" applyBorder="1"/>
    <xf numFmtId="178" fontId="0" fillId="0" borderId="13" xfId="2" applyNumberFormat="1" applyFont="1" applyBorder="1"/>
    <xf numFmtId="0" fontId="0" fillId="0" borderId="0" xfId="0" applyFont="1" applyAlignment="1">
      <alignment horizontal="center"/>
    </xf>
    <xf numFmtId="178" fontId="0" fillId="0" borderId="0" xfId="2" applyNumberFormat="1" applyFont="1"/>
    <xf numFmtId="178" fontId="0" fillId="0" borderId="8" xfId="2" applyNumberFormat="1" applyFont="1" applyFill="1" applyBorder="1"/>
    <xf numFmtId="178" fontId="0" fillId="0" borderId="14" xfId="2" applyNumberFormat="1" applyFont="1" applyFill="1" applyBorder="1"/>
    <xf numFmtId="178" fontId="0" fillId="0" borderId="10" xfId="2" applyNumberFormat="1" applyFont="1" applyFill="1" applyBorder="1"/>
    <xf numFmtId="178" fontId="0" fillId="0" borderId="15" xfId="2" applyNumberFormat="1" applyFont="1" applyFill="1" applyBorder="1"/>
    <xf numFmtId="178" fontId="0" fillId="0" borderId="12" xfId="2" applyNumberFormat="1" applyFont="1" applyFill="1" applyBorder="1"/>
    <xf numFmtId="178" fontId="0" fillId="0" borderId="16" xfId="2" applyNumberFormat="1" applyFont="1" applyFill="1" applyBorder="1"/>
    <xf numFmtId="178" fontId="0" fillId="0" borderId="0" xfId="0" applyNumberFormat="1"/>
    <xf numFmtId="0" fontId="0" fillId="0" borderId="0" xfId="0" applyFont="1"/>
    <xf numFmtId="178" fontId="0" fillId="0" borderId="9" xfId="2" applyNumberFormat="1" applyFont="1" applyFill="1" applyBorder="1"/>
    <xf numFmtId="178" fontId="0" fillId="0" borderId="14" xfId="2" applyNumberFormat="1" applyFont="1" applyBorder="1"/>
    <xf numFmtId="178" fontId="0" fillId="0" borderId="11" xfId="2" applyNumberFormat="1" applyFont="1" applyFill="1" applyBorder="1"/>
    <xf numFmtId="178" fontId="0" fillId="0" borderId="15" xfId="2" applyNumberFormat="1" applyFont="1" applyBorder="1"/>
    <xf numFmtId="178" fontId="0" fillId="0" borderId="13" xfId="2" applyNumberFormat="1" applyFont="1" applyFill="1" applyBorder="1"/>
    <xf numFmtId="178" fontId="0" fillId="0" borderId="16" xfId="2" applyNumberFormat="1" applyFont="1" applyBorder="1"/>
    <xf numFmtId="178" fontId="0" fillId="0" borderId="17" xfId="2" applyNumberFormat="1" applyFont="1" applyBorder="1"/>
    <xf numFmtId="178" fontId="0" fillId="0" borderId="18" xfId="2" applyNumberFormat="1" applyFont="1" applyBorder="1"/>
    <xf numFmtId="178" fontId="0" fillId="0" borderId="19" xfId="2" applyNumberFormat="1" applyFont="1" applyBorder="1"/>
    <xf numFmtId="0" fontId="1" fillId="0" borderId="20" xfId="12" applyBorder="1"/>
    <xf numFmtId="0" fontId="1" fillId="0" borderId="0" xfId="12"/>
    <xf numFmtId="0" fontId="1" fillId="0" borderId="0" xfId="12" applyAlignment="1">
      <alignment vertical="center"/>
    </xf>
    <xf numFmtId="0" fontId="1" fillId="0" borderId="0" xfId="12" applyAlignment="1">
      <alignment horizontal="center"/>
    </xf>
    <xf numFmtId="0" fontId="1" fillId="0" borderId="0" xfId="12" applyFill="1"/>
    <xf numFmtId="0" fontId="1" fillId="0" borderId="21" xfId="12" applyBorder="1"/>
    <xf numFmtId="0" fontId="1" fillId="0" borderId="0" xfId="12" applyFont="1"/>
    <xf numFmtId="0" fontId="1" fillId="0" borderId="0" xfId="12" applyFont="1" applyAlignment="1">
      <alignment vertical="center"/>
    </xf>
    <xf numFmtId="0" fontId="1" fillId="14" borderId="0" xfId="12" applyFont="1" applyFill="1" applyAlignment="1">
      <alignment horizontal="center"/>
    </xf>
    <xf numFmtId="14" fontId="1" fillId="0" borderId="0" xfId="12" applyNumberFormat="1"/>
    <xf numFmtId="1" fontId="1" fillId="0" borderId="0" xfId="12" applyNumberFormat="1" applyAlignment="1">
      <alignment vertical="center"/>
    </xf>
    <xf numFmtId="178" fontId="0" fillId="15" borderId="8" xfId="4" applyNumberFormat="1" applyFont="1" applyFill="1" applyBorder="1" applyAlignment="1">
      <alignment horizontal="center"/>
    </xf>
    <xf numFmtId="178" fontId="0" fillId="15" borderId="14" xfId="4" applyNumberFormat="1" applyFont="1" applyFill="1" applyBorder="1" applyAlignment="1">
      <alignment horizontal="center"/>
    </xf>
    <xf numFmtId="178" fontId="0" fillId="15" borderId="10" xfId="4" applyNumberFormat="1" applyFont="1" applyFill="1" applyBorder="1" applyAlignment="1">
      <alignment horizontal="center"/>
    </xf>
    <xf numFmtId="178" fontId="0" fillId="15" borderId="15" xfId="4" applyNumberFormat="1" applyFont="1" applyFill="1" applyBorder="1" applyAlignment="1">
      <alignment horizontal="center"/>
    </xf>
    <xf numFmtId="14" fontId="1" fillId="0" borderId="20" xfId="12" applyNumberFormat="1" applyBorder="1"/>
    <xf numFmtId="1" fontId="1" fillId="0" borderId="20" xfId="12" applyNumberFormat="1" applyBorder="1" applyAlignment="1">
      <alignment vertical="center"/>
    </xf>
    <xf numFmtId="178" fontId="0" fillId="15" borderId="12" xfId="4" applyNumberFormat="1" applyFont="1" applyFill="1" applyBorder="1" applyAlignment="1">
      <alignment horizontal="center"/>
    </xf>
    <xf numFmtId="178" fontId="0" fillId="15" borderId="16" xfId="4" applyNumberFormat="1" applyFont="1" applyFill="1" applyBorder="1" applyAlignment="1">
      <alignment horizontal="center"/>
    </xf>
    <xf numFmtId="178" fontId="0" fillId="15" borderId="22" xfId="4" applyNumberFormat="1" applyFont="1" applyFill="1" applyBorder="1" applyAlignment="1">
      <alignment horizontal="center"/>
    </xf>
    <xf numFmtId="178" fontId="0" fillId="15" borderId="23" xfId="4" applyNumberFormat="1" applyFont="1" applyFill="1" applyBorder="1" applyAlignment="1">
      <alignment horizontal="center"/>
    </xf>
    <xf numFmtId="14" fontId="1" fillId="0" borderId="24" xfId="12" applyNumberFormat="1" applyBorder="1"/>
    <xf numFmtId="1" fontId="1" fillId="0" borderId="24" xfId="12" applyNumberFormat="1" applyBorder="1" applyAlignment="1">
      <alignment vertical="center"/>
    </xf>
    <xf numFmtId="178" fontId="0" fillId="16" borderId="8" xfId="4" applyNumberFormat="1" applyFont="1" applyFill="1" applyBorder="1" applyAlignment="1">
      <alignment horizontal="center"/>
    </xf>
    <xf numFmtId="178" fontId="0" fillId="16" borderId="14" xfId="4" applyNumberFormat="1" applyFont="1" applyFill="1" applyBorder="1" applyAlignment="1">
      <alignment horizontal="center"/>
    </xf>
    <xf numFmtId="14" fontId="1" fillId="0" borderId="0" xfId="12" applyNumberFormat="1" applyBorder="1"/>
    <xf numFmtId="1" fontId="1" fillId="0" borderId="0" xfId="12" applyNumberFormat="1" applyBorder="1" applyAlignment="1">
      <alignment vertical="center"/>
    </xf>
    <xf numFmtId="0" fontId="1" fillId="17" borderId="0" xfId="12" applyFont="1" applyFill="1" applyAlignment="1">
      <alignment horizontal="center"/>
    </xf>
    <xf numFmtId="178" fontId="0" fillId="15" borderId="14" xfId="4" applyNumberFormat="1" applyFont="1" applyFill="1" applyBorder="1"/>
    <xf numFmtId="178" fontId="0" fillId="15" borderId="9" xfId="4" applyNumberFormat="1" applyFont="1" applyFill="1" applyBorder="1"/>
    <xf numFmtId="178" fontId="0" fillId="0" borderId="25" xfId="4" applyNumberFormat="1" applyFont="1" applyFill="1" applyBorder="1"/>
    <xf numFmtId="178" fontId="0" fillId="18" borderId="0" xfId="4" applyNumberFormat="1" applyFont="1" applyFill="1"/>
    <xf numFmtId="178" fontId="0" fillId="15" borderId="15" xfId="4" applyNumberFormat="1" applyFont="1" applyFill="1" applyBorder="1"/>
    <xf numFmtId="178" fontId="0" fillId="15" borderId="11" xfId="4" applyNumberFormat="1" applyFont="1" applyFill="1" applyBorder="1"/>
    <xf numFmtId="178" fontId="0" fillId="0" borderId="26" xfId="4" applyNumberFormat="1" applyFont="1" applyFill="1" applyBorder="1"/>
    <xf numFmtId="178" fontId="0" fillId="15" borderId="16" xfId="4" applyNumberFormat="1" applyFont="1" applyFill="1" applyBorder="1"/>
    <xf numFmtId="178" fontId="0" fillId="15" borderId="13" xfId="4" applyNumberFormat="1" applyFont="1" applyFill="1" applyBorder="1"/>
    <xf numFmtId="178" fontId="0" fillId="0" borderId="27" xfId="4" applyNumberFormat="1" applyFont="1" applyFill="1" applyBorder="1"/>
    <xf numFmtId="178" fontId="0" fillId="18" borderId="20" xfId="4" applyNumberFormat="1" applyFont="1" applyFill="1" applyBorder="1"/>
    <xf numFmtId="178" fontId="0" fillId="15" borderId="23" xfId="4" applyNumberFormat="1" applyFont="1" applyFill="1" applyBorder="1"/>
    <xf numFmtId="178" fontId="0" fillId="15" borderId="28" xfId="4" applyNumberFormat="1" applyFont="1" applyFill="1" applyBorder="1"/>
    <xf numFmtId="178" fontId="0" fillId="0" borderId="29" xfId="4" applyNumberFormat="1" applyFont="1" applyFill="1" applyBorder="1"/>
    <xf numFmtId="178" fontId="0" fillId="18" borderId="30" xfId="4" applyNumberFormat="1" applyFont="1" applyFill="1" applyBorder="1"/>
    <xf numFmtId="178" fontId="0" fillId="18" borderId="26" xfId="4" applyNumberFormat="1" applyFont="1" applyFill="1" applyBorder="1"/>
    <xf numFmtId="178" fontId="0" fillId="18" borderId="27" xfId="4" applyNumberFormat="1" applyFont="1" applyFill="1" applyBorder="1"/>
    <xf numFmtId="178" fontId="0" fillId="16" borderId="14" xfId="4" applyNumberFormat="1" applyFont="1" applyFill="1" applyBorder="1"/>
    <xf numFmtId="178" fontId="0" fillId="16" borderId="9" xfId="4" applyNumberFormat="1" applyFont="1" applyFill="1" applyBorder="1"/>
    <xf numFmtId="178" fontId="0" fillId="0" borderId="9" xfId="4" applyNumberFormat="1" applyFont="1" applyFill="1" applyBorder="1"/>
    <xf numFmtId="178" fontId="0" fillId="0" borderId="11" xfId="4" applyNumberFormat="1" applyFont="1" applyFill="1" applyBorder="1"/>
    <xf numFmtId="178" fontId="0" fillId="0" borderId="13" xfId="4" applyNumberFormat="1" applyFont="1" applyFill="1" applyBorder="1"/>
    <xf numFmtId="0" fontId="1" fillId="14" borderId="0" xfId="12" applyFont="1" applyFill="1"/>
    <xf numFmtId="0" fontId="1" fillId="14" borderId="0" xfId="12" applyFill="1"/>
    <xf numFmtId="9" fontId="0" fillId="18" borderId="8" xfId="18" applyFont="1" applyFill="1" applyBorder="1"/>
    <xf numFmtId="9" fontId="0" fillId="18" borderId="14" xfId="18" applyFont="1" applyFill="1" applyBorder="1"/>
    <xf numFmtId="9" fontId="0" fillId="18" borderId="9" xfId="18" applyFont="1" applyFill="1" applyBorder="1"/>
    <xf numFmtId="9" fontId="0" fillId="18" borderId="31" xfId="18" applyFont="1" applyFill="1" applyBorder="1"/>
    <xf numFmtId="9" fontId="0" fillId="18" borderId="24" xfId="18" applyFont="1" applyFill="1" applyBorder="1"/>
    <xf numFmtId="9" fontId="0" fillId="18" borderId="10" xfId="18" applyFont="1" applyFill="1" applyBorder="1"/>
    <xf numFmtId="9" fontId="0" fillId="18" borderId="15" xfId="18" applyFont="1" applyFill="1" applyBorder="1"/>
    <xf numFmtId="9" fontId="0" fillId="18" borderId="11" xfId="18" applyFont="1" applyFill="1" applyBorder="1"/>
    <xf numFmtId="9" fontId="0" fillId="18" borderId="32" xfId="18" applyFont="1" applyFill="1" applyBorder="1"/>
    <xf numFmtId="9" fontId="0" fillId="18" borderId="0" xfId="18" applyFont="1" applyFill="1" applyBorder="1"/>
    <xf numFmtId="9" fontId="0" fillId="18" borderId="12" xfId="18" applyFont="1" applyFill="1" applyBorder="1"/>
    <xf numFmtId="9" fontId="0" fillId="18" borderId="16" xfId="18" applyFont="1" applyFill="1" applyBorder="1"/>
    <xf numFmtId="9" fontId="0" fillId="18" borderId="13" xfId="18" applyFont="1" applyFill="1" applyBorder="1"/>
    <xf numFmtId="9" fontId="0" fillId="18" borderId="33" xfId="18" applyFont="1" applyFill="1" applyBorder="1"/>
    <xf numFmtId="9" fontId="0" fillId="18" borderId="20" xfId="18" applyFont="1" applyFill="1" applyBorder="1"/>
    <xf numFmtId="9" fontId="0" fillId="18" borderId="22" xfId="18" applyFont="1" applyFill="1" applyBorder="1"/>
    <xf numFmtId="9" fontId="0" fillId="18" borderId="23" xfId="18" applyFont="1" applyFill="1" applyBorder="1"/>
    <xf numFmtId="9" fontId="0" fillId="18" borderId="28" xfId="18" applyFont="1" applyFill="1" applyBorder="1"/>
    <xf numFmtId="9" fontId="0" fillId="18" borderId="34" xfId="18" applyFont="1" applyFill="1" applyBorder="1"/>
    <xf numFmtId="9" fontId="0" fillId="18" borderId="35" xfId="18" applyFont="1" applyFill="1" applyBorder="1"/>
    <xf numFmtId="9" fontId="0" fillId="18" borderId="36" xfId="18" applyFont="1" applyFill="1" applyBorder="1"/>
    <xf numFmtId="9" fontId="0" fillId="18" borderId="37" xfId="18" applyFont="1" applyFill="1" applyBorder="1"/>
    <xf numFmtId="9" fontId="0" fillId="18" borderId="38" xfId="18" applyFont="1" applyFill="1" applyBorder="1"/>
    <xf numFmtId="9" fontId="0" fillId="18" borderId="39" xfId="18" applyFont="1" applyFill="1" applyBorder="1"/>
    <xf numFmtId="9" fontId="0" fillId="18" borderId="40" xfId="18" applyFont="1" applyFill="1" applyBorder="1"/>
    <xf numFmtId="178" fontId="0" fillId="0" borderId="31" xfId="4" applyNumberFormat="1" applyFont="1" applyBorder="1"/>
    <xf numFmtId="178" fontId="0" fillId="0" borderId="24" xfId="4" applyNumberFormat="1" applyFont="1" applyBorder="1"/>
    <xf numFmtId="9" fontId="0" fillId="18" borderId="21" xfId="18" applyFont="1" applyFill="1" applyBorder="1"/>
    <xf numFmtId="178" fontId="0" fillId="0" borderId="32" xfId="4" applyNumberFormat="1" applyFont="1" applyBorder="1"/>
    <xf numFmtId="178" fontId="0" fillId="0" borderId="0" xfId="4" applyNumberFormat="1" applyFont="1" applyBorder="1"/>
    <xf numFmtId="9" fontId="0" fillId="18" borderId="41" xfId="18" applyFont="1" applyFill="1" applyBorder="1"/>
    <xf numFmtId="178" fontId="0" fillId="0" borderId="33" xfId="4" applyNumberFormat="1" applyFont="1" applyBorder="1"/>
    <xf numFmtId="178" fontId="0" fillId="0" borderId="20" xfId="4" applyNumberFormat="1" applyFont="1" applyBorder="1"/>
    <xf numFmtId="9" fontId="0" fillId="19" borderId="42" xfId="18" applyFont="1" applyFill="1" applyBorder="1"/>
    <xf numFmtId="9" fontId="0" fillId="19" borderId="43" xfId="18" applyFont="1" applyFill="1" applyBorder="1"/>
    <xf numFmtId="9" fontId="0" fillId="19" borderId="44" xfId="18" applyFont="1" applyFill="1" applyBorder="1"/>
    <xf numFmtId="0" fontId="1" fillId="14" borderId="21" xfId="12" applyFill="1" applyBorder="1"/>
    <xf numFmtId="0" fontId="1" fillId="0" borderId="21" xfId="12" applyFont="1" applyBorder="1"/>
    <xf numFmtId="178" fontId="0" fillId="0" borderId="40" xfId="4" applyNumberFormat="1" applyFont="1" applyBorder="1"/>
    <xf numFmtId="178" fontId="1" fillId="20" borderId="0" xfId="12" applyNumberFormat="1" applyFill="1"/>
    <xf numFmtId="178" fontId="0" fillId="0" borderId="21" xfId="4" applyNumberFormat="1" applyFont="1" applyBorder="1"/>
    <xf numFmtId="178" fontId="0" fillId="0" borderId="41" xfId="4" applyNumberFormat="1" applyFont="1" applyBorder="1"/>
    <xf numFmtId="178" fontId="1" fillId="20" borderId="20" xfId="12" applyNumberFormat="1" applyFill="1" applyBorder="1"/>
    <xf numFmtId="178" fontId="1" fillId="20" borderId="8" xfId="12" applyNumberFormat="1" applyFill="1" applyBorder="1"/>
    <xf numFmtId="178" fontId="1" fillId="20" borderId="14" xfId="12" applyNumberFormat="1" applyFill="1" applyBorder="1"/>
    <xf numFmtId="178" fontId="1" fillId="20" borderId="10" xfId="12" applyNumberFormat="1" applyFill="1" applyBorder="1"/>
    <xf numFmtId="178" fontId="1" fillId="20" borderId="15" xfId="12" applyNumberFormat="1" applyFill="1" applyBorder="1"/>
    <xf numFmtId="178" fontId="1" fillId="20" borderId="12" xfId="12" applyNumberFormat="1" applyFill="1" applyBorder="1"/>
    <xf numFmtId="178" fontId="1" fillId="20" borderId="16" xfId="12" applyNumberFormat="1" applyFill="1" applyBorder="1"/>
    <xf numFmtId="0" fontId="1" fillId="14" borderId="0" xfId="12" applyFont="1" applyFill="1" applyAlignment="1">
      <alignment horizontal="left"/>
    </xf>
    <xf numFmtId="0" fontId="1" fillId="17" borderId="0" xfId="12" applyFont="1" applyFill="1"/>
    <xf numFmtId="178" fontId="1" fillId="20" borderId="21" xfId="12" applyNumberFormat="1" applyFill="1" applyBorder="1"/>
    <xf numFmtId="9" fontId="0" fillId="21" borderId="0" xfId="18" applyFont="1" applyFill="1"/>
    <xf numFmtId="9" fontId="0" fillId="21" borderId="21" xfId="18" applyFont="1" applyFill="1" applyBorder="1"/>
    <xf numFmtId="9" fontId="0" fillId="0" borderId="0" xfId="18" applyFont="1"/>
    <xf numFmtId="178" fontId="1" fillId="20" borderId="41" xfId="12" applyNumberFormat="1" applyFill="1" applyBorder="1"/>
    <xf numFmtId="9" fontId="0" fillId="21" borderId="20" xfId="18" applyFont="1" applyFill="1" applyBorder="1"/>
    <xf numFmtId="9" fontId="0" fillId="21" borderId="41" xfId="18" applyFont="1" applyFill="1" applyBorder="1"/>
    <xf numFmtId="9" fontId="0" fillId="0" borderId="20" xfId="18" applyFont="1" applyBorder="1"/>
    <xf numFmtId="178" fontId="1" fillId="20" borderId="9" xfId="12" applyNumberFormat="1" applyFill="1" applyBorder="1"/>
    <xf numFmtId="9" fontId="0" fillId="20" borderId="8" xfId="18" applyFont="1" applyFill="1" applyBorder="1"/>
    <xf numFmtId="9" fontId="0" fillId="20" borderId="14" xfId="18" applyFont="1" applyFill="1" applyBorder="1"/>
    <xf numFmtId="9" fontId="0" fillId="20" borderId="9" xfId="18" applyFont="1" applyFill="1" applyBorder="1"/>
    <xf numFmtId="178" fontId="1" fillId="20" borderId="11" xfId="12" applyNumberFormat="1" applyFill="1" applyBorder="1"/>
    <xf numFmtId="9" fontId="0" fillId="20" borderId="10" xfId="18" applyFont="1" applyFill="1" applyBorder="1"/>
    <xf numFmtId="9" fontId="0" fillId="20" borderId="15" xfId="18" applyFont="1" applyFill="1" applyBorder="1"/>
    <xf numFmtId="9" fontId="0" fillId="20" borderId="11" xfId="18" applyFont="1" applyFill="1" applyBorder="1"/>
    <xf numFmtId="178" fontId="1" fillId="20" borderId="13" xfId="12" applyNumberFormat="1" applyFill="1" applyBorder="1"/>
    <xf numFmtId="9" fontId="0" fillId="20" borderId="12" xfId="18" applyFont="1" applyFill="1" applyBorder="1"/>
    <xf numFmtId="9" fontId="0" fillId="20" borderId="16" xfId="18" applyFont="1" applyFill="1" applyBorder="1"/>
    <xf numFmtId="9" fontId="0" fillId="20" borderId="13" xfId="18" applyFont="1" applyFill="1" applyBorder="1"/>
    <xf numFmtId="0" fontId="1" fillId="17" borderId="0" xfId="12" applyFill="1"/>
    <xf numFmtId="0" fontId="1" fillId="17" borderId="21" xfId="12" applyFill="1" applyBorder="1"/>
    <xf numFmtId="9" fontId="0" fillId="0" borderId="21" xfId="18" applyFont="1" applyBorder="1"/>
    <xf numFmtId="178" fontId="0" fillId="0" borderId="0" xfId="4" applyNumberFormat="1" applyFont="1"/>
    <xf numFmtId="9" fontId="0" fillId="0" borderId="41" xfId="18" applyFont="1" applyBorder="1"/>
    <xf numFmtId="178" fontId="1" fillId="0" borderId="0" xfId="12" applyNumberFormat="1"/>
    <xf numFmtId="178" fontId="1" fillId="0" borderId="20" xfId="12" applyNumberFormat="1" applyBorder="1"/>
    <xf numFmtId="178" fontId="1" fillId="0" borderId="8" xfId="12" applyNumberFormat="1" applyBorder="1"/>
    <xf numFmtId="178" fontId="1" fillId="0" borderId="14" xfId="12" applyNumberFormat="1" applyBorder="1"/>
    <xf numFmtId="178" fontId="1" fillId="0" borderId="10" xfId="12" applyNumberFormat="1" applyBorder="1"/>
    <xf numFmtId="178" fontId="1" fillId="0" borderId="15" xfId="12" applyNumberFormat="1" applyBorder="1"/>
    <xf numFmtId="178" fontId="1" fillId="0" borderId="12" xfId="12" applyNumberFormat="1" applyBorder="1"/>
    <xf numFmtId="178" fontId="1" fillId="0" borderId="16" xfId="12" applyNumberFormat="1" applyBorder="1"/>
    <xf numFmtId="0" fontId="1" fillId="17" borderId="0" xfId="12" applyFont="1" applyFill="1" applyAlignment="1">
      <alignment horizontal="left"/>
    </xf>
    <xf numFmtId="178" fontId="1" fillId="0" borderId="21" xfId="12" applyNumberFormat="1" applyBorder="1"/>
    <xf numFmtId="178" fontId="1" fillId="0" borderId="41" xfId="12" applyNumberFormat="1" applyBorder="1"/>
    <xf numFmtId="178" fontId="1" fillId="0" borderId="9" xfId="12" applyNumberFormat="1" applyBorder="1"/>
    <xf numFmtId="9" fontId="0" fillId="20" borderId="45" xfId="18" applyFont="1" applyFill="1" applyBorder="1"/>
    <xf numFmtId="9" fontId="0" fillId="20" borderId="46" xfId="18" applyFont="1" applyFill="1" applyBorder="1"/>
    <xf numFmtId="9" fontId="0" fillId="20" borderId="47" xfId="18" applyFont="1" applyFill="1" applyBorder="1"/>
    <xf numFmtId="178" fontId="1" fillId="0" borderId="11" xfId="12" applyNumberFormat="1" applyBorder="1"/>
    <xf numFmtId="9" fontId="0" fillId="20" borderId="48" xfId="18" applyFont="1" applyFill="1" applyBorder="1"/>
    <xf numFmtId="9" fontId="0" fillId="20" borderId="49" xfId="18" applyFont="1" applyFill="1" applyBorder="1"/>
    <xf numFmtId="9" fontId="0" fillId="20" borderId="50" xfId="18" applyFont="1" applyFill="1" applyBorder="1"/>
    <xf numFmtId="178" fontId="1" fillId="0" borderId="13" xfId="12" applyNumberFormat="1" applyBorder="1"/>
    <xf numFmtId="9" fontId="0" fillId="20" borderId="51" xfId="18" applyFont="1" applyFill="1" applyBorder="1"/>
    <xf numFmtId="9" fontId="0" fillId="20" borderId="52" xfId="18" applyFont="1" applyFill="1" applyBorder="1"/>
    <xf numFmtId="9" fontId="0" fillId="20" borderId="53" xfId="18" applyFont="1" applyFill="1" applyBorder="1"/>
    <xf numFmtId="0" fontId="1" fillId="9" borderId="0" xfId="12" applyFont="1" applyFill="1"/>
    <xf numFmtId="0" fontId="1" fillId="9" borderId="0" xfId="12" applyFill="1"/>
    <xf numFmtId="0" fontId="1" fillId="9" borderId="21" xfId="12" applyFill="1" applyBorder="1"/>
    <xf numFmtId="178" fontId="2" fillId="0" borderId="0" xfId="12" applyNumberFormat="1" applyFont="1"/>
    <xf numFmtId="178" fontId="2" fillId="0" borderId="21" xfId="12" applyNumberFormat="1" applyFont="1" applyBorder="1"/>
    <xf numFmtId="178" fontId="2" fillId="13" borderId="21" xfId="12" applyNumberFormat="1" applyFont="1" applyFill="1" applyBorder="1"/>
    <xf numFmtId="178" fontId="2" fillId="0" borderId="20" xfId="12" applyNumberFormat="1" applyFont="1" applyBorder="1"/>
    <xf numFmtId="178" fontId="2" fillId="0" borderId="0" xfId="12" applyNumberFormat="1" applyFont="1" applyBorder="1"/>
    <xf numFmtId="178" fontId="2" fillId="0" borderId="24" xfId="12" applyNumberFormat="1" applyFont="1" applyBorder="1"/>
    <xf numFmtId="178" fontId="2" fillId="0" borderId="40" xfId="12" applyNumberFormat="1" applyFont="1" applyBorder="1"/>
    <xf numFmtId="178" fontId="2" fillId="13" borderId="40" xfId="12" applyNumberFormat="1" applyFont="1" applyFill="1" applyBorder="1"/>
    <xf numFmtId="178" fontId="2" fillId="0" borderId="41" xfId="12" applyNumberFormat="1" applyFont="1" applyBorder="1"/>
    <xf numFmtId="0" fontId="1" fillId="9" borderId="0" xfId="12" applyFont="1" applyFill="1" applyAlignment="1">
      <alignment horizontal="left"/>
    </xf>
    <xf numFmtId="9" fontId="0" fillId="0" borderId="8" xfId="18" applyFont="1" applyBorder="1"/>
    <xf numFmtId="9" fontId="0" fillId="0" borderId="14" xfId="18" applyFont="1" applyBorder="1"/>
    <xf numFmtId="9" fontId="0" fillId="0" borderId="10" xfId="18" applyFont="1" applyBorder="1"/>
    <xf numFmtId="9" fontId="0" fillId="0" borderId="15" xfId="18" applyFont="1" applyBorder="1"/>
    <xf numFmtId="9" fontId="0" fillId="0" borderId="12" xfId="18" applyFont="1" applyBorder="1"/>
    <xf numFmtId="9" fontId="0" fillId="0" borderId="16" xfId="18" applyFont="1" applyBorder="1"/>
    <xf numFmtId="9" fontId="0" fillId="0" borderId="9" xfId="18" applyFont="1" applyBorder="1"/>
    <xf numFmtId="9" fontId="0" fillId="0" borderId="11" xfId="18" applyFont="1" applyBorder="1"/>
    <xf numFmtId="9" fontId="0" fillId="0" borderId="13" xfId="18" applyFont="1" applyBorder="1"/>
    <xf numFmtId="178" fontId="0" fillId="22" borderId="5" xfId="2" applyNumberFormat="1" applyFont="1" applyFill="1" applyBorder="1"/>
    <xf numFmtId="0" fontId="0" fillId="5" borderId="1" xfId="0" applyFont="1" applyFill="1" applyBorder="1" applyAlignment="1">
      <alignment vertical="center" wrapText="1"/>
    </xf>
    <xf numFmtId="179" fontId="0" fillId="7" borderId="7" xfId="2" applyNumberFormat="1" applyFont="1" applyFill="1" applyBorder="1"/>
    <xf numFmtId="178" fontId="0" fillId="3" borderId="4" xfId="2" applyNumberFormat="1" applyFont="1" applyFill="1" applyBorder="1"/>
    <xf numFmtId="178" fontId="0" fillId="3" borderId="5" xfId="2" applyNumberFormat="1" applyFont="1" applyFill="1" applyBorder="1"/>
    <xf numFmtId="178" fontId="0" fillId="3" borderId="7" xfId="0" applyNumberFormat="1" applyFill="1" applyBorder="1"/>
    <xf numFmtId="0" fontId="0" fillId="12" borderId="1" xfId="0" applyFont="1" applyFill="1" applyBorder="1" applyAlignment="1">
      <alignment vertical="center" wrapText="1"/>
    </xf>
    <xf numFmtId="0" fontId="0" fillId="23" borderId="4" xfId="0" applyFill="1" applyBorder="1"/>
    <xf numFmtId="0" fontId="0" fillId="23" borderId="5" xfId="0" applyFill="1" applyBorder="1"/>
    <xf numFmtId="178" fontId="0" fillId="23" borderId="5" xfId="2" applyNumberFormat="1" applyFont="1" applyFill="1" applyBorder="1"/>
    <xf numFmtId="0" fontId="0" fillId="3" borderId="4" xfId="0" applyFill="1" applyBorder="1"/>
    <xf numFmtId="0" fontId="0" fillId="3" borderId="5" xfId="0" applyFill="1" applyBorder="1"/>
    <xf numFmtId="9" fontId="0" fillId="23" borderId="5" xfId="3" applyFont="1" applyFill="1" applyBorder="1"/>
    <xf numFmtId="178" fontId="0" fillId="22" borderId="4" xfId="2" applyNumberFormat="1" applyFont="1" applyFill="1" applyBorder="1"/>
    <xf numFmtId="0" fontId="0" fillId="22" borderId="4" xfId="0" applyFill="1" applyBorder="1"/>
    <xf numFmtId="0" fontId="0" fillId="24" borderId="4" xfId="0" applyFill="1" applyBorder="1"/>
    <xf numFmtId="0" fontId="0" fillId="24" borderId="5" xfId="0" applyFill="1" applyBorder="1"/>
    <xf numFmtId="0" fontId="0" fillId="13" borderId="4" xfId="0" applyFill="1" applyBorder="1"/>
    <xf numFmtId="0" fontId="0" fillId="23" borderId="6" xfId="0" applyFill="1" applyBorder="1"/>
    <xf numFmtId="178" fontId="0" fillId="23" borderId="4" xfId="2" applyNumberFormat="1" applyFont="1" applyFill="1" applyBorder="1"/>
    <xf numFmtId="178" fontId="0" fillId="23" borderId="7" xfId="0" applyNumberFormat="1" applyFill="1" applyBorder="1"/>
    <xf numFmtId="9" fontId="0" fillId="3" borderId="5" xfId="3" applyFont="1" applyFill="1" applyBorder="1"/>
    <xf numFmtId="0" fontId="0" fillId="12" borderId="0" xfId="0" applyFill="1"/>
    <xf numFmtId="0" fontId="0" fillId="0" borderId="21" xfId="0" applyBorder="1"/>
    <xf numFmtId="0" fontId="0" fillId="0" borderId="25" xfId="0" applyBorder="1"/>
    <xf numFmtId="0" fontId="0" fillId="25" borderId="21" xfId="0" applyFill="1" applyBorder="1"/>
    <xf numFmtId="0" fontId="0" fillId="25" borderId="0" xfId="0" applyFill="1" applyBorder="1"/>
    <xf numFmtId="0" fontId="0" fillId="25" borderId="0" xfId="0" applyFill="1"/>
    <xf numFmtId="0" fontId="0" fillId="26" borderId="0" xfId="0" applyFill="1"/>
    <xf numFmtId="0" fontId="0" fillId="0" borderId="54" xfId="0" applyBorder="1"/>
    <xf numFmtId="0" fontId="0" fillId="0" borderId="55" xfId="0" applyBorder="1"/>
    <xf numFmtId="14" fontId="0" fillId="7" borderId="35" xfId="0" applyNumberFormat="1" applyFill="1" applyBorder="1"/>
    <xf numFmtId="0" fontId="0" fillId="7" borderId="42" xfId="0" applyFill="1" applyBorder="1"/>
    <xf numFmtId="0" fontId="0" fillId="7" borderId="35" xfId="0" applyFill="1" applyBorder="1"/>
    <xf numFmtId="0" fontId="0" fillId="7" borderId="37" xfId="0" applyFill="1" applyBorder="1"/>
    <xf numFmtId="178" fontId="0" fillId="7" borderId="35" xfId="2" applyNumberFormat="1" applyFont="1" applyFill="1" applyBorder="1"/>
    <xf numFmtId="14" fontId="0" fillId="12" borderId="35" xfId="0" applyNumberFormat="1" applyFill="1" applyBorder="1"/>
    <xf numFmtId="0" fontId="0" fillId="12" borderId="42" xfId="0" applyFill="1" applyBorder="1"/>
    <xf numFmtId="0" fontId="0" fillId="12" borderId="35" xfId="0" applyFill="1" applyBorder="1"/>
    <xf numFmtId="0" fontId="0" fillId="12" borderId="37" xfId="0" applyFill="1" applyBorder="1"/>
    <xf numFmtId="0" fontId="0" fillId="26" borderId="21" xfId="0" applyFill="1" applyBorder="1"/>
    <xf numFmtId="0" fontId="0" fillId="26" borderId="0" xfId="0" applyFont="1" applyFill="1"/>
    <xf numFmtId="0" fontId="0" fillId="26" borderId="25" xfId="0" applyFill="1" applyBorder="1"/>
    <xf numFmtId="0" fontId="0" fillId="26" borderId="0" xfId="0" applyFill="1" applyBorder="1"/>
    <xf numFmtId="0" fontId="0" fillId="0" borderId="54" xfId="0" applyFont="1" applyBorder="1"/>
    <xf numFmtId="9" fontId="0" fillId="7" borderId="42" xfId="0" applyNumberFormat="1" applyFill="1" applyBorder="1"/>
    <xf numFmtId="0" fontId="0" fillId="6" borderId="30" xfId="0" applyFill="1" applyBorder="1"/>
    <xf numFmtId="0" fontId="0" fillId="6" borderId="35" xfId="0" applyFill="1" applyBorder="1"/>
    <xf numFmtId="0" fontId="0" fillId="6" borderId="26" xfId="0" applyFill="1" applyBorder="1"/>
    <xf numFmtId="0" fontId="0" fillId="6" borderId="56" xfId="0" applyFill="1" applyBorder="1"/>
    <xf numFmtId="178" fontId="0" fillId="6" borderId="56" xfId="2" applyNumberFormat="1" applyFont="1" applyFill="1" applyBorder="1"/>
    <xf numFmtId="9" fontId="0" fillId="12" borderId="42" xfId="0" applyNumberFormat="1" applyFill="1" applyBorder="1"/>
    <xf numFmtId="0" fontId="0" fillId="12" borderId="26" xfId="0" applyFill="1" applyBorder="1"/>
    <xf numFmtId="9" fontId="0" fillId="12" borderId="56" xfId="0" applyNumberFormat="1" applyFill="1" applyBorder="1"/>
    <xf numFmtId="9" fontId="0" fillId="6" borderId="56" xfId="0" applyNumberFormat="1" applyFill="1" applyBorder="1"/>
    <xf numFmtId="0" fontId="0" fillId="5" borderId="0" xfId="0" applyFill="1"/>
    <xf numFmtId="0" fontId="0" fillId="5" borderId="21" xfId="0" applyFill="1" applyBorder="1"/>
    <xf numFmtId="0" fontId="0" fillId="2" borderId="21" xfId="0" applyFill="1" applyBorder="1"/>
    <xf numFmtId="178" fontId="0" fillId="7" borderId="42" xfId="2" applyNumberFormat="1" applyFont="1" applyFill="1" applyBorder="1"/>
    <xf numFmtId="178" fontId="0" fillId="7" borderId="37" xfId="2" applyNumberFormat="1" applyFont="1" applyFill="1" applyBorder="1"/>
    <xf numFmtId="178" fontId="0" fillId="7" borderId="43" xfId="2" applyNumberFormat="1" applyFont="1" applyFill="1" applyBorder="1"/>
    <xf numFmtId="178" fontId="0" fillId="12" borderId="35" xfId="2" applyNumberFormat="1" applyFont="1" applyFill="1" applyBorder="1"/>
    <xf numFmtId="178" fontId="0" fillId="12" borderId="42" xfId="2" applyNumberFormat="1" applyFont="1" applyFill="1" applyBorder="1"/>
    <xf numFmtId="178" fontId="0" fillId="12" borderId="37" xfId="2" applyNumberFormat="1" applyFont="1" applyFill="1" applyBorder="1"/>
    <xf numFmtId="178" fontId="0" fillId="12" borderId="43" xfId="2" applyNumberFormat="1" applyFont="1" applyFill="1" applyBorder="1"/>
    <xf numFmtId="0" fontId="0" fillId="0" borderId="0" xfId="0" applyAlignment="1">
      <alignment horizontal="center"/>
    </xf>
    <xf numFmtId="14" fontId="3" fillId="0" borderId="57" xfId="0" applyNumberFormat="1" applyFont="1" applyBorder="1" applyAlignment="1"/>
    <xf numFmtId="14" fontId="4" fillId="6" borderId="58" xfId="0" applyNumberFormat="1" applyFont="1" applyFill="1" applyBorder="1" applyAlignment="1">
      <alignment horizontal="center"/>
    </xf>
    <xf numFmtId="0" fontId="3" fillId="0" borderId="58" xfId="0" applyFont="1" applyBorder="1" applyAlignment="1"/>
    <xf numFmtId="0" fontId="3" fillId="0" borderId="59" xfId="0" applyFont="1" applyBorder="1" applyAlignment="1"/>
    <xf numFmtId="0" fontId="3" fillId="0" borderId="58" xfId="0" applyFont="1" applyBorder="1"/>
    <xf numFmtId="0" fontId="3" fillId="0" borderId="58" xfId="0" applyFont="1" applyBorder="1" applyAlignment="1">
      <alignment horizontal="center"/>
    </xf>
    <xf numFmtId="0" fontId="3" fillId="0" borderId="60" xfId="0" applyFont="1" applyBorder="1"/>
    <xf numFmtId="0" fontId="3" fillId="0" borderId="0" xfId="0" applyFont="1" applyBorder="1"/>
    <xf numFmtId="0" fontId="3" fillId="0" borderId="61" xfId="0" applyFont="1" applyBorder="1"/>
    <xf numFmtId="178" fontId="3" fillId="20" borderId="54" xfId="2" applyNumberFormat="1" applyFont="1" applyFill="1" applyBorder="1"/>
    <xf numFmtId="0" fontId="3" fillId="0" borderId="54" xfId="0" applyFont="1" applyBorder="1"/>
    <xf numFmtId="0" fontId="3" fillId="0" borderId="0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178" fontId="3" fillId="0" borderId="54" xfId="0" applyNumberFormat="1" applyFont="1" applyBorder="1" applyAlignment="1">
      <alignment horizontal="center"/>
    </xf>
    <xf numFmtId="178" fontId="3" fillId="0" borderId="54" xfId="2" applyNumberFormat="1" applyFont="1" applyBorder="1" applyAlignment="1">
      <alignment horizontal="center"/>
    </xf>
    <xf numFmtId="9" fontId="3" fillId="20" borderId="54" xfId="0" applyNumberFormat="1" applyFont="1" applyFill="1" applyBorder="1"/>
    <xf numFmtId="179" fontId="3" fillId="20" borderId="54" xfId="2" applyNumberFormat="1" applyFont="1" applyFill="1" applyBorder="1"/>
    <xf numFmtId="9" fontId="3" fillId="20" borderId="54" xfId="3" applyFont="1" applyFill="1" applyBorder="1" applyAlignment="1">
      <alignment horizontal="right"/>
    </xf>
    <xf numFmtId="178" fontId="3" fillId="0" borderId="54" xfId="2" applyNumberFormat="1" applyFont="1" applyBorder="1" applyAlignment="1">
      <alignment horizontal="center" vertical="center"/>
    </xf>
    <xf numFmtId="179" fontId="3" fillId="20" borderId="54" xfId="2" applyNumberFormat="1" applyFont="1" applyFill="1" applyBorder="1" applyAlignment="1"/>
    <xf numFmtId="0" fontId="3" fillId="0" borderId="62" xfId="0" applyFont="1" applyBorder="1"/>
    <xf numFmtId="0" fontId="3" fillId="0" borderId="63" xfId="0" applyFont="1" applyBorder="1"/>
    <xf numFmtId="0" fontId="3" fillId="0" borderId="64" xfId="0" applyFont="1" applyBorder="1"/>
    <xf numFmtId="0" fontId="3" fillId="0" borderId="63" xfId="0" applyFont="1" applyBorder="1" applyAlignment="1">
      <alignment horizontal="center"/>
    </xf>
    <xf numFmtId="0" fontId="0" fillId="0" borderId="0" xfId="0" applyFont="1" applyBorder="1" applyAlignment="1"/>
    <xf numFmtId="0" fontId="0" fillId="15" borderId="0" xfId="0" applyFill="1" applyBorder="1" applyAlignment="1"/>
    <xf numFmtId="0" fontId="0" fillId="0" borderId="0" xfId="0" applyBorder="1" applyAlignment="1"/>
    <xf numFmtId="43" fontId="0" fillId="0" borderId="0" xfId="0" applyNumberFormat="1"/>
    <xf numFmtId="14" fontId="0" fillId="0" borderId="0" xfId="0" applyNumberFormat="1" applyBorder="1"/>
    <xf numFmtId="9" fontId="0" fillId="0" borderId="0" xfId="3" applyFont="1" applyAlignment="1">
      <alignment horizontal="center"/>
    </xf>
    <xf numFmtId="178" fontId="0" fillId="0" borderId="0" xfId="2" applyNumberFormat="1" applyFont="1" applyAlignment="1">
      <alignment horizontal="center"/>
    </xf>
    <xf numFmtId="0" fontId="0" fillId="0" borderId="58" xfId="0" applyBorder="1"/>
    <xf numFmtId="0" fontId="3" fillId="0" borderId="59" xfId="0" applyFont="1" applyBorder="1"/>
    <xf numFmtId="0" fontId="3" fillId="0" borderId="54" xfId="0" applyFont="1" applyBorder="1" applyAlignment="1">
      <alignment horizontal="center" wrapText="1"/>
    </xf>
    <xf numFmtId="0" fontId="3" fillId="0" borderId="54" xfId="0" applyFont="1" applyFill="1" applyBorder="1" applyAlignment="1">
      <alignment horizontal="center" wrapText="1"/>
    </xf>
    <xf numFmtId="0" fontId="3" fillId="28" borderId="54" xfId="0" applyFont="1" applyFill="1" applyBorder="1" applyAlignment="1">
      <alignment horizontal="center"/>
    </xf>
    <xf numFmtId="9" fontId="0" fillId="20" borderId="54" xfId="0" applyNumberFormat="1" applyFill="1" applyBorder="1" applyAlignment="1">
      <alignment horizontal="center"/>
    </xf>
    <xf numFmtId="0" fontId="3" fillId="28" borderId="54" xfId="0" applyFont="1" applyFill="1" applyBorder="1"/>
    <xf numFmtId="0" fontId="0" fillId="0" borderId="63" xfId="0" applyBorder="1"/>
    <xf numFmtId="0" fontId="5" fillId="27" borderId="54" xfId="0" applyFont="1" applyFill="1" applyBorder="1" applyAlignment="1">
      <alignment horizontal="center"/>
    </xf>
  </cellXfs>
  <cellStyles count="22">
    <cellStyle name="Accent1 2" xfId="5"/>
    <cellStyle name="Accent2 2" xfId="15"/>
    <cellStyle name="Accent3 2" xfId="11"/>
    <cellStyle name="Accent4 2" xfId="1"/>
    <cellStyle name="Accent5 2" xfId="6"/>
    <cellStyle name="Calculation 2" xfId="7"/>
    <cellStyle name="Comma 2" xfId="4"/>
    <cellStyle name="Heading 1 2" xfId="16"/>
    <cellStyle name="Heading 3 2" xfId="13"/>
    <cellStyle name="Heading 4 2" xfId="9"/>
    <cellStyle name="Normal 2" xfId="8"/>
    <cellStyle name="Normal 3" xfId="10"/>
    <cellStyle name="Normal 4" xfId="12"/>
    <cellStyle name="Notes" xfId="17"/>
    <cellStyle name="Output 2" xfId="14"/>
    <cellStyle name="Percent 2" xfId="18"/>
    <cellStyle name="Raw Data" xfId="19"/>
    <cellStyle name="Title 2" xfId="20"/>
    <cellStyle name="Variables" xfId="21"/>
    <cellStyle name="百分比" xfId="3" builtinId="5"/>
    <cellStyle name="常规" xfId="0" builtinId="0"/>
    <cellStyle name="千位分隔" xfId="2" builtinId="3"/>
  </cellStyles>
  <dxfs count="35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6"/>
  <sheetViews>
    <sheetView showGridLines="0" tabSelected="1" workbookViewId="0">
      <selection activeCell="C18" sqref="C18"/>
    </sheetView>
  </sheetViews>
  <sheetFormatPr defaultColWidth="9" defaultRowHeight="14.25"/>
  <cols>
    <col min="1" max="1" width="4.5" customWidth="1"/>
    <col min="2" max="2" width="26.625" customWidth="1"/>
    <col min="3" max="3" width="11.5" customWidth="1"/>
    <col min="4" max="4" width="10.75" customWidth="1"/>
    <col min="5" max="5" width="4.125" customWidth="1"/>
    <col min="6" max="6" width="6.75" customWidth="1"/>
    <col min="7" max="7" width="11.75" style="304" customWidth="1"/>
    <col min="8" max="8" width="21" style="304" customWidth="1"/>
    <col min="9" max="9" width="15.875" style="304" customWidth="1"/>
    <col min="10" max="10" width="25.5" style="304" customWidth="1"/>
    <col min="11" max="11" width="3" style="304" customWidth="1"/>
    <col min="12" max="12" width="23.5" customWidth="1"/>
    <col min="13" max="13" width="23.375" customWidth="1"/>
    <col min="14" max="14" width="16.625" customWidth="1"/>
    <col min="15" max="15" width="2.75" customWidth="1"/>
  </cols>
  <sheetData>
    <row r="2" spans="1:19" ht="18.75">
      <c r="A2" s="305"/>
      <c r="B2" s="306">
        <v>44536</v>
      </c>
      <c r="C2" s="307"/>
      <c r="D2" s="308"/>
      <c r="E2" s="309"/>
      <c r="F2" s="309"/>
      <c r="G2" s="310"/>
      <c r="H2" s="310"/>
      <c r="I2" s="310"/>
      <c r="J2" s="310"/>
      <c r="K2" s="310"/>
      <c r="L2" s="309"/>
      <c r="M2" s="336"/>
      <c r="N2" s="309"/>
      <c r="O2" s="337"/>
    </row>
    <row r="3" spans="1:19">
      <c r="A3" s="311"/>
      <c r="B3" s="312"/>
      <c r="C3" s="312"/>
      <c r="D3" s="313"/>
      <c r="E3" s="312"/>
      <c r="F3" s="344" t="s">
        <v>0</v>
      </c>
      <c r="G3" s="344"/>
      <c r="H3" s="344"/>
      <c r="I3" s="344"/>
      <c r="J3" s="344"/>
      <c r="K3" s="344"/>
      <c r="L3" s="312"/>
      <c r="M3" s="1"/>
      <c r="N3" s="312"/>
      <c r="O3" s="313"/>
    </row>
    <row r="4" spans="1:19" ht="27.75">
      <c r="A4" s="311"/>
      <c r="B4" s="312" t="s">
        <v>1</v>
      </c>
      <c r="C4" s="314">
        <f>D26</f>
        <v>4408</v>
      </c>
      <c r="D4" s="313" t="s">
        <v>2</v>
      </c>
      <c r="E4" s="312"/>
      <c r="F4" s="315"/>
      <c r="G4" s="316" t="s">
        <v>3</v>
      </c>
      <c r="H4" s="317" t="s">
        <v>4</v>
      </c>
      <c r="I4" s="317" t="s">
        <v>5</v>
      </c>
      <c r="J4" s="338" t="s">
        <v>6</v>
      </c>
      <c r="K4" s="317"/>
      <c r="L4" s="338" t="s">
        <v>7</v>
      </c>
      <c r="M4" s="339" t="s">
        <v>8</v>
      </c>
      <c r="N4" s="340" t="s">
        <v>9</v>
      </c>
      <c r="O4" s="313"/>
      <c r="R4" t="s">
        <v>10</v>
      </c>
      <c r="S4" t="s">
        <v>11</v>
      </c>
    </row>
    <row r="5" spans="1:19">
      <c r="A5" s="311"/>
      <c r="B5" s="312" t="s">
        <v>12</v>
      </c>
      <c r="C5" s="314">
        <f>C26</f>
        <v>4408</v>
      </c>
      <c r="D5" s="313" t="s">
        <v>2</v>
      </c>
      <c r="E5" s="312"/>
      <c r="F5" s="315" t="s">
        <v>13</v>
      </c>
      <c r="G5" s="318">
        <f>H5+$G$17</f>
        <v>4810</v>
      </c>
      <c r="H5" s="319">
        <f>Y26</f>
        <v>4600</v>
      </c>
      <c r="I5" s="319">
        <f>S26</f>
        <v>4587.9987079736929</v>
      </c>
      <c r="J5" s="319">
        <f>H5-I5</f>
        <v>12.001292026307055</v>
      </c>
      <c r="K5" s="317"/>
      <c r="L5" s="317">
        <f>Y25-M25</f>
        <v>-80</v>
      </c>
      <c r="M5" s="341">
        <f>VLOOKUP(B2-1,'青岛 - 螺纹'!A3:AG100,33,0)</f>
        <v>0.89997415947386217</v>
      </c>
      <c r="N5" s="342" t="s">
        <v>14</v>
      </c>
      <c r="O5" s="313"/>
      <c r="R5">
        <v>-80</v>
      </c>
      <c r="S5">
        <v>-50</v>
      </c>
    </row>
    <row r="6" spans="1:19">
      <c r="A6" s="311"/>
      <c r="B6" s="312" t="s">
        <v>15</v>
      </c>
      <c r="C6" s="314">
        <f>C5-C4</f>
        <v>0</v>
      </c>
      <c r="D6" s="313" t="s">
        <v>2</v>
      </c>
      <c r="E6" s="312"/>
      <c r="F6" s="315" t="s">
        <v>16</v>
      </c>
      <c r="G6" s="318">
        <f t="shared" ref="G6:G7" si="0">H6+$G$17</f>
        <v>4820</v>
      </c>
      <c r="H6" s="319">
        <f>AA26</f>
        <v>4610</v>
      </c>
      <c r="I6" s="319">
        <f>U26</f>
        <v>4621.4854312696907</v>
      </c>
      <c r="J6" s="319">
        <f t="shared" ref="J6:J7" si="1">H6-I6</f>
        <v>-11.485431269690707</v>
      </c>
      <c r="K6" s="317"/>
      <c r="L6" s="317">
        <f>AA25-O25</f>
        <v>-20</v>
      </c>
      <c r="M6" s="341">
        <f>VLOOKUP(B2-1,'连云港 - 螺纹'!A3:AG100,33,0)</f>
        <v>0.97770862539381098</v>
      </c>
      <c r="N6" s="342" t="s">
        <v>17</v>
      </c>
      <c r="O6" s="313"/>
      <c r="R6">
        <v>16</v>
      </c>
      <c r="S6">
        <v>23</v>
      </c>
    </row>
    <row r="7" spans="1:19">
      <c r="A7" s="311"/>
      <c r="B7" s="312"/>
      <c r="C7" s="312"/>
      <c r="D7" s="313"/>
      <c r="E7" s="312"/>
      <c r="F7" s="315" t="s">
        <v>18</v>
      </c>
      <c r="G7" s="318">
        <f t="shared" si="0"/>
        <v>4850</v>
      </c>
      <c r="H7" s="319">
        <f>AC26</f>
        <v>4640</v>
      </c>
      <c r="I7" s="319">
        <f>W26</f>
        <v>4738.1655464073056</v>
      </c>
      <c r="J7" s="319">
        <f t="shared" si="1"/>
        <v>-98.165546407305555</v>
      </c>
      <c r="K7" s="317"/>
      <c r="L7" s="317">
        <f>AC25-Q25</f>
        <v>-330</v>
      </c>
      <c r="M7" s="341">
        <f>VLOOKUP(B2-1,'苏南 - 螺纹'!A3:AG100,33,0)</f>
        <v>1.1363109281461159</v>
      </c>
      <c r="N7" s="342" t="s">
        <v>19</v>
      </c>
      <c r="O7" s="313"/>
      <c r="R7">
        <v>-69</v>
      </c>
      <c r="S7">
        <v>-49</v>
      </c>
    </row>
    <row r="8" spans="1:19">
      <c r="A8" s="311"/>
      <c r="B8" s="312" t="s">
        <v>20</v>
      </c>
      <c r="C8" s="320">
        <f>VLOOKUP(B2,信息汇总!A5:AH330,16,0)</f>
        <v>1.2</v>
      </c>
      <c r="D8" s="313" t="s">
        <v>21</v>
      </c>
      <c r="E8" s="312"/>
      <c r="F8" s="312"/>
      <c r="G8" s="316"/>
      <c r="H8" s="316"/>
      <c r="I8" s="316"/>
      <c r="J8" s="316"/>
      <c r="K8" s="316"/>
      <c r="L8" s="312"/>
      <c r="N8" s="312"/>
      <c r="O8" s="313"/>
    </row>
    <row r="9" spans="1:19">
      <c r="A9" s="311"/>
      <c r="B9" s="312"/>
      <c r="C9" s="312"/>
      <c r="D9" s="313"/>
      <c r="E9" s="312"/>
      <c r="F9" s="344" t="s">
        <v>22</v>
      </c>
      <c r="G9" s="344"/>
      <c r="H9" s="344"/>
      <c r="I9" s="344"/>
      <c r="J9" s="344"/>
      <c r="K9" s="344"/>
      <c r="L9" s="312"/>
      <c r="N9" s="312"/>
      <c r="O9" s="313"/>
    </row>
    <row r="10" spans="1:19" ht="27.75">
      <c r="A10" s="311"/>
      <c r="B10" s="312" t="s">
        <v>23</v>
      </c>
      <c r="C10" s="321">
        <f>VLOOKUP($B$2-1,信息汇总!A4:AH45,15,0)/10000</f>
        <v>0.67040799999999867</v>
      </c>
      <c r="D10" s="313" t="s">
        <v>24</v>
      </c>
      <c r="E10" s="312"/>
      <c r="F10" s="315"/>
      <c r="G10" s="316" t="s">
        <v>3</v>
      </c>
      <c r="H10" s="317" t="s">
        <v>4</v>
      </c>
      <c r="I10" s="317" t="s">
        <v>5</v>
      </c>
      <c r="J10" s="317" t="s">
        <v>25</v>
      </c>
      <c r="K10" s="317"/>
      <c r="L10" s="317" t="s">
        <v>26</v>
      </c>
      <c r="M10" s="339" t="s">
        <v>8</v>
      </c>
      <c r="N10" s="340" t="s">
        <v>9</v>
      </c>
      <c r="O10" s="313"/>
    </row>
    <row r="11" spans="1:19">
      <c r="A11" s="311"/>
      <c r="B11" s="312" t="s">
        <v>27</v>
      </c>
      <c r="C11" s="322">
        <f>VLOOKUP($B$2-1,每日销量追踪!A4:CM300,15,0)/VLOOKUP($B$2-1,每日销量追踪!A4:CM300,79,0)</f>
        <v>1.1323220833333343</v>
      </c>
      <c r="D11" s="313" t="s">
        <v>28</v>
      </c>
      <c r="E11" s="312"/>
      <c r="F11" s="315" t="s">
        <v>13</v>
      </c>
      <c r="G11" s="318">
        <f>H11+$G$17</f>
        <v>5040</v>
      </c>
      <c r="H11" s="323">
        <f>Z26</f>
        <v>4830</v>
      </c>
      <c r="I11" s="323">
        <f>T26</f>
        <v>4901.1375235368796</v>
      </c>
      <c r="J11" s="319">
        <f>H11-I11</f>
        <v>-71.137523536879598</v>
      </c>
      <c r="K11" s="317"/>
      <c r="L11" s="317">
        <f>Z25-N25</f>
        <v>-200</v>
      </c>
      <c r="M11" s="341">
        <f>VLOOKUP(B2-1,'青岛 - 盘螺'!A3:AG100,33,0)</f>
        <v>1.7227504707375894</v>
      </c>
      <c r="N11" s="342" t="s">
        <v>14</v>
      </c>
      <c r="O11" s="313"/>
      <c r="R11">
        <v>-80</v>
      </c>
      <c r="S11">
        <v>-50</v>
      </c>
    </row>
    <row r="12" spans="1:19">
      <c r="A12" s="311"/>
      <c r="B12" s="312" t="s">
        <v>29</v>
      </c>
      <c r="C12" s="324">
        <f>(VLOOKUP($B$2,每日销量追踪!A4:CM300,80,0)+VLOOKUP($B$2,每日销量追踪!A4:CM300,81,0)+VLOOKUP($B$2,每日销量追踪!A4:CM300,82,0)+VLOOKUP($B$2,每日销量追踪!A4:CM300,83,0)+VLOOKUP($B$2,每日销量追踪!A4:CM300,84,0)+VLOOKUP($B$2,每日销量追踪!A4:CM300,85,0))/10000</f>
        <v>3.0240000000000005</v>
      </c>
      <c r="D12" s="313" t="s">
        <v>24</v>
      </c>
      <c r="E12" s="312"/>
      <c r="F12" s="315" t="s">
        <v>16</v>
      </c>
      <c r="G12" s="318">
        <f t="shared" ref="G12:G13" si="2">H12+$G$17</f>
        <v>5050</v>
      </c>
      <c r="H12" s="323">
        <f>AB26</f>
        <v>4840</v>
      </c>
      <c r="I12" s="323">
        <f>V26</f>
        <v>4874.4615765072285</v>
      </c>
      <c r="J12" s="319">
        <f t="shared" ref="J12:J13" si="3">H12-I12</f>
        <v>-34.461576507228528</v>
      </c>
      <c r="K12" s="317"/>
      <c r="L12" s="317">
        <f>AB25-P25</f>
        <v>20</v>
      </c>
      <c r="M12" s="341">
        <f>VLOOKUP(B2-1,'连云港 - 盘螺'!A3:AG100,33,0)</f>
        <v>1.7312315301445749</v>
      </c>
      <c r="N12" s="342" t="s">
        <v>30</v>
      </c>
      <c r="O12" s="313"/>
      <c r="R12">
        <v>1</v>
      </c>
      <c r="S12">
        <v>14</v>
      </c>
    </row>
    <row r="13" spans="1:19">
      <c r="A13" s="311"/>
      <c r="B13" s="312" t="s">
        <v>31</v>
      </c>
      <c r="C13" s="321">
        <f>VLOOKUP(B2-1,信息汇总!A5:AH330,14,0)</f>
        <v>2.72</v>
      </c>
      <c r="D13" s="313" t="s">
        <v>24</v>
      </c>
      <c r="E13" s="312"/>
      <c r="F13" s="315" t="s">
        <v>18</v>
      </c>
      <c r="G13" s="318">
        <f t="shared" si="2"/>
        <v>5070</v>
      </c>
      <c r="H13" s="323">
        <f>AD26</f>
        <v>4860</v>
      </c>
      <c r="I13" s="323">
        <f>X26</f>
        <v>4908.1264461475748</v>
      </c>
      <c r="J13" s="319">
        <f t="shared" si="3"/>
        <v>-48.126446147574825</v>
      </c>
      <c r="K13" s="317"/>
      <c r="L13" s="317">
        <f>AD25-R25</f>
        <v>-460</v>
      </c>
      <c r="M13" s="341">
        <f>VLOOKUP(B2-1,'苏南 - 盘螺'!A3:AG100,33,0)</f>
        <v>1.1365289229515014</v>
      </c>
      <c r="N13" s="342" t="s">
        <v>32</v>
      </c>
      <c r="O13" s="313"/>
      <c r="R13">
        <v>-343</v>
      </c>
      <c r="S13">
        <v>-325</v>
      </c>
    </row>
    <row r="14" spans="1:19">
      <c r="A14" s="325"/>
      <c r="B14" s="326"/>
      <c r="C14" s="326"/>
      <c r="D14" s="327"/>
      <c r="E14" s="326"/>
      <c r="F14" s="326"/>
      <c r="G14" s="328"/>
      <c r="H14" s="328"/>
      <c r="I14" s="328"/>
      <c r="J14" s="328"/>
      <c r="K14" s="328"/>
      <c r="L14" s="326"/>
      <c r="M14" s="343"/>
      <c r="N14" s="326"/>
      <c r="O14" s="327"/>
    </row>
    <row r="15" spans="1:19">
      <c r="C15" s="56"/>
    </row>
    <row r="17" spans="1:30">
      <c r="E17" s="329" t="s">
        <v>33</v>
      </c>
      <c r="G17" s="330">
        <v>210</v>
      </c>
      <c r="H17" s="331"/>
      <c r="I17" s="331"/>
    </row>
    <row r="18" spans="1:30">
      <c r="C18" s="48"/>
      <c r="F18" s="331"/>
      <c r="G18" s="331"/>
      <c r="H18" s="331"/>
      <c r="I18" s="331"/>
    </row>
    <row r="19" spans="1:30">
      <c r="C19" s="332"/>
      <c r="F19" s="331"/>
      <c r="G19" s="331"/>
      <c r="H19" s="331"/>
      <c r="I19" s="331"/>
    </row>
    <row r="20" spans="1:30">
      <c r="F20" s="331"/>
      <c r="G20" s="331"/>
      <c r="H20" s="331"/>
      <c r="I20" s="331"/>
    </row>
    <row r="21" spans="1:30">
      <c r="F21" s="331"/>
      <c r="G21" s="331"/>
      <c r="H21" s="331"/>
      <c r="I21" s="331"/>
    </row>
    <row r="23" spans="1:30">
      <c r="B23" s="264" t="s">
        <v>34</v>
      </c>
      <c r="C23" s="266"/>
      <c r="D23" s="266"/>
      <c r="E23" s="266"/>
      <c r="F23" s="267" t="s">
        <v>35</v>
      </c>
      <c r="G23" s="279"/>
      <c r="H23" s="280" t="s">
        <v>36</v>
      </c>
      <c r="I23" s="279"/>
      <c r="J23" s="267" t="s">
        <v>37</v>
      </c>
      <c r="K23" s="267"/>
      <c r="L23" s="281"/>
      <c r="M23" s="294" t="s">
        <v>38</v>
      </c>
      <c r="N23" s="295"/>
      <c r="O23" s="294"/>
      <c r="P23" s="295"/>
      <c r="Q23" s="294"/>
      <c r="R23" s="295"/>
      <c r="S23" s="3" t="s">
        <v>39</v>
      </c>
      <c r="T23" s="296"/>
      <c r="U23" s="3"/>
      <c r="V23" s="296"/>
      <c r="W23" s="3"/>
      <c r="X23" s="296"/>
      <c r="Y23" s="267" t="s">
        <v>40</v>
      </c>
      <c r="Z23" s="279"/>
      <c r="AA23" s="267"/>
      <c r="AB23" s="279"/>
      <c r="AC23" s="267"/>
      <c r="AD23" s="279"/>
    </row>
    <row r="24" spans="1:30">
      <c r="A24" s="268" t="s">
        <v>41</v>
      </c>
      <c r="B24" s="268" t="s">
        <v>42</v>
      </c>
      <c r="C24" s="269" t="s">
        <v>43</v>
      </c>
      <c r="D24" s="268" t="s">
        <v>44</v>
      </c>
      <c r="E24" s="268"/>
      <c r="F24" s="268" t="s">
        <v>45</v>
      </c>
      <c r="G24" s="268" t="s">
        <v>46</v>
      </c>
      <c r="H24" s="269" t="s">
        <v>45</v>
      </c>
      <c r="I24" s="268" t="s">
        <v>46</v>
      </c>
      <c r="J24" s="269" t="s">
        <v>45</v>
      </c>
      <c r="K24" s="269" t="s">
        <v>46</v>
      </c>
      <c r="L24" s="268"/>
      <c r="M24" s="269" t="s">
        <v>47</v>
      </c>
      <c r="N24" s="268" t="s">
        <v>48</v>
      </c>
      <c r="O24" s="269" t="s">
        <v>49</v>
      </c>
      <c r="P24" s="268" t="s">
        <v>50</v>
      </c>
      <c r="Q24" s="269" t="s">
        <v>51</v>
      </c>
      <c r="R24" s="268" t="s">
        <v>52</v>
      </c>
      <c r="S24" s="269" t="s">
        <v>53</v>
      </c>
      <c r="T24" s="268" t="s">
        <v>54</v>
      </c>
      <c r="U24" s="269" t="s">
        <v>55</v>
      </c>
      <c r="V24" s="268" t="s">
        <v>56</v>
      </c>
      <c r="W24" s="269" t="s">
        <v>57</v>
      </c>
      <c r="X24" s="268" t="s">
        <v>58</v>
      </c>
      <c r="Y24" s="269" t="s">
        <v>53</v>
      </c>
      <c r="Z24" s="268" t="s">
        <v>54</v>
      </c>
      <c r="AA24" s="269" t="s">
        <v>55</v>
      </c>
      <c r="AB24" s="268" t="s">
        <v>56</v>
      </c>
      <c r="AC24" s="269" t="s">
        <v>57</v>
      </c>
      <c r="AD24" s="268" t="s">
        <v>58</v>
      </c>
    </row>
    <row r="25" spans="1:30">
      <c r="A25" s="333">
        <f>A26-1</f>
        <v>44535</v>
      </c>
      <c r="B25">
        <f>VLOOKUP($A$25,信息汇总!$A$4:$AH$51,2,0)</f>
        <v>-19</v>
      </c>
      <c r="C25">
        <f>VLOOKUP($A$25,信息汇总!$A$4:$AH$51,3,0)</f>
        <v>4408</v>
      </c>
      <c r="D25">
        <f>VLOOKUP($A$25,信息汇总!$A$4:$AH$51,4,0)</f>
        <v>4427</v>
      </c>
      <c r="F25" s="48">
        <f>VLOOKUP($A$25,信息汇总!$A$4:$AH$51,8,0)</f>
        <v>2640.7780000000002</v>
      </c>
      <c r="G25" s="334">
        <f>VLOOKUP($A$25,信息汇总!$A$4:$AH$51,9,0)</f>
        <v>0</v>
      </c>
      <c r="H25" s="335">
        <f>VLOOKUP($A$25,信息汇总!$A$4:$AH$51,10,0)</f>
        <v>2036.5160000000001</v>
      </c>
      <c r="I25" s="334">
        <f>VLOOKUP($A$25,信息汇总!$A$4:$AH$51,11,0)</f>
        <v>0</v>
      </c>
      <c r="J25" s="335">
        <f>VLOOKUP($A$25,信息汇总!$A$4:$AH$51,12,0)</f>
        <v>569.45000000000005</v>
      </c>
      <c r="K25" s="334">
        <f>VLOOKUP($A$25,信息汇总!$A$4:$AH$51,13,0)</f>
        <v>0</v>
      </c>
      <c r="M25">
        <f>VLOOKUP($A$25,信息汇总!$A$4:$AH$51,17,0)</f>
        <v>4680</v>
      </c>
      <c r="N25">
        <f>VLOOKUP($A$25,信息汇总!$A$4:$AH$51,18,0)</f>
        <v>5030</v>
      </c>
      <c r="O25">
        <f>VLOOKUP($A$25,信息汇总!$A$4:$AH$51,19,0)</f>
        <v>4630</v>
      </c>
      <c r="P25">
        <f>VLOOKUP($A$25,信息汇总!$A$4:$AH$51,20,0)</f>
        <v>4820</v>
      </c>
      <c r="Q25">
        <f>VLOOKUP($A$25,信息汇总!$A$4:$AH$51,21,0)</f>
        <v>4970</v>
      </c>
      <c r="R25">
        <f>VLOOKUP($A$25,信息汇总!$A$4:$AH$51,22,0)</f>
        <v>5320</v>
      </c>
      <c r="S25">
        <f>VLOOKUP($A$25,信息汇总!$A$4:$AH$51,23,0)</f>
        <v>4569.7790966912871</v>
      </c>
      <c r="T25">
        <f>VLOOKUP($A$25,信息汇总!$A$4:$AH$51,24,0)</f>
        <v>4887.4147772044944</v>
      </c>
      <c r="U25">
        <f>VLOOKUP($A25,信息汇总!$A$4:$AH$51,25,0)</f>
        <v>4604.6673249736741</v>
      </c>
      <c r="V25">
        <f>VLOOKUP($A$25,信息汇总!$A$4:$AH$51,26,0)</f>
        <v>4864.3013895524764</v>
      </c>
      <c r="W25">
        <f>VLOOKUP($A$25,信息汇总!$A$4:$AH$51,27,0)</f>
        <v>4740.6529043973505</v>
      </c>
      <c r="X25">
        <f>VLOOKUP($A$25,信息汇总!$A$4:$AH$51,28,0)</f>
        <v>4916.2262914013809</v>
      </c>
      <c r="Y25">
        <f>VLOOKUP($A$25,信息汇总!$A$4:$AH$51,29,0)</f>
        <v>4600</v>
      </c>
      <c r="Z25">
        <f>VLOOKUP($A$25,信息汇总!$A$4:$AH$51,30,0)</f>
        <v>4830</v>
      </c>
      <c r="AA25">
        <f>VLOOKUP($A$25,信息汇总!$A$4:$AH$51,31,0)</f>
        <v>4610</v>
      </c>
      <c r="AB25">
        <f>VLOOKUP($A$25,信息汇总!$A$4:$AH$51,32,0)</f>
        <v>4840</v>
      </c>
      <c r="AC25">
        <f>VLOOKUP($A$25,信息汇总!$A$4:$AH$51,33,0)</f>
        <v>4640</v>
      </c>
      <c r="AD25">
        <f>VLOOKUP($A$25,信息汇总!$A$4:$AH$51,34,0)</f>
        <v>4860</v>
      </c>
    </row>
    <row r="26" spans="1:30">
      <c r="A26" s="2">
        <f>B2</f>
        <v>44536</v>
      </c>
      <c r="B26">
        <f>VLOOKUP($A$26,信息汇总!$A$4:$AH$51,2,0)</f>
        <v>0</v>
      </c>
      <c r="C26">
        <f>VLOOKUP($A$26,信息汇总!$A$4:$AH$51,3,0)</f>
        <v>4408</v>
      </c>
      <c r="D26">
        <f>VLOOKUP($A$26,信息汇总!$A$4:$AH$51,4,0)</f>
        <v>4408</v>
      </c>
      <c r="F26" s="48">
        <f>VLOOKUP($A$26,信息汇总!$A$4:$AH$51,8,0)</f>
        <v>0</v>
      </c>
      <c r="G26" s="334">
        <f>VLOOKUP($A$26,信息汇总!$A$4:$AH$51,9,0)</f>
        <v>0</v>
      </c>
      <c r="H26" s="335">
        <f>VLOOKUP($A$26,信息汇总!$A$4:$AH$51,10,0)</f>
        <v>0</v>
      </c>
      <c r="I26" s="334">
        <f>VLOOKUP($A$26,信息汇总!$A$4:$AH$51,11,0)</f>
        <v>0</v>
      </c>
      <c r="J26" s="335">
        <f>VLOOKUP($A$25,信息汇总!$A$4:$AH$51,12,0)</f>
        <v>569.45000000000005</v>
      </c>
      <c r="K26" s="334">
        <f>VLOOKUP($A$25,信息汇总!$A$4:$AH$51,13,0)</f>
        <v>0</v>
      </c>
      <c r="M26">
        <f>VLOOKUP($A$26,信息汇总!$A$4:$AH$51,17,0)</f>
        <v>4670</v>
      </c>
      <c r="N26">
        <f>VLOOKUP($A$26,信息汇总!$A$4:$AH$51,18,0)</f>
        <v>5020</v>
      </c>
      <c r="O26">
        <f>VLOOKUP($A$26,信息汇总!$A$4:$AH$51,19,0)</f>
        <v>4630</v>
      </c>
      <c r="P26">
        <f>VLOOKUP($A$26,信息汇总!$A$4:$AH$51,20,0)</f>
        <v>4820</v>
      </c>
      <c r="Q26">
        <f>VLOOKUP($A26,信息汇总!$A$4:$AH$51,21,0)</f>
        <v>4970</v>
      </c>
      <c r="R26">
        <f>VLOOKUP($A26,信息汇总!$A$4:$AH$51,22,0)</f>
        <v>5320</v>
      </c>
      <c r="S26">
        <f>VLOOKUP($A26,信息汇总!$A$4:$AH$51,23,0)</f>
        <v>4587.9987079736929</v>
      </c>
      <c r="T26">
        <f>VLOOKUP($A$26,信息汇总!$A$4:$AH$51,24,0)</f>
        <v>4901.1375235368796</v>
      </c>
      <c r="U26">
        <f>VLOOKUP($A26,信息汇总!$A$4:$AH$51,25,0)</f>
        <v>4621.4854312696907</v>
      </c>
      <c r="V26">
        <f>VLOOKUP($A26,信息汇总!$A$4:$AH$51,26,0)</f>
        <v>4874.4615765072285</v>
      </c>
      <c r="W26">
        <f>VLOOKUP($A26,信息汇总!$A$4:$AH$51,27,0)</f>
        <v>4738.1655464073056</v>
      </c>
      <c r="X26">
        <f>VLOOKUP($A26,信息汇总!$A$4:$AH$51,28,0)</f>
        <v>4908.1264461475748</v>
      </c>
      <c r="Y26">
        <f>VLOOKUP($A26,信息汇总!$A$4:$AH$51,29,0)</f>
        <v>4600</v>
      </c>
      <c r="Z26">
        <f>VLOOKUP($A26,信息汇总!$A$4:$AH$51,30,0)</f>
        <v>4830</v>
      </c>
      <c r="AA26">
        <f>VLOOKUP($A26,信息汇总!$A$4:$AH$51,31,0)</f>
        <v>4610</v>
      </c>
      <c r="AB26">
        <f>VLOOKUP($A26,信息汇总!$A$4:$AH$51,32,0)</f>
        <v>4840</v>
      </c>
      <c r="AC26">
        <f>VLOOKUP($A26,信息汇总!$A$4:$AH$51,33,0)</f>
        <v>4640</v>
      </c>
      <c r="AD26">
        <f>VLOOKUP($A26,信息汇总!$A$4:$AH$51,34,0)</f>
        <v>4860</v>
      </c>
    </row>
  </sheetData>
  <mergeCells count="2">
    <mergeCell ref="F3:K3"/>
    <mergeCell ref="F9:K9"/>
  </mergeCells>
  <phoneticPr fontId="16" type="noConversion"/>
  <conditionalFormatting sqref="L5">
    <cfRule type="cellIs" dxfId="34" priority="11" operator="greaterThan">
      <formula>$S$5</formula>
    </cfRule>
    <cfRule type="cellIs" dxfId="33" priority="12" operator="lessThan">
      <formula>$R$5</formula>
    </cfRule>
  </conditionalFormatting>
  <conditionalFormatting sqref="L6">
    <cfRule type="cellIs" dxfId="32" priority="9" operator="lessThan">
      <formula>$R$6</formula>
    </cfRule>
    <cfRule type="cellIs" dxfId="31" priority="10" operator="greaterThan">
      <formula>$S$6</formula>
    </cfRule>
  </conditionalFormatting>
  <conditionalFormatting sqref="L7">
    <cfRule type="cellIs" dxfId="30" priority="7" operator="lessThan">
      <formula>$R$7</formula>
    </cfRule>
    <cfRule type="cellIs" dxfId="29" priority="8" operator="greaterThan">
      <formula>$S$7</formula>
    </cfRule>
  </conditionalFormatting>
  <conditionalFormatting sqref="L11">
    <cfRule type="cellIs" dxfId="28" priority="5" operator="lessThan">
      <formula>$R$11</formula>
    </cfRule>
    <cfRule type="cellIs" dxfId="27" priority="6" operator="greaterThan">
      <formula>$S$11</formula>
    </cfRule>
  </conditionalFormatting>
  <conditionalFormatting sqref="L12">
    <cfRule type="cellIs" dxfId="26" priority="3" operator="lessThan">
      <formula>$R$12</formula>
    </cfRule>
    <cfRule type="cellIs" dxfId="25" priority="4" operator="greaterThan">
      <formula>$S$12</formula>
    </cfRule>
  </conditionalFormatting>
  <conditionalFormatting sqref="L13">
    <cfRule type="cellIs" dxfId="24" priority="1" operator="lessThan">
      <formula>$R$13</formula>
    </cfRule>
    <cfRule type="cellIs" dxfId="23" priority="2" operator="greaterThan">
      <formula>$S$13</formula>
    </cfRule>
  </conditionalFormatting>
  <conditionalFormatting sqref="J5:J7">
    <cfRule type="cellIs" dxfId="22" priority="14" operator="lessThan">
      <formula>0</formula>
    </cfRule>
  </conditionalFormatting>
  <conditionalFormatting sqref="J11:J13">
    <cfRule type="cellIs" dxfId="21" priority="13" operator="lessThan">
      <formula>0</formula>
    </cfRule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workbookViewId="0">
      <pane xSplit="1" ySplit="2" topLeftCell="B18" activePane="bottomRight" state="frozen"/>
      <selection pane="topRight"/>
      <selection pane="bottomLeft"/>
      <selection pane="bottomRight" activeCell="AR27" sqref="AR27"/>
    </sheetView>
  </sheetViews>
  <sheetFormatPr defaultColWidth="9" defaultRowHeight="14.25" outlineLevelCol="1"/>
  <cols>
    <col min="1" max="1" width="12.25" customWidth="1"/>
    <col min="2" max="2" width="10.125" customWidth="1"/>
    <col min="3" max="3" width="8.875" hidden="1" customWidth="1" outlineLevel="1"/>
    <col min="4" max="4" width="8.875" style="1" hidden="1" customWidth="1" outlineLevel="1"/>
    <col min="5" max="5" width="9.5" hidden="1" customWidth="1" outlineLevel="1"/>
    <col min="6" max="6" width="10.5" hidden="1" customWidth="1" outlineLevel="1"/>
    <col min="7" max="7" width="13.125" hidden="1" customWidth="1" outlineLevel="1"/>
    <col min="8" max="8" width="9.125" hidden="1" customWidth="1" outlineLevel="1"/>
    <col min="9" max="9" width="13.125" style="1" hidden="1" customWidth="1" outlineLevel="1"/>
    <col min="10" max="10" width="9.125" hidden="1" customWidth="1" outlineLevel="1"/>
    <col min="11" max="11" width="14.75" hidden="1" customWidth="1" outlineLevel="1"/>
    <col min="12" max="14" width="9.875" hidden="1" customWidth="1" outlineLevel="1"/>
    <col min="15" max="15" width="8.875" customWidth="1" collapsed="1"/>
    <col min="16" max="16" width="4.875" hidden="1" customWidth="1" outlineLevel="1"/>
    <col min="17" max="17" width="13.5" hidden="1" customWidth="1" outlineLevel="1"/>
    <col min="18" max="18" width="11" hidden="1" customWidth="1" outlineLevel="1"/>
    <col min="19" max="21" width="11.125" hidden="1" customWidth="1" outlineLevel="1"/>
    <col min="22" max="22" width="11.125" hidden="1" customWidth="1" collapsed="1"/>
    <col min="23" max="30" width="11.125" hidden="1" customWidth="1"/>
    <col min="31" max="31" width="11.125" hidden="1" customWidth="1" outlineLevel="1"/>
    <col min="32" max="33" width="10.125" hidden="1" customWidth="1" outlineLevel="1"/>
    <col min="34" max="34" width="11.125" hidden="1" customWidth="1" outlineLevel="1"/>
    <col min="35" max="35" width="9" collapsed="1"/>
  </cols>
  <sheetData>
    <row r="1" spans="1:34">
      <c r="A1" s="2">
        <f ca="1">TODAY()</f>
        <v>44536</v>
      </c>
      <c r="B1" s="3"/>
      <c r="O1" s="3"/>
      <c r="R1" s="3"/>
      <c r="S1" s="3"/>
      <c r="T1" s="3"/>
      <c r="U1" s="3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"/>
      <c r="AG1" s="3"/>
      <c r="AH1" s="3"/>
    </row>
    <row r="2" spans="1:34" ht="42" customHeight="1">
      <c r="A2" s="4" t="s">
        <v>41</v>
      </c>
      <c r="B2" s="4" t="s">
        <v>74</v>
      </c>
      <c r="C2" s="5" t="s">
        <v>75</v>
      </c>
      <c r="D2" s="6" t="s">
        <v>5</v>
      </c>
      <c r="E2" s="7" t="s">
        <v>76</v>
      </c>
      <c r="F2" s="7" t="s">
        <v>77</v>
      </c>
      <c r="G2" s="8" t="s">
        <v>78</v>
      </c>
      <c r="H2" s="9" t="s">
        <v>79</v>
      </c>
      <c r="I2" s="22" t="s">
        <v>80</v>
      </c>
      <c r="J2" s="23" t="s">
        <v>81</v>
      </c>
      <c r="K2" s="24" t="s">
        <v>82</v>
      </c>
      <c r="L2" s="8" t="s">
        <v>10</v>
      </c>
      <c r="M2" s="9" t="s">
        <v>11</v>
      </c>
      <c r="N2" s="9" t="s">
        <v>83</v>
      </c>
      <c r="O2" s="240" t="s">
        <v>109</v>
      </c>
      <c r="P2" s="9" t="s">
        <v>85</v>
      </c>
      <c r="Q2" s="9" t="s">
        <v>86</v>
      </c>
      <c r="R2" s="9" t="s">
        <v>87</v>
      </c>
      <c r="S2" s="32" t="s">
        <v>61</v>
      </c>
      <c r="T2" s="32" t="s">
        <v>62</v>
      </c>
      <c r="U2" s="32" t="s">
        <v>88</v>
      </c>
      <c r="V2" s="32" t="s">
        <v>89</v>
      </c>
      <c r="W2" s="32" t="s">
        <v>90</v>
      </c>
      <c r="X2" s="32" t="s">
        <v>91</v>
      </c>
      <c r="Y2" s="32" t="s">
        <v>92</v>
      </c>
      <c r="Z2" s="32" t="s">
        <v>93</v>
      </c>
      <c r="AA2" s="32" t="s">
        <v>94</v>
      </c>
      <c r="AB2" s="32" t="s">
        <v>95</v>
      </c>
      <c r="AC2" s="32" t="s">
        <v>96</v>
      </c>
      <c r="AD2" s="32" t="s">
        <v>97</v>
      </c>
      <c r="AE2" s="245" t="s">
        <v>110</v>
      </c>
      <c r="AF2" s="39" t="s">
        <v>103</v>
      </c>
      <c r="AG2" s="245" t="s">
        <v>100</v>
      </c>
      <c r="AH2" s="39" t="s">
        <v>104</v>
      </c>
    </row>
    <row r="3" spans="1:34">
      <c r="A3" s="10">
        <v>44501</v>
      </c>
      <c r="B3" s="11">
        <v>5440</v>
      </c>
      <c r="C3" s="12">
        <f t="shared" ref="C3:C41" si="0">H3*G3+J3*I3+K3</f>
        <v>-1923.3499999999997</v>
      </c>
      <c r="D3" s="12">
        <f>5190+C3</f>
        <v>3266.6500000000005</v>
      </c>
      <c r="E3" s="12"/>
      <c r="F3" s="13">
        <v>0</v>
      </c>
      <c r="G3" s="14">
        <f>IF((Q3-L3)&lt;0,-(Q3-L3)/2,IF((Q3-L3)&gt;0,-(Q3-M3)/2,0))+R3</f>
        <v>-2712.5</v>
      </c>
      <c r="H3" s="15">
        <v>0.7</v>
      </c>
      <c r="I3" s="15">
        <f>U3</f>
        <v>-82</v>
      </c>
      <c r="J3" s="25">
        <v>0.3</v>
      </c>
      <c r="K3" s="25"/>
      <c r="L3" s="26">
        <v>-342</v>
      </c>
      <c r="M3" s="26">
        <v>-325</v>
      </c>
      <c r="N3" s="27"/>
      <c r="O3" s="11"/>
      <c r="P3" s="11">
        <v>90</v>
      </c>
      <c r="Q3" s="33">
        <f>5190-(P3+O3)</f>
        <v>5100</v>
      </c>
      <c r="R3" s="35">
        <v>0</v>
      </c>
      <c r="S3" s="242">
        <f>'青岛 - 螺纹'!S3</f>
        <v>4630</v>
      </c>
      <c r="T3" s="36">
        <v>4712</v>
      </c>
      <c r="U3" s="15">
        <f>S3-T3</f>
        <v>-82</v>
      </c>
      <c r="V3" s="26">
        <v>565</v>
      </c>
      <c r="W3" s="26">
        <v>577.5</v>
      </c>
      <c r="X3" s="26">
        <f>V3-W3</f>
        <v>-12.5</v>
      </c>
      <c r="Y3" s="26">
        <v>3040</v>
      </c>
      <c r="Z3" s="26">
        <v>3041</v>
      </c>
      <c r="AA3" s="26">
        <f>Y3-Z3</f>
        <v>-1</v>
      </c>
      <c r="AB3" s="26"/>
      <c r="AC3" s="26"/>
      <c r="AD3" s="26">
        <f>AB3-AC3</f>
        <v>0</v>
      </c>
      <c r="AE3" s="246"/>
      <c r="AF3" s="246"/>
      <c r="AG3" s="246"/>
      <c r="AH3" s="249"/>
    </row>
    <row r="4" spans="1:34">
      <c r="A4" s="16">
        <f>A3+1</f>
        <v>44502</v>
      </c>
      <c r="B4" s="17">
        <v>5320</v>
      </c>
      <c r="C4" s="18">
        <f t="shared" si="0"/>
        <v>-2025.5499999999997</v>
      </c>
      <c r="D4" s="18">
        <f>B3+C4</f>
        <v>3414.4500000000003</v>
      </c>
      <c r="E4" s="18">
        <f t="shared" ref="E4:E41" si="1">D3</f>
        <v>3266.6500000000005</v>
      </c>
      <c r="F4" s="19">
        <v>0</v>
      </c>
      <c r="G4" s="14">
        <f>IF((Q4-L4)&lt;0,-(Q4-L4)/2,IF((Q4-L4)&gt;0,-(Q4-M4)/2,0))+R4</f>
        <v>-2837.5</v>
      </c>
      <c r="H4" s="20">
        <f>H3</f>
        <v>0.7</v>
      </c>
      <c r="I4" s="20">
        <f>U4</f>
        <v>-131</v>
      </c>
      <c r="J4" s="28">
        <f>J3</f>
        <v>0.3</v>
      </c>
      <c r="K4" s="28"/>
      <c r="L4" s="20">
        <f>L3</f>
        <v>-342</v>
      </c>
      <c r="M4" s="20">
        <f>M3</f>
        <v>-325</v>
      </c>
      <c r="N4" s="29"/>
      <c r="O4" s="17"/>
      <c r="P4" s="18">
        <f>P3</f>
        <v>90</v>
      </c>
      <c r="Q4" s="14">
        <f t="shared" ref="Q4:Q41" si="2">B3-(O3+P3)</f>
        <v>5350</v>
      </c>
      <c r="R4" s="37">
        <f>O4-O3</f>
        <v>0</v>
      </c>
      <c r="S4" s="243">
        <f>'青岛 - 螺纹'!S4</f>
        <v>4499</v>
      </c>
      <c r="T4" s="38">
        <f>S3</f>
        <v>4630</v>
      </c>
      <c r="U4" s="20">
        <f t="shared" ref="U4:U41" si="3">S4-T4</f>
        <v>-131</v>
      </c>
      <c r="V4" s="30"/>
      <c r="W4" s="30"/>
      <c r="X4" s="30">
        <f t="shared" ref="X4" si="4">V4-W4</f>
        <v>0</v>
      </c>
      <c r="Y4" s="30"/>
      <c r="Z4" s="30"/>
      <c r="AA4" s="30">
        <f t="shared" ref="AA4" si="5">Y4-Z4</f>
        <v>0</v>
      </c>
      <c r="AB4" s="30"/>
      <c r="AC4" s="30"/>
      <c r="AD4" s="30">
        <f t="shared" ref="AD4" si="6">AB4-AC4</f>
        <v>0</v>
      </c>
      <c r="AE4" s="247"/>
      <c r="AF4" s="247"/>
      <c r="AG4" s="247"/>
      <c r="AH4" s="250"/>
    </row>
    <row r="5" spans="1:34">
      <c r="A5" s="16">
        <f t="shared" ref="A5:A41" si="7">A4+1</f>
        <v>44503</v>
      </c>
      <c r="B5" s="17">
        <v>5200</v>
      </c>
      <c r="C5" s="18">
        <f t="shared" si="0"/>
        <v>-2018.9499999999998</v>
      </c>
      <c r="D5" s="18">
        <f t="shared" ref="D5:D41" si="8">B4+C5</f>
        <v>3301.05</v>
      </c>
      <c r="E5" s="18">
        <f t="shared" si="1"/>
        <v>3414.4500000000003</v>
      </c>
      <c r="F5" s="19" t="e">
        <f>AH4/AF4</f>
        <v>#DIV/0!</v>
      </c>
      <c r="G5" s="14">
        <f t="shared" ref="G5:G41" si="9">IF((Q5-L5)&lt;0,-(Q5-L5)/2,IF((Q5-L5)&gt;0,-(Q5-M5)/2,0))+R5</f>
        <v>-2777.5</v>
      </c>
      <c r="H5" s="20">
        <f t="shared" ref="H5:H41" si="10">H4</f>
        <v>0.7</v>
      </c>
      <c r="I5" s="20">
        <f t="shared" ref="I5:I41" si="11">U5</f>
        <v>-249</v>
      </c>
      <c r="J5" s="28">
        <f t="shared" ref="J5:J41" si="12">J4</f>
        <v>0.3</v>
      </c>
      <c r="K5" s="28"/>
      <c r="L5" s="20">
        <f t="shared" ref="L5:M20" si="13">L4</f>
        <v>-342</v>
      </c>
      <c r="M5" s="20">
        <f t="shared" si="13"/>
        <v>-325</v>
      </c>
      <c r="N5" s="29"/>
      <c r="O5" s="17"/>
      <c r="P5" s="18">
        <f t="shared" ref="P5:P41" si="14">P4</f>
        <v>90</v>
      </c>
      <c r="Q5" s="14">
        <f t="shared" si="2"/>
        <v>5230</v>
      </c>
      <c r="R5" s="37">
        <f t="shared" ref="R5:R41" si="15">O5-O4</f>
        <v>0</v>
      </c>
      <c r="S5" s="243">
        <f>'青岛 - 螺纹'!S5</f>
        <v>4250</v>
      </c>
      <c r="T5" s="38">
        <f t="shared" ref="T5:T41" si="16">S4</f>
        <v>4499</v>
      </c>
      <c r="U5" s="20">
        <f t="shared" si="3"/>
        <v>-249</v>
      </c>
      <c r="V5" s="30"/>
      <c r="W5" s="30"/>
      <c r="X5" s="30"/>
      <c r="Y5" s="30"/>
      <c r="Z5" s="30"/>
      <c r="AA5" s="30"/>
      <c r="AB5" s="30"/>
      <c r="AC5" s="30"/>
      <c r="AD5" s="30"/>
      <c r="AE5" s="247"/>
      <c r="AF5" s="247"/>
      <c r="AG5" s="247"/>
      <c r="AH5" s="250"/>
    </row>
    <row r="6" spans="1:34">
      <c r="A6" s="16">
        <f t="shared" si="7"/>
        <v>44504</v>
      </c>
      <c r="B6" s="17">
        <v>5200</v>
      </c>
      <c r="C6" s="18">
        <f t="shared" si="0"/>
        <v>-1857.8499999999997</v>
      </c>
      <c r="D6" s="18">
        <f t="shared" si="8"/>
        <v>3342.1500000000005</v>
      </c>
      <c r="E6" s="18">
        <f t="shared" si="1"/>
        <v>3301.05</v>
      </c>
      <c r="F6" s="19" t="e">
        <f>AH5/AF5</f>
        <v>#DIV/0!</v>
      </c>
      <c r="G6" s="14">
        <f t="shared" si="9"/>
        <v>-2717.5</v>
      </c>
      <c r="H6" s="20">
        <f t="shared" si="10"/>
        <v>0.7</v>
      </c>
      <c r="I6" s="20">
        <f t="shared" si="11"/>
        <v>148</v>
      </c>
      <c r="J6" s="28">
        <f t="shared" si="12"/>
        <v>0.3</v>
      </c>
      <c r="K6" s="28"/>
      <c r="L6" s="20">
        <f t="shared" si="13"/>
        <v>-342</v>
      </c>
      <c r="M6" s="20">
        <f t="shared" si="13"/>
        <v>-325</v>
      </c>
      <c r="N6" s="29"/>
      <c r="O6" s="17"/>
      <c r="P6" s="18">
        <f t="shared" si="14"/>
        <v>90</v>
      </c>
      <c r="Q6" s="14">
        <f t="shared" si="2"/>
        <v>5110</v>
      </c>
      <c r="R6" s="37">
        <f t="shared" si="15"/>
        <v>0</v>
      </c>
      <c r="S6" s="243">
        <f>'青岛 - 螺纹'!S6</f>
        <v>4398</v>
      </c>
      <c r="T6" s="38">
        <f t="shared" si="16"/>
        <v>4250</v>
      </c>
      <c r="U6" s="20">
        <f t="shared" si="3"/>
        <v>148</v>
      </c>
      <c r="V6" s="30"/>
      <c r="W6" s="30"/>
      <c r="X6" s="30"/>
      <c r="Y6" s="30"/>
      <c r="Z6" s="30"/>
      <c r="AA6" s="30"/>
      <c r="AB6" s="30"/>
      <c r="AC6" s="30"/>
      <c r="AD6" s="30"/>
      <c r="AE6" s="247"/>
      <c r="AF6" s="247"/>
      <c r="AG6" s="247"/>
      <c r="AH6" s="250"/>
    </row>
    <row r="7" spans="1:34">
      <c r="A7" s="16">
        <f t="shared" si="7"/>
        <v>44505</v>
      </c>
      <c r="B7" s="17">
        <v>5130</v>
      </c>
      <c r="C7" s="18">
        <f t="shared" si="0"/>
        <v>-1950.2499999999998</v>
      </c>
      <c r="D7" s="18">
        <f t="shared" si="8"/>
        <v>3249.75</v>
      </c>
      <c r="E7" s="18">
        <f t="shared" si="1"/>
        <v>3342.1500000000005</v>
      </c>
      <c r="F7" s="19" t="e">
        <f>AH6/AF6</f>
        <v>#DIV/0!</v>
      </c>
      <c r="G7" s="14">
        <f t="shared" si="9"/>
        <v>-2717.5</v>
      </c>
      <c r="H7" s="20">
        <f t="shared" si="10"/>
        <v>0.7</v>
      </c>
      <c r="I7" s="20">
        <f t="shared" si="11"/>
        <v>-160</v>
      </c>
      <c r="J7" s="28">
        <f t="shared" si="12"/>
        <v>0.3</v>
      </c>
      <c r="K7" s="28"/>
      <c r="L7" s="20">
        <f t="shared" si="13"/>
        <v>-342</v>
      </c>
      <c r="M7" s="20">
        <f t="shared" si="13"/>
        <v>-325</v>
      </c>
      <c r="N7" s="29"/>
      <c r="O7" s="17"/>
      <c r="P7" s="18">
        <f t="shared" si="14"/>
        <v>90</v>
      </c>
      <c r="Q7" s="14">
        <f t="shared" si="2"/>
        <v>5110</v>
      </c>
      <c r="R7" s="37">
        <f t="shared" si="15"/>
        <v>0</v>
      </c>
      <c r="S7" s="243">
        <f>'青岛 - 螺纹'!S7</f>
        <v>4238</v>
      </c>
      <c r="T7" s="38">
        <f t="shared" si="16"/>
        <v>4398</v>
      </c>
      <c r="U7" s="20">
        <f t="shared" si="3"/>
        <v>-160</v>
      </c>
      <c r="V7" s="30"/>
      <c r="W7" s="30"/>
      <c r="X7" s="30"/>
      <c r="Y7" s="30"/>
      <c r="Z7" s="30"/>
      <c r="AA7" s="30"/>
      <c r="AB7" s="30"/>
      <c r="AC7" s="30"/>
      <c r="AD7" s="30"/>
      <c r="AE7" s="247"/>
      <c r="AF7" s="247"/>
      <c r="AG7" s="247"/>
      <c r="AH7" s="250"/>
    </row>
    <row r="8" spans="1:34">
      <c r="A8" s="16">
        <f t="shared" si="7"/>
        <v>44506</v>
      </c>
      <c r="B8" s="17">
        <v>5130</v>
      </c>
      <c r="C8" s="18">
        <f t="shared" si="0"/>
        <v>-1877.7499999999998</v>
      </c>
      <c r="D8" s="18">
        <f t="shared" si="8"/>
        <v>3252.25</v>
      </c>
      <c r="E8" s="18">
        <f t="shared" si="1"/>
        <v>3249.75</v>
      </c>
      <c r="F8" s="19" t="e">
        <f>AH7/AF7</f>
        <v>#DIV/0!</v>
      </c>
      <c r="G8" s="14">
        <f t="shared" si="9"/>
        <v>-2682.5</v>
      </c>
      <c r="H8" s="20">
        <f t="shared" si="10"/>
        <v>0.7</v>
      </c>
      <c r="I8" s="20">
        <f t="shared" si="11"/>
        <v>0</v>
      </c>
      <c r="J8" s="28">
        <f t="shared" si="12"/>
        <v>0.3</v>
      </c>
      <c r="K8" s="28"/>
      <c r="L8" s="20">
        <f t="shared" si="13"/>
        <v>-342</v>
      </c>
      <c r="M8" s="20">
        <f t="shared" si="13"/>
        <v>-325</v>
      </c>
      <c r="N8" s="29"/>
      <c r="O8" s="17"/>
      <c r="P8" s="18">
        <f t="shared" si="14"/>
        <v>90</v>
      </c>
      <c r="Q8" s="14">
        <f t="shared" si="2"/>
        <v>5040</v>
      </c>
      <c r="R8" s="37">
        <f t="shared" si="15"/>
        <v>0</v>
      </c>
      <c r="S8" s="243">
        <f>'青岛 - 螺纹'!S8</f>
        <v>4238</v>
      </c>
      <c r="T8" s="38">
        <f t="shared" si="16"/>
        <v>4238</v>
      </c>
      <c r="U8" s="20">
        <f t="shared" si="3"/>
        <v>0</v>
      </c>
      <c r="V8" s="30"/>
      <c r="W8" s="30"/>
      <c r="X8" s="30"/>
      <c r="Y8" s="30"/>
      <c r="Z8" s="30"/>
      <c r="AA8" s="30"/>
      <c r="AB8" s="30"/>
      <c r="AC8" s="30"/>
      <c r="AD8" s="30"/>
      <c r="AE8" s="247"/>
      <c r="AF8" s="247"/>
      <c r="AG8" s="247"/>
      <c r="AH8" s="250"/>
    </row>
    <row r="9" spans="1:34">
      <c r="A9" s="16">
        <f t="shared" si="7"/>
        <v>44507</v>
      </c>
      <c r="B9" s="17">
        <v>5150</v>
      </c>
      <c r="C9" s="18">
        <f t="shared" si="0"/>
        <v>-1877.7499999999998</v>
      </c>
      <c r="D9" s="18">
        <f t="shared" si="8"/>
        <v>3252.25</v>
      </c>
      <c r="E9" s="18">
        <f t="shared" si="1"/>
        <v>3252.25</v>
      </c>
      <c r="F9" s="19">
        <v>1</v>
      </c>
      <c r="G9" s="14">
        <f t="shared" si="9"/>
        <v>-2682.5</v>
      </c>
      <c r="H9" s="20">
        <f t="shared" si="10"/>
        <v>0.7</v>
      </c>
      <c r="I9" s="20">
        <f t="shared" si="11"/>
        <v>0</v>
      </c>
      <c r="J9" s="28">
        <f t="shared" si="12"/>
        <v>0.3</v>
      </c>
      <c r="K9" s="28"/>
      <c r="L9" s="20">
        <f t="shared" si="13"/>
        <v>-342</v>
      </c>
      <c r="M9" s="20">
        <f t="shared" si="13"/>
        <v>-325</v>
      </c>
      <c r="N9" s="29"/>
      <c r="O9" s="17"/>
      <c r="P9" s="18">
        <f t="shared" si="14"/>
        <v>90</v>
      </c>
      <c r="Q9" s="14">
        <f t="shared" si="2"/>
        <v>5040</v>
      </c>
      <c r="R9" s="244">
        <f t="shared" si="15"/>
        <v>0</v>
      </c>
      <c r="S9" s="243">
        <f>'青岛 - 螺纹'!S9</f>
        <v>4238</v>
      </c>
      <c r="T9" s="38">
        <f t="shared" si="16"/>
        <v>4238</v>
      </c>
      <c r="U9" s="20">
        <f t="shared" si="3"/>
        <v>0</v>
      </c>
      <c r="V9" s="30"/>
      <c r="W9" s="30"/>
      <c r="X9" s="30"/>
      <c r="Y9" s="30"/>
      <c r="Z9" s="30"/>
      <c r="AA9" s="30"/>
      <c r="AB9" s="30"/>
      <c r="AC9" s="30"/>
      <c r="AD9" s="30"/>
      <c r="AE9" s="247"/>
      <c r="AF9" s="247"/>
      <c r="AG9" s="247"/>
      <c r="AH9" s="250"/>
    </row>
    <row r="10" spans="1:34">
      <c r="A10" s="16">
        <f t="shared" si="7"/>
        <v>44508</v>
      </c>
      <c r="B10" s="17">
        <v>5100</v>
      </c>
      <c r="C10" s="18">
        <f t="shared" si="0"/>
        <v>-1879.6499999999999</v>
      </c>
      <c r="D10" s="18">
        <f t="shared" si="8"/>
        <v>3270.3500000000004</v>
      </c>
      <c r="E10" s="18">
        <f t="shared" si="1"/>
        <v>3252.25</v>
      </c>
      <c r="F10" s="19" t="e">
        <f t="shared" ref="F10:F41" si="17">AH9/AF9</f>
        <v>#DIV/0!</v>
      </c>
      <c r="G10" s="14">
        <f t="shared" si="9"/>
        <v>-2692.5</v>
      </c>
      <c r="H10" s="20">
        <f t="shared" si="10"/>
        <v>0.7</v>
      </c>
      <c r="I10" s="20">
        <f t="shared" si="11"/>
        <v>17</v>
      </c>
      <c r="J10" s="28">
        <f t="shared" si="12"/>
        <v>0.3</v>
      </c>
      <c r="K10" s="28"/>
      <c r="L10" s="20">
        <f t="shared" si="13"/>
        <v>-342</v>
      </c>
      <c r="M10" s="20">
        <f t="shared" si="13"/>
        <v>-325</v>
      </c>
      <c r="N10" s="29"/>
      <c r="O10" s="17"/>
      <c r="P10" s="18">
        <f t="shared" si="14"/>
        <v>90</v>
      </c>
      <c r="Q10" s="14">
        <f t="shared" si="2"/>
        <v>5060</v>
      </c>
      <c r="R10" s="244">
        <f t="shared" si="15"/>
        <v>0</v>
      </c>
      <c r="S10" s="243">
        <f>'青岛 - 螺纹'!S10</f>
        <v>4255</v>
      </c>
      <c r="T10" s="38">
        <f t="shared" si="16"/>
        <v>4238</v>
      </c>
      <c r="U10" s="20">
        <f t="shared" si="3"/>
        <v>17</v>
      </c>
      <c r="V10" s="30"/>
      <c r="W10" s="30"/>
      <c r="X10" s="30"/>
      <c r="Y10" s="30"/>
      <c r="Z10" s="30"/>
      <c r="AA10" s="30"/>
      <c r="AB10" s="30"/>
      <c r="AC10" s="30"/>
      <c r="AD10" s="30"/>
      <c r="AE10" s="247"/>
      <c r="AF10" s="248"/>
      <c r="AG10" s="248"/>
      <c r="AH10" s="250"/>
    </row>
    <row r="11" spans="1:34">
      <c r="A11" s="16">
        <f t="shared" si="7"/>
        <v>44509</v>
      </c>
      <c r="B11" s="17"/>
      <c r="C11" s="18">
        <f t="shared" si="0"/>
        <v>-1867.2499999999998</v>
      </c>
      <c r="D11" s="18">
        <f t="shared" si="8"/>
        <v>3232.75</v>
      </c>
      <c r="E11" s="18">
        <f t="shared" si="1"/>
        <v>3270.3500000000004</v>
      </c>
      <c r="F11" s="19" t="e">
        <f t="shared" si="17"/>
        <v>#DIV/0!</v>
      </c>
      <c r="G11" s="14">
        <f t="shared" si="9"/>
        <v>-2667.5</v>
      </c>
      <c r="H11" s="20">
        <f t="shared" si="10"/>
        <v>0.7</v>
      </c>
      <c r="I11" s="20">
        <f t="shared" si="11"/>
        <v>0</v>
      </c>
      <c r="J11" s="28">
        <f t="shared" si="12"/>
        <v>0.3</v>
      </c>
      <c r="K11" s="28"/>
      <c r="L11" s="20">
        <f t="shared" si="13"/>
        <v>-342</v>
      </c>
      <c r="M11" s="20">
        <f t="shared" si="13"/>
        <v>-325</v>
      </c>
      <c r="N11" s="29"/>
      <c r="O11" s="17"/>
      <c r="P11" s="18">
        <f t="shared" si="14"/>
        <v>90</v>
      </c>
      <c r="Q11" s="14">
        <f t="shared" si="2"/>
        <v>5010</v>
      </c>
      <c r="R11" s="244">
        <f t="shared" si="15"/>
        <v>0</v>
      </c>
      <c r="S11" s="243">
        <f>'青岛 - 螺纹'!S11</f>
        <v>4255</v>
      </c>
      <c r="T11" s="38">
        <f t="shared" si="16"/>
        <v>4255</v>
      </c>
      <c r="U11" s="20">
        <f t="shared" si="3"/>
        <v>0</v>
      </c>
      <c r="V11" s="30"/>
      <c r="W11" s="30"/>
      <c r="X11" s="30"/>
      <c r="Y11" s="30"/>
      <c r="Z11" s="30"/>
      <c r="AA11" s="30"/>
      <c r="AB11" s="30"/>
      <c r="AC11" s="30"/>
      <c r="AD11" s="30"/>
      <c r="AE11" s="247"/>
      <c r="AF11" s="248"/>
      <c r="AG11" s="248"/>
      <c r="AH11" s="250"/>
    </row>
    <row r="12" spans="1:34">
      <c r="A12" s="16">
        <f t="shared" si="7"/>
        <v>44510</v>
      </c>
      <c r="B12" s="17"/>
      <c r="C12" s="18">
        <f t="shared" si="0"/>
        <v>-71.75</v>
      </c>
      <c r="D12" s="18">
        <f t="shared" si="8"/>
        <v>-71.75</v>
      </c>
      <c r="E12" s="18">
        <f t="shared" si="1"/>
        <v>3232.75</v>
      </c>
      <c r="F12" s="19" t="e">
        <f t="shared" si="17"/>
        <v>#DIV/0!</v>
      </c>
      <c r="G12" s="14">
        <f t="shared" si="9"/>
        <v>-117.5</v>
      </c>
      <c r="H12" s="20">
        <f t="shared" si="10"/>
        <v>0.7</v>
      </c>
      <c r="I12" s="20">
        <f t="shared" si="11"/>
        <v>35</v>
      </c>
      <c r="J12" s="28">
        <f t="shared" si="12"/>
        <v>0.3</v>
      </c>
      <c r="K12" s="28"/>
      <c r="L12" s="20">
        <f t="shared" si="13"/>
        <v>-342</v>
      </c>
      <c r="M12" s="20">
        <f t="shared" si="13"/>
        <v>-325</v>
      </c>
      <c r="N12" s="29"/>
      <c r="O12" s="17"/>
      <c r="P12" s="18">
        <f t="shared" si="14"/>
        <v>90</v>
      </c>
      <c r="Q12" s="14">
        <f t="shared" si="2"/>
        <v>-90</v>
      </c>
      <c r="R12" s="244">
        <f t="shared" si="15"/>
        <v>0</v>
      </c>
      <c r="S12" s="243">
        <f>'青岛 - 螺纹'!S12</f>
        <v>4290</v>
      </c>
      <c r="T12" s="38">
        <f t="shared" si="16"/>
        <v>4255</v>
      </c>
      <c r="U12" s="20">
        <f t="shared" si="3"/>
        <v>35</v>
      </c>
      <c r="V12" s="30"/>
      <c r="W12" s="30"/>
      <c r="X12" s="30"/>
      <c r="Y12" s="30"/>
      <c r="Z12" s="30"/>
      <c r="AA12" s="30"/>
      <c r="AB12" s="30"/>
      <c r="AC12" s="30"/>
      <c r="AD12" s="30"/>
      <c r="AE12" s="247"/>
      <c r="AF12" s="248"/>
      <c r="AG12" s="248"/>
      <c r="AH12" s="250"/>
    </row>
    <row r="13" spans="1:34">
      <c r="A13" s="16">
        <f t="shared" si="7"/>
        <v>44511</v>
      </c>
      <c r="B13" s="17"/>
      <c r="C13" s="18">
        <f t="shared" si="0"/>
        <v>-103.55</v>
      </c>
      <c r="D13" s="18">
        <f t="shared" si="8"/>
        <v>-103.55</v>
      </c>
      <c r="E13" s="18">
        <f t="shared" si="1"/>
        <v>-71.75</v>
      </c>
      <c r="F13" s="19" t="e">
        <f t="shared" si="17"/>
        <v>#DIV/0!</v>
      </c>
      <c r="G13" s="14">
        <f t="shared" si="9"/>
        <v>-117.5</v>
      </c>
      <c r="H13" s="20">
        <f t="shared" si="10"/>
        <v>0.7</v>
      </c>
      <c r="I13" s="20">
        <f t="shared" si="11"/>
        <v>-71</v>
      </c>
      <c r="J13" s="28">
        <f t="shared" si="12"/>
        <v>0.3</v>
      </c>
      <c r="K13" s="28"/>
      <c r="L13" s="20">
        <f t="shared" si="13"/>
        <v>-342</v>
      </c>
      <c r="M13" s="20">
        <f t="shared" si="13"/>
        <v>-325</v>
      </c>
      <c r="N13" s="29"/>
      <c r="O13" s="17"/>
      <c r="P13" s="18">
        <f t="shared" si="14"/>
        <v>90</v>
      </c>
      <c r="Q13" s="14">
        <f t="shared" si="2"/>
        <v>-90</v>
      </c>
      <c r="R13" s="244">
        <f t="shared" si="15"/>
        <v>0</v>
      </c>
      <c r="S13" s="243">
        <f>'青岛 - 螺纹'!S13</f>
        <v>4219</v>
      </c>
      <c r="T13" s="38">
        <f t="shared" si="16"/>
        <v>4290</v>
      </c>
      <c r="U13" s="20">
        <f t="shared" si="3"/>
        <v>-71</v>
      </c>
      <c r="V13" s="30"/>
      <c r="W13" s="30"/>
      <c r="X13" s="30"/>
      <c r="Y13" s="30"/>
      <c r="Z13" s="30"/>
      <c r="AA13" s="30"/>
      <c r="AB13" s="30"/>
      <c r="AC13" s="30"/>
      <c r="AD13" s="30"/>
      <c r="AE13" s="247"/>
      <c r="AF13" s="248"/>
      <c r="AG13" s="248"/>
      <c r="AH13" s="250"/>
    </row>
    <row r="14" spans="1:34">
      <c r="A14" s="16">
        <f t="shared" si="7"/>
        <v>44512</v>
      </c>
      <c r="B14" s="17"/>
      <c r="C14" s="18">
        <f t="shared" si="0"/>
        <v>-20.450000000000003</v>
      </c>
      <c r="D14" s="18">
        <f t="shared" si="8"/>
        <v>-20.450000000000003</v>
      </c>
      <c r="E14" s="18">
        <f t="shared" si="1"/>
        <v>-103.55</v>
      </c>
      <c r="F14" s="19" t="e">
        <f t="shared" si="17"/>
        <v>#DIV/0!</v>
      </c>
      <c r="G14" s="14">
        <f t="shared" si="9"/>
        <v>-117.5</v>
      </c>
      <c r="H14" s="20">
        <f t="shared" si="10"/>
        <v>0.7</v>
      </c>
      <c r="I14" s="20">
        <f t="shared" si="11"/>
        <v>206</v>
      </c>
      <c r="J14" s="28">
        <f t="shared" si="12"/>
        <v>0.3</v>
      </c>
      <c r="K14" s="28"/>
      <c r="L14" s="20">
        <f t="shared" si="13"/>
        <v>-342</v>
      </c>
      <c r="M14" s="20">
        <f t="shared" si="13"/>
        <v>-325</v>
      </c>
      <c r="N14" s="29"/>
      <c r="O14" s="17"/>
      <c r="P14" s="18">
        <f t="shared" si="14"/>
        <v>90</v>
      </c>
      <c r="Q14" s="14">
        <f t="shared" si="2"/>
        <v>-90</v>
      </c>
      <c r="R14" s="244">
        <f t="shared" si="15"/>
        <v>0</v>
      </c>
      <c r="S14" s="243">
        <f>'青岛 - 螺纹'!S14</f>
        <v>4425</v>
      </c>
      <c r="T14" s="38">
        <f t="shared" si="16"/>
        <v>4219</v>
      </c>
      <c r="U14" s="20">
        <f t="shared" si="3"/>
        <v>206</v>
      </c>
      <c r="V14" s="30"/>
      <c r="W14" s="30"/>
      <c r="X14" s="30"/>
      <c r="Y14" s="30"/>
      <c r="Z14" s="30"/>
      <c r="AA14" s="30"/>
      <c r="AB14" s="30"/>
      <c r="AC14" s="30"/>
      <c r="AD14" s="30"/>
      <c r="AE14" s="247"/>
      <c r="AF14" s="248"/>
      <c r="AG14" s="248"/>
      <c r="AH14" s="243">
        <v>75</v>
      </c>
    </row>
    <row r="15" spans="1:34">
      <c r="A15" s="16">
        <f t="shared" si="7"/>
        <v>44513</v>
      </c>
      <c r="B15" s="17"/>
      <c r="C15" s="18">
        <f t="shared" si="0"/>
        <v>2125.25</v>
      </c>
      <c r="D15" s="18">
        <f t="shared" si="8"/>
        <v>2125.25</v>
      </c>
      <c r="E15" s="18">
        <f t="shared" si="1"/>
        <v>-20.450000000000003</v>
      </c>
      <c r="F15" s="19" t="e">
        <f t="shared" si="17"/>
        <v>#DIV/0!</v>
      </c>
      <c r="G15" s="14">
        <f t="shared" si="9"/>
        <v>4932.5</v>
      </c>
      <c r="H15" s="20">
        <f t="shared" si="10"/>
        <v>0.7</v>
      </c>
      <c r="I15" s="20">
        <f t="shared" si="11"/>
        <v>-4425</v>
      </c>
      <c r="J15" s="28">
        <f t="shared" si="12"/>
        <v>0.3</v>
      </c>
      <c r="K15" s="241"/>
      <c r="L15" s="20">
        <f t="shared" si="13"/>
        <v>-342</v>
      </c>
      <c r="M15" s="20">
        <f t="shared" si="13"/>
        <v>-325</v>
      </c>
      <c r="N15" s="29"/>
      <c r="O15" s="239">
        <f>4700+350</f>
        <v>5050</v>
      </c>
      <c r="P15" s="18">
        <f t="shared" si="14"/>
        <v>90</v>
      </c>
      <c r="Q15" s="14">
        <f t="shared" si="2"/>
        <v>-90</v>
      </c>
      <c r="R15" s="244">
        <f t="shared" si="15"/>
        <v>5050</v>
      </c>
      <c r="S15" s="243">
        <f>'青岛 - 螺纹'!S15</f>
        <v>0</v>
      </c>
      <c r="T15" s="38">
        <f t="shared" si="16"/>
        <v>4425</v>
      </c>
      <c r="U15" s="20">
        <f t="shared" si="3"/>
        <v>-4425</v>
      </c>
      <c r="V15" s="30"/>
      <c r="W15" s="30"/>
      <c r="X15" s="30"/>
      <c r="Y15" s="30"/>
      <c r="Z15" s="30"/>
      <c r="AA15" s="30"/>
      <c r="AB15" s="30"/>
      <c r="AC15" s="30"/>
      <c r="AD15" s="30"/>
      <c r="AE15" s="247"/>
      <c r="AF15" s="248"/>
      <c r="AG15" s="251"/>
      <c r="AH15" s="243">
        <v>75</v>
      </c>
    </row>
    <row r="16" spans="1:34">
      <c r="A16" s="16">
        <f t="shared" si="7"/>
        <v>44514</v>
      </c>
      <c r="B16" s="17">
        <v>4900</v>
      </c>
      <c r="C16" s="18">
        <f t="shared" si="0"/>
        <v>3006.8</v>
      </c>
      <c r="D16" s="18">
        <f t="shared" si="8"/>
        <v>3006.8</v>
      </c>
      <c r="E16" s="18">
        <f t="shared" si="1"/>
        <v>2125.25</v>
      </c>
      <c r="F16" s="19" t="e">
        <f t="shared" si="17"/>
        <v>#DIV/0!</v>
      </c>
      <c r="G16" s="14">
        <f t="shared" si="9"/>
        <v>2399</v>
      </c>
      <c r="H16" s="20">
        <f t="shared" si="10"/>
        <v>0.7</v>
      </c>
      <c r="I16" s="20">
        <f t="shared" si="11"/>
        <v>4425</v>
      </c>
      <c r="J16" s="28">
        <f t="shared" si="12"/>
        <v>0.3</v>
      </c>
      <c r="K16" s="241"/>
      <c r="L16" s="20">
        <f t="shared" si="13"/>
        <v>-342</v>
      </c>
      <c r="M16" s="20">
        <f t="shared" si="13"/>
        <v>-325</v>
      </c>
      <c r="N16" s="29"/>
      <c r="O16" s="239">
        <f>4700+350</f>
        <v>5050</v>
      </c>
      <c r="P16" s="18">
        <f t="shared" si="14"/>
        <v>90</v>
      </c>
      <c r="Q16" s="14">
        <f t="shared" si="2"/>
        <v>-5140</v>
      </c>
      <c r="R16" s="244">
        <f t="shared" si="15"/>
        <v>0</v>
      </c>
      <c r="S16" s="243">
        <f>'青岛 - 螺纹'!S16</f>
        <v>4425</v>
      </c>
      <c r="T16" s="38">
        <f t="shared" si="16"/>
        <v>0</v>
      </c>
      <c r="U16" s="20">
        <f t="shared" si="3"/>
        <v>4425</v>
      </c>
      <c r="V16" s="30"/>
      <c r="W16" s="30"/>
      <c r="X16" s="30"/>
      <c r="Y16" s="30"/>
      <c r="Z16" s="30"/>
      <c r="AA16" s="30"/>
      <c r="AB16" s="30"/>
      <c r="AC16" s="30"/>
      <c r="AD16" s="30"/>
      <c r="AE16" s="247"/>
      <c r="AF16" s="248"/>
      <c r="AG16" s="251"/>
      <c r="AH16" s="243">
        <v>75</v>
      </c>
    </row>
    <row r="17" spans="1:34">
      <c r="A17" s="16">
        <f t="shared" si="7"/>
        <v>44515</v>
      </c>
      <c r="B17" s="17">
        <v>4870</v>
      </c>
      <c r="C17" s="18">
        <f t="shared" si="0"/>
        <v>-176.75</v>
      </c>
      <c r="D17" s="18">
        <f t="shared" si="8"/>
        <v>4723.25</v>
      </c>
      <c r="E17" s="18">
        <f t="shared" si="1"/>
        <v>3006.8</v>
      </c>
      <c r="F17" s="19" t="e">
        <f t="shared" si="17"/>
        <v>#DIV/0!</v>
      </c>
      <c r="G17" s="14">
        <f t="shared" si="9"/>
        <v>-82.5</v>
      </c>
      <c r="H17" s="20">
        <f t="shared" si="10"/>
        <v>0.7</v>
      </c>
      <c r="I17" s="20">
        <f t="shared" si="11"/>
        <v>-230</v>
      </c>
      <c r="J17" s="28">
        <f t="shared" si="12"/>
        <v>0.3</v>
      </c>
      <c r="K17" s="241">
        <f>MIN(MAX((AG16-100%)*50,-50),50)</f>
        <v>-50</v>
      </c>
      <c r="L17" s="20">
        <f t="shared" si="13"/>
        <v>-342</v>
      </c>
      <c r="M17" s="20">
        <f t="shared" si="13"/>
        <v>-325</v>
      </c>
      <c r="N17" s="29"/>
      <c r="O17" s="239">
        <v>5010</v>
      </c>
      <c r="P17" s="18">
        <f t="shared" si="14"/>
        <v>90</v>
      </c>
      <c r="Q17" s="14">
        <f t="shared" si="2"/>
        <v>-240</v>
      </c>
      <c r="R17" s="244">
        <f t="shared" si="15"/>
        <v>-40</v>
      </c>
      <c r="S17" s="243">
        <f>'青岛 - 螺纹'!S17</f>
        <v>4195</v>
      </c>
      <c r="T17" s="38">
        <f t="shared" si="16"/>
        <v>4425</v>
      </c>
      <c r="U17" s="20">
        <f t="shared" si="3"/>
        <v>-230</v>
      </c>
      <c r="V17" s="30"/>
      <c r="W17" s="30"/>
      <c r="X17" s="30"/>
      <c r="Y17" s="30"/>
      <c r="Z17" s="30"/>
      <c r="AA17" s="30"/>
      <c r="AB17" s="30"/>
      <c r="AC17" s="30"/>
      <c r="AD17" s="30"/>
      <c r="AE17" s="248">
        <f>VLOOKUP($A17,每日销量追踪!$A$3:$CM$75,11,0)</f>
        <v>798.72</v>
      </c>
      <c r="AF17" s="248">
        <f>VLOOKUP($A17,每日销量追踪!$A$3:$CM$75,57,0)</f>
        <v>2753.1000000000054</v>
      </c>
      <c r="AG17" s="251">
        <f>VLOOKUP($A17,每日销量追踪!$A$3:$CM$75,69,0)</f>
        <v>0.29011659583741906</v>
      </c>
      <c r="AH17" s="243">
        <v>75</v>
      </c>
    </row>
    <row r="18" spans="1:34">
      <c r="A18" s="16">
        <f t="shared" si="7"/>
        <v>44516</v>
      </c>
      <c r="B18" s="17">
        <f>5050-180</f>
        <v>4870</v>
      </c>
      <c r="C18" s="18">
        <f t="shared" si="0"/>
        <v>-81.344170208129043</v>
      </c>
      <c r="D18" s="18">
        <f t="shared" si="8"/>
        <v>4788.6558297918709</v>
      </c>
      <c r="E18" s="18">
        <f t="shared" si="1"/>
        <v>4723.25</v>
      </c>
      <c r="F18" s="19">
        <f t="shared" si="17"/>
        <v>2.7242018088699957E-2</v>
      </c>
      <c r="G18" s="14">
        <f t="shared" si="9"/>
        <v>-47.5</v>
      </c>
      <c r="H18" s="20">
        <f t="shared" si="10"/>
        <v>0.7</v>
      </c>
      <c r="I18" s="20">
        <f t="shared" si="11"/>
        <v>-42</v>
      </c>
      <c r="J18" s="28">
        <f t="shared" si="12"/>
        <v>0.3</v>
      </c>
      <c r="K18" s="241">
        <f t="shared" ref="K18:K41" si="18">MIN(MAX((AG17-100%)*50,-50),50)</f>
        <v>-35.494170208129049</v>
      </c>
      <c r="L18" s="20">
        <f t="shared" si="13"/>
        <v>-342</v>
      </c>
      <c r="M18" s="20">
        <f t="shared" si="13"/>
        <v>-325</v>
      </c>
      <c r="N18" s="29"/>
      <c r="O18" s="239">
        <v>5010</v>
      </c>
      <c r="P18" s="18">
        <f t="shared" si="14"/>
        <v>90</v>
      </c>
      <c r="Q18" s="14">
        <f t="shared" si="2"/>
        <v>-230</v>
      </c>
      <c r="R18" s="244">
        <f t="shared" si="15"/>
        <v>0</v>
      </c>
      <c r="S18" s="243">
        <f>'青岛 - 螺纹'!S18</f>
        <v>4153</v>
      </c>
      <c r="T18" s="38">
        <f t="shared" si="16"/>
        <v>4195</v>
      </c>
      <c r="U18" s="20">
        <f t="shared" si="3"/>
        <v>-42</v>
      </c>
      <c r="V18" s="30"/>
      <c r="W18" s="30"/>
      <c r="X18" s="30"/>
      <c r="Y18" s="30"/>
      <c r="Z18" s="30"/>
      <c r="AA18" s="30"/>
      <c r="AB18" s="30"/>
      <c r="AC18" s="30"/>
      <c r="AD18" s="30"/>
      <c r="AE18" s="248">
        <f>VLOOKUP($A18,每日销量追踪!$A$3:$CM$75,11,0)</f>
        <v>3128.16</v>
      </c>
      <c r="AF18" s="248">
        <f>VLOOKUP($A18,每日销量追踪!$A$3:$CM$75,57,0)</f>
        <v>2753.1000000000054</v>
      </c>
      <c r="AG18" s="251">
        <f>VLOOKUP($A18,每日销量追踪!$A$3:$CM$75,69,0)</f>
        <v>0.71317423994769391</v>
      </c>
      <c r="AH18" s="243">
        <v>75</v>
      </c>
    </row>
    <row r="19" spans="1:34">
      <c r="A19" s="16">
        <f t="shared" si="7"/>
        <v>44517</v>
      </c>
      <c r="B19" s="17">
        <v>4870</v>
      </c>
      <c r="C19" s="18">
        <f t="shared" si="0"/>
        <v>-49.0912880026153</v>
      </c>
      <c r="D19" s="18">
        <f t="shared" si="8"/>
        <v>4820.9087119973847</v>
      </c>
      <c r="E19" s="18">
        <f t="shared" si="1"/>
        <v>4788.6558297918709</v>
      </c>
      <c r="F19" s="19">
        <f t="shared" si="17"/>
        <v>2.7242018088699957E-2</v>
      </c>
      <c r="G19" s="14">
        <f t="shared" si="9"/>
        <v>-47.5</v>
      </c>
      <c r="H19" s="20">
        <f t="shared" si="10"/>
        <v>0.7</v>
      </c>
      <c r="I19" s="20">
        <f t="shared" si="11"/>
        <v>-5</v>
      </c>
      <c r="J19" s="28">
        <f t="shared" si="12"/>
        <v>0.3</v>
      </c>
      <c r="K19" s="241">
        <f t="shared" si="18"/>
        <v>-14.341288002615304</v>
      </c>
      <c r="L19" s="20">
        <f t="shared" si="13"/>
        <v>-342</v>
      </c>
      <c r="M19" s="20">
        <f t="shared" si="13"/>
        <v>-325</v>
      </c>
      <c r="N19" s="29"/>
      <c r="O19" s="239">
        <v>5010</v>
      </c>
      <c r="P19" s="18">
        <f t="shared" si="14"/>
        <v>90</v>
      </c>
      <c r="Q19" s="14">
        <f t="shared" si="2"/>
        <v>-230</v>
      </c>
      <c r="R19" s="244">
        <f t="shared" si="15"/>
        <v>0</v>
      </c>
      <c r="S19" s="243">
        <f>'青岛 - 螺纹'!S19</f>
        <v>4148</v>
      </c>
      <c r="T19" s="38">
        <f t="shared" si="16"/>
        <v>4153</v>
      </c>
      <c r="U19" s="20">
        <f t="shared" si="3"/>
        <v>-5</v>
      </c>
      <c r="V19" s="30"/>
      <c r="W19" s="30"/>
      <c r="X19" s="30"/>
      <c r="Y19" s="30"/>
      <c r="Z19" s="30"/>
      <c r="AA19" s="30"/>
      <c r="AB19" s="30"/>
      <c r="AC19" s="30"/>
      <c r="AD19" s="30"/>
      <c r="AE19" s="248">
        <f>VLOOKUP($A19,每日销量追踪!$A$3:$CM$75,11,0)</f>
        <v>1223.1600000000001</v>
      </c>
      <c r="AF19" s="248">
        <f>VLOOKUP($A19,每日销量追踪!$A$3:$CM$75,57,0)</f>
        <v>2753.1000000000054</v>
      </c>
      <c r="AG19" s="251">
        <f>VLOOKUP($A19,每日销量追踪!$A$3:$CM$75,69,0)</f>
        <v>0.6235443681667926</v>
      </c>
      <c r="AH19" s="243">
        <v>75</v>
      </c>
    </row>
    <row r="20" spans="1:34">
      <c r="A20" s="16">
        <f t="shared" si="7"/>
        <v>44518</v>
      </c>
      <c r="B20" s="17">
        <v>4840</v>
      </c>
      <c r="C20" s="18">
        <f t="shared" si="0"/>
        <v>-31.672781591660371</v>
      </c>
      <c r="D20" s="18">
        <f t="shared" si="8"/>
        <v>4838.3272184083398</v>
      </c>
      <c r="E20" s="18">
        <f t="shared" si="1"/>
        <v>4820.9087119973847</v>
      </c>
      <c r="F20" s="19">
        <f t="shared" si="17"/>
        <v>2.7242018088699957E-2</v>
      </c>
      <c r="G20" s="14">
        <f t="shared" si="9"/>
        <v>-47.5</v>
      </c>
      <c r="H20" s="20">
        <f t="shared" si="10"/>
        <v>0.7</v>
      </c>
      <c r="I20" s="20">
        <f t="shared" si="11"/>
        <v>68</v>
      </c>
      <c r="J20" s="28">
        <f t="shared" si="12"/>
        <v>0.3</v>
      </c>
      <c r="K20" s="241">
        <f t="shared" si="18"/>
        <v>-18.82278159166037</v>
      </c>
      <c r="L20" s="20">
        <f t="shared" si="13"/>
        <v>-342</v>
      </c>
      <c r="M20" s="20">
        <f t="shared" si="13"/>
        <v>-325</v>
      </c>
      <c r="N20" s="29"/>
      <c r="O20" s="239">
        <v>5010</v>
      </c>
      <c r="P20" s="18">
        <f t="shared" si="14"/>
        <v>90</v>
      </c>
      <c r="Q20" s="14">
        <f t="shared" si="2"/>
        <v>-230</v>
      </c>
      <c r="R20" s="244">
        <f t="shared" si="15"/>
        <v>0</v>
      </c>
      <c r="S20" s="243">
        <f>'青岛 - 螺纹'!S20</f>
        <v>4216</v>
      </c>
      <c r="T20" s="38">
        <f t="shared" si="16"/>
        <v>4148</v>
      </c>
      <c r="U20" s="20">
        <f t="shared" si="3"/>
        <v>68</v>
      </c>
      <c r="V20" s="30"/>
      <c r="W20" s="30"/>
      <c r="X20" s="30"/>
      <c r="Y20" s="30"/>
      <c r="Z20" s="30"/>
      <c r="AA20" s="30"/>
      <c r="AB20" s="30"/>
      <c r="AC20" s="30"/>
      <c r="AD20" s="30"/>
      <c r="AE20" s="248">
        <f>VLOOKUP($A20,每日销量追踪!$A$3:$CM$75,11,0)</f>
        <v>2591.6799999999998</v>
      </c>
      <c r="AF20" s="248">
        <f>VLOOKUP($A20,每日销量追踪!$A$3:$CM$75,57,0)</f>
        <v>2753.1000000000054</v>
      </c>
      <c r="AG20" s="251">
        <f>VLOOKUP($A20,每日销量追踪!$A$3:$CM$75,69,0)</f>
        <v>0.70300025425883406</v>
      </c>
      <c r="AH20" s="243">
        <v>75</v>
      </c>
    </row>
    <row r="21" spans="1:34">
      <c r="A21" s="16">
        <f t="shared" si="7"/>
        <v>44519</v>
      </c>
      <c r="B21" s="21">
        <v>4840</v>
      </c>
      <c r="C21" s="18">
        <f t="shared" si="0"/>
        <v>-54.399987287058295</v>
      </c>
      <c r="D21" s="18">
        <f t="shared" si="8"/>
        <v>4785.6000127129419</v>
      </c>
      <c r="E21" s="18">
        <f t="shared" si="1"/>
        <v>4838.3272184083398</v>
      </c>
      <c r="F21" s="19">
        <f t="shared" si="17"/>
        <v>2.7242018088699957E-2</v>
      </c>
      <c r="G21" s="14">
        <f t="shared" si="9"/>
        <v>-32.5</v>
      </c>
      <c r="H21" s="20">
        <f t="shared" si="10"/>
        <v>0.7</v>
      </c>
      <c r="I21" s="20">
        <f t="shared" si="11"/>
        <v>-56</v>
      </c>
      <c r="J21" s="28">
        <f t="shared" si="12"/>
        <v>0.3</v>
      </c>
      <c r="K21" s="241">
        <f t="shared" si="18"/>
        <v>-14.849987287058298</v>
      </c>
      <c r="L21" s="20">
        <f t="shared" ref="L21:M36" si="19">L20</f>
        <v>-342</v>
      </c>
      <c r="M21" s="20">
        <f t="shared" si="19"/>
        <v>-325</v>
      </c>
      <c r="N21" s="29"/>
      <c r="O21" s="239">
        <v>5010</v>
      </c>
      <c r="P21" s="18">
        <f t="shared" si="14"/>
        <v>90</v>
      </c>
      <c r="Q21" s="14">
        <f t="shared" si="2"/>
        <v>-260</v>
      </c>
      <c r="R21" s="244">
        <f t="shared" si="15"/>
        <v>0</v>
      </c>
      <c r="S21" s="243">
        <f>'青岛 - 螺纹'!S21</f>
        <v>4160</v>
      </c>
      <c r="T21" s="38">
        <f t="shared" si="16"/>
        <v>4216</v>
      </c>
      <c r="U21" s="20">
        <f t="shared" si="3"/>
        <v>-56</v>
      </c>
      <c r="V21" s="30"/>
      <c r="W21" s="30"/>
      <c r="X21" s="30"/>
      <c r="Y21" s="30"/>
      <c r="Z21" s="30"/>
      <c r="AA21" s="30"/>
      <c r="AB21" s="30"/>
      <c r="AC21" s="30"/>
      <c r="AD21" s="30"/>
      <c r="AE21" s="248">
        <f>VLOOKUP($A21,每日销量追踪!$A$3:$CM$75,11,0)</f>
        <v>8662.0400000000009</v>
      </c>
      <c r="AF21" s="248">
        <f>VLOOKUP($A21,每日销量追踪!$A$3:$CM$75,57,0)</f>
        <v>2753.1000000000054</v>
      </c>
      <c r="AG21" s="251">
        <f>VLOOKUP($A21,每日销量追踪!$A$3:$CM$75,69,0)</f>
        <v>1.1916574043805144</v>
      </c>
      <c r="AH21" s="243">
        <v>75</v>
      </c>
    </row>
    <row r="22" spans="1:34">
      <c r="A22" s="16">
        <f t="shared" si="7"/>
        <v>44520</v>
      </c>
      <c r="B22" s="21">
        <v>4870</v>
      </c>
      <c r="C22" s="18">
        <f t="shared" si="0"/>
        <v>-13.167129780974282</v>
      </c>
      <c r="D22" s="18">
        <f t="shared" si="8"/>
        <v>4826.8328702190256</v>
      </c>
      <c r="E22" s="18">
        <f t="shared" si="1"/>
        <v>4785.6000127129419</v>
      </c>
      <c r="F22" s="19">
        <f t="shared" si="17"/>
        <v>2.7242018088699957E-2</v>
      </c>
      <c r="G22" s="14">
        <f t="shared" si="9"/>
        <v>-32.5</v>
      </c>
      <c r="H22" s="20">
        <f t="shared" si="10"/>
        <v>0.7</v>
      </c>
      <c r="I22" s="20">
        <f t="shared" si="11"/>
        <v>0</v>
      </c>
      <c r="J22" s="28">
        <f t="shared" si="12"/>
        <v>0.3</v>
      </c>
      <c r="K22" s="241">
        <f t="shared" si="18"/>
        <v>9.5828702190257182</v>
      </c>
      <c r="L22" s="20">
        <f t="shared" si="19"/>
        <v>-342</v>
      </c>
      <c r="M22" s="20">
        <f t="shared" si="19"/>
        <v>-325</v>
      </c>
      <c r="N22" s="29"/>
      <c r="O22" s="239">
        <v>5010</v>
      </c>
      <c r="P22" s="18">
        <f t="shared" si="14"/>
        <v>90</v>
      </c>
      <c r="Q22" s="14">
        <f t="shared" si="2"/>
        <v>-260</v>
      </c>
      <c r="R22" s="244">
        <f t="shared" si="15"/>
        <v>0</v>
      </c>
      <c r="S22" s="243">
        <f>'青岛 - 螺纹'!S22</f>
        <v>4160</v>
      </c>
      <c r="T22" s="38">
        <f t="shared" si="16"/>
        <v>4160</v>
      </c>
      <c r="U22" s="20">
        <f t="shared" si="3"/>
        <v>0</v>
      </c>
      <c r="V22" s="30"/>
      <c r="W22" s="30"/>
      <c r="X22" s="30"/>
      <c r="Y22" s="30"/>
      <c r="Z22" s="30"/>
      <c r="AA22" s="30"/>
      <c r="AB22" s="30"/>
      <c r="AC22" s="30"/>
      <c r="AD22" s="30"/>
      <c r="AE22" s="248">
        <f>VLOOKUP($A22,每日销量追踪!$A$3:$CM$75,11,0)</f>
        <v>956.48</v>
      </c>
      <c r="AF22" s="248">
        <f>VLOOKUP($A22,每日销量追踪!$A$3:$CM$75,57,0)</f>
        <v>1376.5499999999997</v>
      </c>
      <c r="AG22" s="251">
        <f>VLOOKUP($A22,每日销量追踪!$A$3:$CM$75,69,0)</f>
        <v>1.1464920535858731</v>
      </c>
      <c r="AH22" s="243">
        <v>75</v>
      </c>
    </row>
    <row r="23" spans="1:34">
      <c r="A23" s="16">
        <f t="shared" si="7"/>
        <v>44521</v>
      </c>
      <c r="B23" s="21">
        <v>4870</v>
      </c>
      <c r="C23" s="18">
        <f t="shared" si="0"/>
        <v>2.0746026792936565</v>
      </c>
      <c r="D23" s="18">
        <f t="shared" si="8"/>
        <v>4872.074602679294</v>
      </c>
      <c r="E23" s="18">
        <f t="shared" si="1"/>
        <v>4826.8328702190256</v>
      </c>
      <c r="F23" s="19">
        <f t="shared" si="17"/>
        <v>5.4484036177400032E-2</v>
      </c>
      <c r="G23" s="14">
        <f t="shared" si="9"/>
        <v>-7.5</v>
      </c>
      <c r="H23" s="20">
        <f t="shared" si="10"/>
        <v>0.7</v>
      </c>
      <c r="I23" s="20">
        <f t="shared" si="11"/>
        <v>0</v>
      </c>
      <c r="J23" s="28">
        <f t="shared" si="12"/>
        <v>0.3</v>
      </c>
      <c r="K23" s="241">
        <f t="shared" si="18"/>
        <v>7.3246026792936565</v>
      </c>
      <c r="L23" s="20">
        <f t="shared" si="19"/>
        <v>-342</v>
      </c>
      <c r="M23" s="20">
        <f t="shared" si="19"/>
        <v>-325</v>
      </c>
      <c r="N23" s="29"/>
      <c r="O23" s="239">
        <v>5050</v>
      </c>
      <c r="P23" s="18">
        <f t="shared" si="14"/>
        <v>90</v>
      </c>
      <c r="Q23" s="14">
        <f t="shared" si="2"/>
        <v>-230</v>
      </c>
      <c r="R23" s="244">
        <f t="shared" si="15"/>
        <v>40</v>
      </c>
      <c r="S23" s="243">
        <f>'青岛 - 螺纹'!S23</f>
        <v>4160</v>
      </c>
      <c r="T23" s="38">
        <f t="shared" si="16"/>
        <v>4160</v>
      </c>
      <c r="U23" s="20">
        <f t="shared" si="3"/>
        <v>0</v>
      </c>
      <c r="V23" s="30"/>
      <c r="W23" s="30"/>
      <c r="X23" s="30"/>
      <c r="Y23" s="30"/>
      <c r="Z23" s="30"/>
      <c r="AA23" s="30"/>
      <c r="AB23" s="30"/>
      <c r="AC23" s="30"/>
      <c r="AD23" s="30"/>
      <c r="AE23" s="248">
        <f>VLOOKUP($A23,每日销量追踪!$A$3:$CM$75,11,0)</f>
        <v>0</v>
      </c>
      <c r="AF23" s="248">
        <f>VLOOKUP($A23,每日销量追踪!$A$3:$CM$75,57,0)</f>
        <v>1376.5499999999997</v>
      </c>
      <c r="AG23" s="251">
        <f>VLOOKUP($A23,每日销量追踪!$A$3:$CM$75,69,0)</f>
        <v>1.050951049120384</v>
      </c>
      <c r="AH23" s="243">
        <v>75</v>
      </c>
    </row>
    <row r="24" spans="1:34">
      <c r="A24" s="16">
        <f t="shared" si="7"/>
        <v>44522</v>
      </c>
      <c r="B24" s="17">
        <v>4870</v>
      </c>
      <c r="C24" s="18">
        <f t="shared" si="0"/>
        <v>10.297552456019197</v>
      </c>
      <c r="D24" s="18">
        <f t="shared" si="8"/>
        <v>4880.2975524560188</v>
      </c>
      <c r="E24" s="18">
        <f t="shared" si="1"/>
        <v>4872.074602679294</v>
      </c>
      <c r="F24" s="19">
        <f t="shared" si="17"/>
        <v>5.4484036177400032E-2</v>
      </c>
      <c r="G24" s="14">
        <f t="shared" si="9"/>
        <v>-27.5</v>
      </c>
      <c r="H24" s="20">
        <f t="shared" si="10"/>
        <v>0.7</v>
      </c>
      <c r="I24" s="20">
        <f t="shared" si="11"/>
        <v>90</v>
      </c>
      <c r="J24" s="28">
        <f t="shared" si="12"/>
        <v>0.3</v>
      </c>
      <c r="K24" s="241">
        <f t="shared" si="18"/>
        <v>2.5475524560191976</v>
      </c>
      <c r="L24" s="20">
        <f t="shared" si="19"/>
        <v>-342</v>
      </c>
      <c r="M24" s="20">
        <f t="shared" si="19"/>
        <v>-325</v>
      </c>
      <c r="N24" s="29"/>
      <c r="O24" s="239">
        <v>5050</v>
      </c>
      <c r="P24" s="18">
        <f t="shared" si="14"/>
        <v>90</v>
      </c>
      <c r="Q24" s="14">
        <f t="shared" si="2"/>
        <v>-270</v>
      </c>
      <c r="R24" s="244">
        <f t="shared" si="15"/>
        <v>0</v>
      </c>
      <c r="S24" s="243">
        <f>'青岛 - 螺纹'!S24</f>
        <v>4250</v>
      </c>
      <c r="T24" s="38">
        <f t="shared" si="16"/>
        <v>4160</v>
      </c>
      <c r="U24" s="20">
        <f t="shared" si="3"/>
        <v>90</v>
      </c>
      <c r="V24" s="30"/>
      <c r="W24" s="30"/>
      <c r="X24" s="30"/>
      <c r="Y24" s="30"/>
      <c r="Z24" s="30"/>
      <c r="AA24" s="30"/>
      <c r="AB24" s="30"/>
      <c r="AC24" s="30"/>
      <c r="AD24" s="30"/>
      <c r="AE24" s="248">
        <f>VLOOKUP($A24,每日销量追踪!$A$3:$CM$75,11,0)</f>
        <v>378.56</v>
      </c>
      <c r="AF24" s="248">
        <f>VLOOKUP($A24,每日销量追踪!$A$3:$CM$75,57,0)</f>
        <v>3303.7200000000066</v>
      </c>
      <c r="AG24" s="251">
        <f>VLOOKUP($A24,每日销量追踪!$A$3:$CM$75,69,0)</f>
        <v>0.1145859818628695</v>
      </c>
      <c r="AH24" s="243">
        <v>75</v>
      </c>
    </row>
    <row r="25" spans="1:34">
      <c r="A25" s="16">
        <f t="shared" si="7"/>
        <v>44523</v>
      </c>
      <c r="B25" s="239">
        <v>4870</v>
      </c>
      <c r="C25" s="18">
        <f t="shared" si="0"/>
        <v>-48.520700906856526</v>
      </c>
      <c r="D25" s="18">
        <f t="shared" si="8"/>
        <v>4821.4792990931437</v>
      </c>
      <c r="E25" s="18">
        <f t="shared" si="1"/>
        <v>4880.2975524560188</v>
      </c>
      <c r="F25" s="19">
        <f t="shared" si="17"/>
        <v>2.2701681740583297E-2</v>
      </c>
      <c r="G25" s="14">
        <f t="shared" si="9"/>
        <v>-27.5</v>
      </c>
      <c r="H25" s="20">
        <f t="shared" si="10"/>
        <v>0.7</v>
      </c>
      <c r="I25" s="20">
        <f t="shared" si="11"/>
        <v>50</v>
      </c>
      <c r="J25" s="28">
        <f t="shared" si="12"/>
        <v>0.3</v>
      </c>
      <c r="K25" s="241">
        <f t="shared" si="18"/>
        <v>-44.270700906856526</v>
      </c>
      <c r="L25" s="20">
        <f t="shared" si="19"/>
        <v>-342</v>
      </c>
      <c r="M25" s="20">
        <f t="shared" si="19"/>
        <v>-325</v>
      </c>
      <c r="N25" s="29"/>
      <c r="O25" s="239">
        <v>5050</v>
      </c>
      <c r="P25" s="18">
        <f t="shared" si="14"/>
        <v>90</v>
      </c>
      <c r="Q25" s="14">
        <f t="shared" si="2"/>
        <v>-270</v>
      </c>
      <c r="R25" s="244">
        <f t="shared" si="15"/>
        <v>0</v>
      </c>
      <c r="S25" s="243">
        <f>'青岛 - 螺纹'!S25</f>
        <v>4300</v>
      </c>
      <c r="T25" s="38">
        <f t="shared" si="16"/>
        <v>4250</v>
      </c>
      <c r="U25" s="20">
        <f t="shared" si="3"/>
        <v>50</v>
      </c>
      <c r="V25" s="30"/>
      <c r="W25" s="30"/>
      <c r="X25" s="30"/>
      <c r="Y25" s="30"/>
      <c r="Z25" s="30"/>
      <c r="AA25" s="30"/>
      <c r="AB25" s="30"/>
      <c r="AC25" s="30"/>
      <c r="AD25" s="30"/>
      <c r="AE25" s="248">
        <f>VLOOKUP($A25,每日销量追踪!$A$3:$CM$75,11,0)</f>
        <v>5413.52</v>
      </c>
      <c r="AF25" s="248">
        <f>VLOOKUP($A25,每日销量追踪!$A$3:$CM$75,57,0)</f>
        <v>3303.7200000000066</v>
      </c>
      <c r="AG25" s="251">
        <f>VLOOKUP($A25,每日销量追踪!$A$3:$CM$75,69,0)</f>
        <v>0.87659971183998486</v>
      </c>
      <c r="AH25" s="243">
        <v>75</v>
      </c>
    </row>
    <row r="26" spans="1:34">
      <c r="A26" s="16">
        <f t="shared" si="7"/>
        <v>44524</v>
      </c>
      <c r="B26" s="239">
        <v>4870</v>
      </c>
      <c r="C26" s="18">
        <f t="shared" si="0"/>
        <v>-20.920014408000757</v>
      </c>
      <c r="D26" s="18">
        <f t="shared" si="8"/>
        <v>4849.0799855919995</v>
      </c>
      <c r="E26" s="18">
        <f t="shared" si="1"/>
        <v>4821.4792990931437</v>
      </c>
      <c r="F26" s="19">
        <f t="shared" si="17"/>
        <v>2.2701681740583297E-2</v>
      </c>
      <c r="G26" s="14">
        <f t="shared" si="9"/>
        <v>-27.5</v>
      </c>
      <c r="H26" s="20">
        <f t="shared" si="10"/>
        <v>0.7</v>
      </c>
      <c r="I26" s="20">
        <f t="shared" si="11"/>
        <v>15</v>
      </c>
      <c r="J26" s="28">
        <f t="shared" si="12"/>
        <v>0.3</v>
      </c>
      <c r="K26" s="241">
        <f t="shared" si="18"/>
        <v>-6.1700144080007568</v>
      </c>
      <c r="L26" s="20">
        <f t="shared" si="19"/>
        <v>-342</v>
      </c>
      <c r="M26" s="20">
        <f t="shared" si="19"/>
        <v>-325</v>
      </c>
      <c r="N26" s="29"/>
      <c r="O26" s="239">
        <v>5050</v>
      </c>
      <c r="P26" s="18">
        <f t="shared" si="14"/>
        <v>90</v>
      </c>
      <c r="Q26" s="14">
        <f t="shared" si="2"/>
        <v>-270</v>
      </c>
      <c r="R26" s="244">
        <f t="shared" si="15"/>
        <v>0</v>
      </c>
      <c r="S26" s="243">
        <f>'青岛 - 螺纹'!S26</f>
        <v>4315</v>
      </c>
      <c r="T26" s="38">
        <f t="shared" si="16"/>
        <v>4300</v>
      </c>
      <c r="U26" s="20">
        <f t="shared" si="3"/>
        <v>15</v>
      </c>
      <c r="V26" s="30"/>
      <c r="W26" s="30"/>
      <c r="X26" s="30"/>
      <c r="Y26" s="30"/>
      <c r="Z26" s="30"/>
      <c r="AA26" s="30"/>
      <c r="AB26" s="30"/>
      <c r="AC26" s="30"/>
      <c r="AD26" s="30"/>
      <c r="AE26" s="248">
        <f>VLOOKUP($A26,每日销量追踪!$A$3:$CM$75,11,0)</f>
        <v>5960.12</v>
      </c>
      <c r="AF26" s="248">
        <f>VLOOKUP($A26,每日销量追踪!$A$3:$CM$75,57,0)</f>
        <v>3303.7200000000066</v>
      </c>
      <c r="AG26" s="251">
        <f>VLOOKUP($A26,每日销量追踪!$A$3:$CM$75,69,0)</f>
        <v>1.1857542406741468</v>
      </c>
      <c r="AH26" s="243">
        <v>75</v>
      </c>
    </row>
    <row r="27" spans="1:34">
      <c r="A27" s="16">
        <f t="shared" si="7"/>
        <v>44525</v>
      </c>
      <c r="B27" s="17">
        <v>4870</v>
      </c>
      <c r="C27" s="18">
        <f t="shared" si="0"/>
        <v>38.037712033707336</v>
      </c>
      <c r="D27" s="18">
        <f t="shared" si="8"/>
        <v>4908.0377120337071</v>
      </c>
      <c r="E27" s="18">
        <f t="shared" si="1"/>
        <v>4849.0799855919995</v>
      </c>
      <c r="F27" s="19">
        <f t="shared" si="17"/>
        <v>2.2701681740583297E-2</v>
      </c>
      <c r="G27" s="14">
        <f t="shared" si="9"/>
        <v>-27.5</v>
      </c>
      <c r="H27" s="20">
        <f t="shared" si="10"/>
        <v>0.7</v>
      </c>
      <c r="I27" s="20">
        <f t="shared" si="11"/>
        <v>160</v>
      </c>
      <c r="J27" s="28">
        <f t="shared" si="12"/>
        <v>0.3</v>
      </c>
      <c r="K27" s="241">
        <f t="shared" si="18"/>
        <v>9.28771203370734</v>
      </c>
      <c r="L27" s="20">
        <f t="shared" si="19"/>
        <v>-342</v>
      </c>
      <c r="M27" s="20">
        <f t="shared" si="19"/>
        <v>-325</v>
      </c>
      <c r="N27" s="29"/>
      <c r="O27" s="239">
        <v>5050</v>
      </c>
      <c r="P27" s="18">
        <f t="shared" si="14"/>
        <v>90</v>
      </c>
      <c r="Q27" s="14">
        <f t="shared" si="2"/>
        <v>-270</v>
      </c>
      <c r="R27" s="244">
        <f t="shared" si="15"/>
        <v>0</v>
      </c>
      <c r="S27" s="243">
        <f>'青岛 - 螺纹'!S27</f>
        <v>4475</v>
      </c>
      <c r="T27" s="38">
        <f t="shared" si="16"/>
        <v>4315</v>
      </c>
      <c r="U27" s="20">
        <f t="shared" si="3"/>
        <v>160</v>
      </c>
      <c r="V27" s="30"/>
      <c r="W27" s="30"/>
      <c r="X27" s="30"/>
      <c r="Y27" s="30"/>
      <c r="Z27" s="30"/>
      <c r="AA27" s="30"/>
      <c r="AB27" s="30"/>
      <c r="AC27" s="30"/>
      <c r="AD27" s="30"/>
      <c r="AE27" s="248">
        <f>VLOOKUP($A27,每日销量追踪!$A$3:$CM$75,11,0)</f>
        <v>2562.56</v>
      </c>
      <c r="AF27" s="248">
        <f>VLOOKUP($A27,每日销量追踪!$A$3:$CM$75,57,0)</f>
        <v>3303.7200000000066</v>
      </c>
      <c r="AG27" s="251">
        <f>VLOOKUP($A27,每日销量追踪!$A$3:$CM$75,69,0)</f>
        <v>1.083230419042774</v>
      </c>
      <c r="AH27" s="243">
        <v>75</v>
      </c>
    </row>
    <row r="28" spans="1:34">
      <c r="A28" s="16">
        <f t="shared" si="7"/>
        <v>44526</v>
      </c>
      <c r="B28" s="17">
        <v>4850</v>
      </c>
      <c r="C28" s="18">
        <f t="shared" si="0"/>
        <v>-83.188479047861293</v>
      </c>
      <c r="D28" s="18">
        <f t="shared" si="8"/>
        <v>4786.8115209521384</v>
      </c>
      <c r="E28" s="18">
        <f t="shared" si="1"/>
        <v>4908.0377120337071</v>
      </c>
      <c r="F28" s="19">
        <f t="shared" si="17"/>
        <v>2.2701681740583297E-2</v>
      </c>
      <c r="G28" s="14">
        <f t="shared" si="9"/>
        <v>-27.5</v>
      </c>
      <c r="H28" s="20">
        <f t="shared" si="10"/>
        <v>0.7</v>
      </c>
      <c r="I28" s="20">
        <f t="shared" si="11"/>
        <v>-227</v>
      </c>
      <c r="J28" s="28">
        <f t="shared" si="12"/>
        <v>0.3</v>
      </c>
      <c r="K28" s="241">
        <f t="shared" si="18"/>
        <v>4.161520952138698</v>
      </c>
      <c r="L28" s="20">
        <f t="shared" si="19"/>
        <v>-342</v>
      </c>
      <c r="M28" s="20">
        <f t="shared" si="19"/>
        <v>-325</v>
      </c>
      <c r="N28" s="29"/>
      <c r="O28" s="17">
        <v>5050</v>
      </c>
      <c r="P28" s="18">
        <f t="shared" si="14"/>
        <v>90</v>
      </c>
      <c r="Q28" s="14">
        <f t="shared" si="2"/>
        <v>-270</v>
      </c>
      <c r="R28" s="244">
        <f t="shared" si="15"/>
        <v>0</v>
      </c>
      <c r="S28" s="243">
        <f>'青岛 - 螺纹'!S28</f>
        <v>4248</v>
      </c>
      <c r="T28" s="38">
        <f t="shared" si="16"/>
        <v>4475</v>
      </c>
      <c r="U28" s="20">
        <f t="shared" si="3"/>
        <v>-227</v>
      </c>
      <c r="V28" s="30"/>
      <c r="W28" s="30"/>
      <c r="X28" s="30"/>
      <c r="Y28" s="30"/>
      <c r="Z28" s="30"/>
      <c r="AA28" s="30"/>
      <c r="AB28" s="30"/>
      <c r="AC28" s="30"/>
      <c r="AD28" s="30"/>
      <c r="AE28" s="248">
        <f>VLOOKUP($A28,每日销量追踪!$A$3:$CM$75,11,0)</f>
        <v>1489.28</v>
      </c>
      <c r="AF28" s="248">
        <f>VLOOKUP($A28,每日销量追踪!$A$3:$CM$75,57,0)</f>
        <v>3303.7200000000066</v>
      </c>
      <c r="AG28" s="251">
        <f>VLOOKUP($A28,每日销量追踪!$A$3:$CM$75,69,0)</f>
        <v>0.95674209678786137</v>
      </c>
      <c r="AH28" s="243">
        <v>75</v>
      </c>
    </row>
    <row r="29" spans="1:34">
      <c r="A29" s="16">
        <f t="shared" si="7"/>
        <v>44527</v>
      </c>
      <c r="B29" s="17">
        <v>4800</v>
      </c>
      <c r="C29" s="18">
        <f t="shared" si="0"/>
        <v>-58.812895160606928</v>
      </c>
      <c r="D29" s="18">
        <f t="shared" si="8"/>
        <v>4791.1871048393932</v>
      </c>
      <c r="E29" s="18">
        <f t="shared" si="1"/>
        <v>4786.8115209521384</v>
      </c>
      <c r="F29" s="19">
        <f t="shared" si="17"/>
        <v>2.2701681740583297E-2</v>
      </c>
      <c r="G29" s="14">
        <f t="shared" si="9"/>
        <v>-17.5</v>
      </c>
      <c r="H29" s="20">
        <f t="shared" si="10"/>
        <v>0.7</v>
      </c>
      <c r="I29" s="20">
        <f t="shared" si="11"/>
        <v>-148</v>
      </c>
      <c r="J29" s="28">
        <f t="shared" si="12"/>
        <v>0.3</v>
      </c>
      <c r="K29" s="241">
        <f t="shared" si="18"/>
        <v>-2.1628951606069311</v>
      </c>
      <c r="L29" s="20">
        <f t="shared" si="19"/>
        <v>-342</v>
      </c>
      <c r="M29" s="20">
        <f t="shared" si="19"/>
        <v>-325</v>
      </c>
      <c r="N29" s="29"/>
      <c r="O29" s="17">
        <v>5050</v>
      </c>
      <c r="P29" s="18">
        <f t="shared" si="14"/>
        <v>90</v>
      </c>
      <c r="Q29" s="14">
        <f t="shared" si="2"/>
        <v>-290</v>
      </c>
      <c r="R29" s="244">
        <f t="shared" si="15"/>
        <v>0</v>
      </c>
      <c r="S29" s="243">
        <f>'青岛 - 螺纹'!S29</f>
        <v>4100</v>
      </c>
      <c r="T29" s="38">
        <f t="shared" si="16"/>
        <v>4248</v>
      </c>
      <c r="U29" s="20">
        <f t="shared" si="3"/>
        <v>-148</v>
      </c>
      <c r="V29" s="30"/>
      <c r="W29" s="30"/>
      <c r="X29" s="30"/>
      <c r="Y29" s="30"/>
      <c r="Z29" s="30"/>
      <c r="AA29" s="30"/>
      <c r="AB29" s="30"/>
      <c r="AC29" s="30"/>
      <c r="AD29" s="30"/>
      <c r="AE29" s="248">
        <f>VLOOKUP($A29,每日销量追踪!$A$3:$CM$75,11,0)</f>
        <v>1934.4</v>
      </c>
      <c r="AF29" s="248">
        <f>VLOOKUP($A29,每日销量追踪!$A$3:$CM$75,57,0)</f>
        <v>1651.8599999999997</v>
      </c>
      <c r="AG29" s="251">
        <f>VLOOKUP($A29,每日销量追踪!$A$3:$CM$75,69,0)</f>
        <v>0.97622404716226052</v>
      </c>
      <c r="AH29" s="243">
        <v>75</v>
      </c>
    </row>
    <row r="30" spans="1:34">
      <c r="A30" s="16">
        <f t="shared" si="7"/>
        <v>44528</v>
      </c>
      <c r="B30" s="17">
        <v>4800</v>
      </c>
      <c r="C30" s="18">
        <f t="shared" si="0"/>
        <v>4.0612023581130261</v>
      </c>
      <c r="D30" s="18">
        <f t="shared" si="8"/>
        <v>4804.0612023581134</v>
      </c>
      <c r="E30" s="18">
        <f t="shared" si="1"/>
        <v>4791.1871048393932</v>
      </c>
      <c r="F30" s="19">
        <f t="shared" si="17"/>
        <v>4.5403363481166692E-2</v>
      </c>
      <c r="G30" s="14">
        <f t="shared" si="9"/>
        <v>7.5</v>
      </c>
      <c r="H30" s="20">
        <f t="shared" si="10"/>
        <v>0.7</v>
      </c>
      <c r="I30" s="20">
        <f t="shared" si="11"/>
        <v>0</v>
      </c>
      <c r="J30" s="28">
        <f t="shared" si="12"/>
        <v>0.3</v>
      </c>
      <c r="K30" s="241">
        <f t="shared" si="18"/>
        <v>-1.1887976418869739</v>
      </c>
      <c r="L30" s="20">
        <f>L29</f>
        <v>-342</v>
      </c>
      <c r="M30" s="20">
        <f>M29</f>
        <v>-325</v>
      </c>
      <c r="N30" s="29"/>
      <c r="O30" s="17">
        <v>5050</v>
      </c>
      <c r="P30" s="18">
        <f t="shared" si="14"/>
        <v>90</v>
      </c>
      <c r="Q30" s="14">
        <f t="shared" si="2"/>
        <v>-340</v>
      </c>
      <c r="R30" s="244">
        <f t="shared" si="15"/>
        <v>0</v>
      </c>
      <c r="S30" s="243">
        <f>'青岛 - 螺纹'!S30</f>
        <v>4100</v>
      </c>
      <c r="T30" s="38">
        <f t="shared" si="16"/>
        <v>4100</v>
      </c>
      <c r="U30" s="20">
        <f t="shared" si="3"/>
        <v>0</v>
      </c>
      <c r="V30" s="30"/>
      <c r="W30" s="30"/>
      <c r="X30" s="30"/>
      <c r="Y30" s="30"/>
      <c r="Z30" s="30"/>
      <c r="AA30" s="30"/>
      <c r="AB30" s="30"/>
      <c r="AC30" s="30"/>
      <c r="AD30" s="30"/>
      <c r="AE30" s="248">
        <f>VLOOKUP($A30,每日销量追踪!$A$3:$CM$75,11,0)</f>
        <v>632.32000000000005</v>
      </c>
      <c r="AF30" s="248">
        <f>VLOOKUP($A30,每日销量追踪!$A$3:$CM$75,57,0)</f>
        <v>1651.8599999999997</v>
      </c>
      <c r="AG30" s="251">
        <f>VLOOKUP($A30,每日销量追踪!$A$3:$CM$75,69,0)</f>
        <v>0.92677143745030699</v>
      </c>
      <c r="AH30" s="243">
        <v>75</v>
      </c>
    </row>
    <row r="31" spans="1:34">
      <c r="A31" s="16">
        <f t="shared" si="7"/>
        <v>44529</v>
      </c>
      <c r="B31" s="17">
        <v>4770</v>
      </c>
      <c r="C31" s="18">
        <f t="shared" si="0"/>
        <v>-11.911428127484651</v>
      </c>
      <c r="D31" s="18">
        <f t="shared" si="8"/>
        <v>4788.0885718725158</v>
      </c>
      <c r="E31" s="18">
        <f t="shared" si="1"/>
        <v>4804.0612023581134</v>
      </c>
      <c r="F31" s="19">
        <f t="shared" si="17"/>
        <v>4.5403363481166692E-2</v>
      </c>
      <c r="G31" s="14">
        <f t="shared" si="9"/>
        <v>7.5</v>
      </c>
      <c r="H31" s="20">
        <f t="shared" si="10"/>
        <v>0.7</v>
      </c>
      <c r="I31" s="20">
        <f t="shared" si="11"/>
        <v>-45</v>
      </c>
      <c r="J31" s="28">
        <f t="shared" si="12"/>
        <v>0.3</v>
      </c>
      <c r="K31" s="241">
        <f t="shared" si="18"/>
        <v>-3.6614281274846503</v>
      </c>
      <c r="L31" s="20">
        <f t="shared" si="19"/>
        <v>-342</v>
      </c>
      <c r="M31" s="20">
        <f t="shared" si="19"/>
        <v>-325</v>
      </c>
      <c r="N31" s="29"/>
      <c r="O31" s="17">
        <v>5050</v>
      </c>
      <c r="P31" s="18">
        <f t="shared" si="14"/>
        <v>90</v>
      </c>
      <c r="Q31" s="14">
        <f t="shared" si="2"/>
        <v>-340</v>
      </c>
      <c r="R31" s="244">
        <f t="shared" si="15"/>
        <v>0</v>
      </c>
      <c r="S31" s="243">
        <f>'青岛 - 螺纹'!S31</f>
        <v>4055</v>
      </c>
      <c r="T31" s="38">
        <f t="shared" si="16"/>
        <v>4100</v>
      </c>
      <c r="U31" s="20">
        <f t="shared" si="3"/>
        <v>-45</v>
      </c>
      <c r="V31" s="30"/>
      <c r="W31" s="30"/>
      <c r="X31" s="30"/>
      <c r="Y31" s="30"/>
      <c r="Z31" s="30"/>
      <c r="AA31" s="30"/>
      <c r="AB31" s="30"/>
      <c r="AC31" s="30"/>
      <c r="AD31" s="30"/>
      <c r="AE31" s="248">
        <f>VLOOKUP($A31,每日销量追踪!$A$3:$CM$75,11,0)</f>
        <v>4508.24</v>
      </c>
      <c r="AF31" s="248">
        <f>VLOOKUP($A31,每日销量追踪!$A$3:$CM$75,57,0)</f>
        <v>3964.4640000000009</v>
      </c>
      <c r="AG31" s="251">
        <f>VLOOKUP($A31,每日销量追踪!$A$3:$CM$75,69,0)</f>
        <v>1.1371625521129713</v>
      </c>
      <c r="AH31" s="243">
        <v>75</v>
      </c>
    </row>
    <row r="32" spans="1:34">
      <c r="A32" s="16">
        <f t="shared" si="7"/>
        <v>44530</v>
      </c>
      <c r="B32" s="17">
        <v>4770</v>
      </c>
      <c r="C32" s="18">
        <f t="shared" si="0"/>
        <v>48.158127605648566</v>
      </c>
      <c r="D32" s="18">
        <f t="shared" si="8"/>
        <v>4818.1581276056486</v>
      </c>
      <c r="E32" s="18">
        <f t="shared" si="1"/>
        <v>4788.0885718725158</v>
      </c>
      <c r="F32" s="19">
        <f t="shared" si="17"/>
        <v>1.891806811715278E-2</v>
      </c>
      <c r="G32" s="14">
        <f t="shared" si="9"/>
        <v>14</v>
      </c>
      <c r="H32" s="20">
        <f t="shared" si="10"/>
        <v>0.7</v>
      </c>
      <c r="I32" s="20">
        <f t="shared" si="11"/>
        <v>105</v>
      </c>
      <c r="J32" s="28">
        <f t="shared" si="12"/>
        <v>0.3</v>
      </c>
      <c r="K32" s="241">
        <f t="shared" si="18"/>
        <v>6.8581276056485674</v>
      </c>
      <c r="L32" s="20">
        <f t="shared" si="19"/>
        <v>-342</v>
      </c>
      <c r="M32" s="20">
        <f t="shared" si="19"/>
        <v>-325</v>
      </c>
      <c r="N32" s="29"/>
      <c r="O32" s="17">
        <v>5050</v>
      </c>
      <c r="P32" s="18">
        <f t="shared" si="14"/>
        <v>90</v>
      </c>
      <c r="Q32" s="14">
        <f t="shared" si="2"/>
        <v>-370</v>
      </c>
      <c r="R32" s="244">
        <f t="shared" si="15"/>
        <v>0</v>
      </c>
      <c r="S32" s="243">
        <f>'青岛 - 螺纹'!S32</f>
        <v>4160</v>
      </c>
      <c r="T32" s="38">
        <f t="shared" si="16"/>
        <v>4055</v>
      </c>
      <c r="U32" s="20">
        <f t="shared" si="3"/>
        <v>105</v>
      </c>
      <c r="V32" s="30"/>
      <c r="W32" s="30"/>
      <c r="X32" s="30"/>
      <c r="Y32" s="30"/>
      <c r="Z32" s="30"/>
      <c r="AA32" s="30"/>
      <c r="AB32" s="30"/>
      <c r="AC32" s="30"/>
      <c r="AD32" s="30"/>
      <c r="AE32" s="248">
        <f>VLOOKUP($A32,每日销量追踪!$A$3:$CM$75,11,0)</f>
        <v>1978.24</v>
      </c>
      <c r="AF32" s="248">
        <f>VLOOKUP($A32,每日销量追踪!$A$3:$CM$75,57,0)</f>
        <v>3964.4640000000009</v>
      </c>
      <c r="AG32" s="251">
        <f>VLOOKUP($A32,每日销量追踪!$A$3:$CM$75,69,0)</f>
        <v>0.81807780320366108</v>
      </c>
      <c r="AH32" s="243">
        <v>75</v>
      </c>
    </row>
    <row r="33" spans="1:34">
      <c r="A33" s="16">
        <f t="shared" si="7"/>
        <v>44531</v>
      </c>
      <c r="B33" s="17">
        <v>4790</v>
      </c>
      <c r="C33" s="18">
        <f t="shared" si="0"/>
        <v>103.10389016018306</v>
      </c>
      <c r="D33" s="18">
        <f t="shared" si="8"/>
        <v>4873.1038901601833</v>
      </c>
      <c r="E33" s="18">
        <f t="shared" si="1"/>
        <v>4818.1581276056486</v>
      </c>
      <c r="F33" s="19">
        <f t="shared" si="17"/>
        <v>1.891806811715278E-2</v>
      </c>
      <c r="G33" s="14">
        <f t="shared" si="9"/>
        <v>144</v>
      </c>
      <c r="H33" s="20">
        <f t="shared" si="10"/>
        <v>0.7</v>
      </c>
      <c r="I33" s="20">
        <f t="shared" si="11"/>
        <v>38</v>
      </c>
      <c r="J33" s="28">
        <f t="shared" si="12"/>
        <v>0.3</v>
      </c>
      <c r="K33" s="241">
        <f t="shared" si="18"/>
        <v>-9.0961098398169469</v>
      </c>
      <c r="L33" s="20">
        <f t="shared" si="19"/>
        <v>-342</v>
      </c>
      <c r="M33" s="20">
        <f t="shared" si="19"/>
        <v>-325</v>
      </c>
      <c r="N33" s="29"/>
      <c r="O33" s="17">
        <v>5180</v>
      </c>
      <c r="P33" s="18">
        <f t="shared" si="14"/>
        <v>90</v>
      </c>
      <c r="Q33" s="14">
        <f t="shared" si="2"/>
        <v>-370</v>
      </c>
      <c r="R33" s="244">
        <f t="shared" si="15"/>
        <v>130</v>
      </c>
      <c r="S33" s="243">
        <f>'青岛 - 螺纹'!S33</f>
        <v>4198</v>
      </c>
      <c r="T33" s="38">
        <f t="shared" si="16"/>
        <v>4160</v>
      </c>
      <c r="U33" s="20">
        <f t="shared" si="3"/>
        <v>38</v>
      </c>
      <c r="V33" s="30"/>
      <c r="W33" s="30"/>
      <c r="X33" s="30"/>
      <c r="Y33" s="30"/>
      <c r="Z33" s="30"/>
      <c r="AA33" s="30"/>
      <c r="AB33" s="30"/>
      <c r="AC33" s="30"/>
      <c r="AD33" s="30"/>
      <c r="AE33" s="248">
        <f>VLOOKUP($A33,每日销量追踪!$A$3:$CM$75,11,0)</f>
        <v>6857.96</v>
      </c>
      <c r="AF33" s="248">
        <f>VLOOKUP($A33,每日销量追踪!$A$3:$CM$75,57,0)</f>
        <v>3964.4640000000009</v>
      </c>
      <c r="AG33" s="251">
        <f>VLOOKUP($A33,每日销量追踪!$A$3:$CM$75,69,0)</f>
        <v>1.1220045551344811</v>
      </c>
      <c r="AH33" s="243">
        <v>75</v>
      </c>
    </row>
    <row r="34" spans="1:34">
      <c r="A34" s="16">
        <f t="shared" si="7"/>
        <v>44532</v>
      </c>
      <c r="B34" s="17">
        <v>4790</v>
      </c>
      <c r="C34" s="18">
        <f t="shared" si="0"/>
        <v>89.500227756724058</v>
      </c>
      <c r="D34" s="18">
        <f t="shared" si="8"/>
        <v>4879.5002277567237</v>
      </c>
      <c r="E34" s="18">
        <f t="shared" si="1"/>
        <v>4873.1038901601833</v>
      </c>
      <c r="F34" s="19">
        <f t="shared" si="17"/>
        <v>1.891806811715278E-2</v>
      </c>
      <c r="G34" s="14">
        <f t="shared" si="9"/>
        <v>69</v>
      </c>
      <c r="H34" s="20">
        <f t="shared" si="10"/>
        <v>0.7</v>
      </c>
      <c r="I34" s="20">
        <f t="shared" si="11"/>
        <v>117</v>
      </c>
      <c r="J34" s="28">
        <f t="shared" si="12"/>
        <v>0.3</v>
      </c>
      <c r="K34" s="241">
        <f t="shared" si="18"/>
        <v>6.1002277567240526</v>
      </c>
      <c r="L34" s="20">
        <f t="shared" si="19"/>
        <v>-342</v>
      </c>
      <c r="M34" s="20">
        <f t="shared" si="19"/>
        <v>-325</v>
      </c>
      <c r="N34" s="29"/>
      <c r="O34" s="17">
        <v>5180</v>
      </c>
      <c r="P34" s="18">
        <f t="shared" si="14"/>
        <v>90</v>
      </c>
      <c r="Q34" s="14">
        <f t="shared" si="2"/>
        <v>-480</v>
      </c>
      <c r="R34" s="244">
        <f t="shared" si="15"/>
        <v>0</v>
      </c>
      <c r="S34" s="243">
        <f>'青岛 - 螺纹'!S34</f>
        <v>4315</v>
      </c>
      <c r="T34" s="38">
        <f t="shared" si="16"/>
        <v>4198</v>
      </c>
      <c r="U34" s="20">
        <f t="shared" si="3"/>
        <v>117</v>
      </c>
      <c r="V34" s="30"/>
      <c r="W34" s="30"/>
      <c r="X34" s="30"/>
      <c r="Y34" s="30"/>
      <c r="Z34" s="30"/>
      <c r="AA34" s="30"/>
      <c r="AB34" s="30"/>
      <c r="AC34" s="30"/>
      <c r="AD34" s="30"/>
      <c r="AE34" s="248">
        <f>VLOOKUP($A34,每日销量追踪!$A$3:$CM$75,11,0)</f>
        <v>1357.24</v>
      </c>
      <c r="AF34" s="248">
        <f>VLOOKUP($A34,每日销量追踪!$A$3:$CM$75,57,0)</f>
        <v>2642.9759999999937</v>
      </c>
      <c r="AG34" s="251">
        <f>VLOOKUP($A34,每日销量追踪!$A$3:$CM$75,69,0)</f>
        <v>1.0113723042784828</v>
      </c>
      <c r="AH34" s="243">
        <v>75</v>
      </c>
    </row>
    <row r="35" spans="1:34">
      <c r="A35" s="16">
        <f t="shared" si="7"/>
        <v>44533</v>
      </c>
      <c r="B35" s="17">
        <v>4820</v>
      </c>
      <c r="C35" s="18">
        <f t="shared" si="0"/>
        <v>41.368615213924137</v>
      </c>
      <c r="D35" s="18">
        <f t="shared" si="8"/>
        <v>4831.3686152139244</v>
      </c>
      <c r="E35" s="18">
        <f t="shared" si="1"/>
        <v>4879.5002277567237</v>
      </c>
      <c r="F35" s="19">
        <f t="shared" si="17"/>
        <v>2.8377102175729245E-2</v>
      </c>
      <c r="G35" s="14">
        <f t="shared" si="9"/>
        <v>69</v>
      </c>
      <c r="H35" s="20">
        <f t="shared" si="10"/>
        <v>0.7</v>
      </c>
      <c r="I35" s="20">
        <f t="shared" si="11"/>
        <v>-25</v>
      </c>
      <c r="J35" s="28">
        <f t="shared" si="12"/>
        <v>0.3</v>
      </c>
      <c r="K35" s="241">
        <f t="shared" si="18"/>
        <v>0.56861521392413961</v>
      </c>
      <c r="L35" s="20">
        <f t="shared" si="19"/>
        <v>-342</v>
      </c>
      <c r="M35" s="20">
        <f t="shared" si="19"/>
        <v>-325</v>
      </c>
      <c r="N35" s="29"/>
      <c r="O35" s="17">
        <v>5180</v>
      </c>
      <c r="P35" s="18">
        <f t="shared" si="14"/>
        <v>90</v>
      </c>
      <c r="Q35" s="14">
        <f t="shared" si="2"/>
        <v>-480</v>
      </c>
      <c r="R35" s="244">
        <f t="shared" si="15"/>
        <v>0</v>
      </c>
      <c r="S35" s="243">
        <f>'青岛 - 螺纹'!S35</f>
        <v>4290</v>
      </c>
      <c r="T35" s="38">
        <f t="shared" si="16"/>
        <v>4315</v>
      </c>
      <c r="U35" s="20">
        <f t="shared" si="3"/>
        <v>-25</v>
      </c>
      <c r="V35" s="30"/>
      <c r="W35" s="30"/>
      <c r="X35" s="30"/>
      <c r="Y35" s="30"/>
      <c r="Z35" s="30"/>
      <c r="AA35" s="30"/>
      <c r="AB35" s="30"/>
      <c r="AC35" s="30"/>
      <c r="AD35" s="30"/>
      <c r="AE35" s="248">
        <f>VLOOKUP($A35,每日销量追踪!$A$3:$CM$75,11,0)</f>
        <v>5355.4400000000005</v>
      </c>
      <c r="AF35" s="248">
        <f>VLOOKUP($A35,每日销量追踪!$A$3:$CM$75,57,0)</f>
        <v>2642.9759999999937</v>
      </c>
      <c r="AG35" s="251">
        <f>VLOOKUP($A35,每日销量追踪!$A$3:$CM$75,69,0)</f>
        <v>1.1675137304427929</v>
      </c>
      <c r="AH35" s="243">
        <v>75</v>
      </c>
    </row>
    <row r="36" spans="1:34">
      <c r="A36" s="16">
        <f t="shared" si="7"/>
        <v>44534</v>
      </c>
      <c r="B36" s="17">
        <v>4850</v>
      </c>
      <c r="C36" s="18">
        <f t="shared" si="0"/>
        <v>87.275686522139651</v>
      </c>
      <c r="D36" s="18">
        <f t="shared" si="8"/>
        <v>4907.2756865221399</v>
      </c>
      <c r="E36" s="18">
        <f t="shared" si="1"/>
        <v>4831.3686152139244</v>
      </c>
      <c r="F36" s="19">
        <f t="shared" si="17"/>
        <v>2.8377102175729245E-2</v>
      </c>
      <c r="G36" s="14">
        <f t="shared" si="9"/>
        <v>54</v>
      </c>
      <c r="H36" s="20">
        <f t="shared" si="10"/>
        <v>0.7</v>
      </c>
      <c r="I36" s="20">
        <f t="shared" si="11"/>
        <v>137</v>
      </c>
      <c r="J36" s="28">
        <f t="shared" si="12"/>
        <v>0.3</v>
      </c>
      <c r="K36" s="241">
        <f t="shared" si="18"/>
        <v>8.375686522139647</v>
      </c>
      <c r="L36" s="20">
        <f t="shared" si="19"/>
        <v>-342</v>
      </c>
      <c r="M36" s="20">
        <f t="shared" si="19"/>
        <v>-325</v>
      </c>
      <c r="N36" s="29"/>
      <c r="O36" s="17">
        <v>5180</v>
      </c>
      <c r="P36" s="18">
        <f t="shared" si="14"/>
        <v>90</v>
      </c>
      <c r="Q36" s="14">
        <f t="shared" si="2"/>
        <v>-450</v>
      </c>
      <c r="R36" s="244">
        <f t="shared" si="15"/>
        <v>0</v>
      </c>
      <c r="S36" s="243">
        <f>'青岛 - 螺纹'!S36</f>
        <v>4427</v>
      </c>
      <c r="T36" s="38">
        <f t="shared" si="16"/>
        <v>4290</v>
      </c>
      <c r="U36" s="20">
        <f t="shared" si="3"/>
        <v>137</v>
      </c>
      <c r="V36" s="30"/>
      <c r="W36" s="30"/>
      <c r="X36" s="30"/>
      <c r="Y36" s="30"/>
      <c r="Z36" s="30"/>
      <c r="AA36" s="30"/>
      <c r="AB36" s="30"/>
      <c r="AC36" s="30"/>
      <c r="AD36" s="30"/>
      <c r="AE36" s="248">
        <f>VLOOKUP($A36,每日销量追踪!$A$3:$CM$75,11,0)</f>
        <v>2005.6</v>
      </c>
      <c r="AF36" s="248">
        <f>VLOOKUP($A36,每日销量追踪!$A$3:$CM$75,57,0)</f>
        <v>1321.4880000000007</v>
      </c>
      <c r="AG36" s="251">
        <f>VLOOKUP($A36,每日销量追踪!$A$3:$CM$75,69,0)</f>
        <v>1.1925258280276265</v>
      </c>
      <c r="AH36" s="243">
        <v>75</v>
      </c>
    </row>
    <row r="37" spans="1:34">
      <c r="A37" s="16">
        <f t="shared" si="7"/>
        <v>44535</v>
      </c>
      <c r="B37" s="17">
        <v>4860</v>
      </c>
      <c r="C37" s="18">
        <f t="shared" si="0"/>
        <v>66.226291401381317</v>
      </c>
      <c r="D37" s="18">
        <f t="shared" si="8"/>
        <v>4916.2262914013809</v>
      </c>
      <c r="E37" s="18">
        <f t="shared" si="1"/>
        <v>4907.2756865221399</v>
      </c>
      <c r="F37" s="19">
        <f t="shared" si="17"/>
        <v>5.6754204351458323E-2</v>
      </c>
      <c r="G37" s="14">
        <f t="shared" si="9"/>
        <v>89</v>
      </c>
      <c r="H37" s="20">
        <f t="shared" si="10"/>
        <v>0.7</v>
      </c>
      <c r="I37" s="20">
        <f t="shared" si="11"/>
        <v>-19</v>
      </c>
      <c r="J37" s="28">
        <f t="shared" si="12"/>
        <v>0.3</v>
      </c>
      <c r="K37" s="241">
        <f t="shared" si="18"/>
        <v>9.6262914013813266</v>
      </c>
      <c r="L37" s="20">
        <f>L36</f>
        <v>-342</v>
      </c>
      <c r="M37" s="20">
        <f>M36</f>
        <v>-325</v>
      </c>
      <c r="N37" s="29"/>
      <c r="O37" s="17">
        <v>5230</v>
      </c>
      <c r="P37" s="18">
        <f t="shared" si="14"/>
        <v>90</v>
      </c>
      <c r="Q37" s="14">
        <f t="shared" si="2"/>
        <v>-420</v>
      </c>
      <c r="R37" s="244">
        <f t="shared" si="15"/>
        <v>50</v>
      </c>
      <c r="S37" s="243">
        <f>'青岛 - 螺纹'!S37</f>
        <v>4408</v>
      </c>
      <c r="T37" s="38">
        <f t="shared" si="16"/>
        <v>4427</v>
      </c>
      <c r="U37" s="20">
        <f t="shared" si="3"/>
        <v>-19</v>
      </c>
      <c r="V37" s="30"/>
      <c r="W37" s="30"/>
      <c r="X37" s="30"/>
      <c r="Y37" s="30"/>
      <c r="Z37" s="30"/>
      <c r="AA37" s="30"/>
      <c r="AB37" s="30"/>
      <c r="AC37" s="30"/>
      <c r="AD37" s="30"/>
      <c r="AE37" s="248">
        <f>VLOOKUP($A37,每日销量追踪!$A$3:$CM$75,11,0)</f>
        <v>465.92</v>
      </c>
      <c r="AF37" s="248">
        <f>VLOOKUP($A37,每日销量追踪!$A$3:$CM$75,57,0)</f>
        <v>1321.4880000000007</v>
      </c>
      <c r="AG37" s="251">
        <f>VLOOKUP($A37,每日销量追踪!$A$3:$CM$75,69,0)</f>
        <v>1.1365289229515014</v>
      </c>
      <c r="AH37" s="243">
        <v>75</v>
      </c>
    </row>
    <row r="38" spans="1:34">
      <c r="A38" s="16">
        <f t="shared" si="7"/>
        <v>44536</v>
      </c>
      <c r="B38" s="17">
        <v>4860</v>
      </c>
      <c r="C38" s="18">
        <f t="shared" si="0"/>
        <v>48.126446147575066</v>
      </c>
      <c r="D38" s="18">
        <f t="shared" si="8"/>
        <v>4908.1264461475748</v>
      </c>
      <c r="E38" s="18">
        <f t="shared" si="1"/>
        <v>4916.2262914013809</v>
      </c>
      <c r="F38" s="19">
        <f t="shared" si="17"/>
        <v>5.6754204351458323E-2</v>
      </c>
      <c r="G38" s="14">
        <f t="shared" si="9"/>
        <v>59</v>
      </c>
      <c r="H38" s="20">
        <f t="shared" si="10"/>
        <v>0.7</v>
      </c>
      <c r="I38" s="20">
        <f t="shared" si="11"/>
        <v>0</v>
      </c>
      <c r="J38" s="28">
        <f t="shared" si="12"/>
        <v>0.3</v>
      </c>
      <c r="K38" s="241">
        <f t="shared" si="18"/>
        <v>6.8264461475750711</v>
      </c>
      <c r="L38" s="20">
        <f>L37</f>
        <v>-342</v>
      </c>
      <c r="M38" s="20">
        <f>M37</f>
        <v>-325</v>
      </c>
      <c r="N38" s="29"/>
      <c r="O38" s="17">
        <v>5230</v>
      </c>
      <c r="P38" s="18">
        <f t="shared" si="14"/>
        <v>90</v>
      </c>
      <c r="Q38" s="14">
        <f t="shared" si="2"/>
        <v>-460</v>
      </c>
      <c r="R38" s="244">
        <f t="shared" si="15"/>
        <v>0</v>
      </c>
      <c r="S38" s="243">
        <f>'青岛 - 螺纹'!S38</f>
        <v>4408</v>
      </c>
      <c r="T38" s="38">
        <f t="shared" si="16"/>
        <v>4408</v>
      </c>
      <c r="U38" s="20">
        <f t="shared" si="3"/>
        <v>0</v>
      </c>
      <c r="V38" s="30"/>
      <c r="W38" s="30"/>
      <c r="X38" s="30"/>
      <c r="Y38" s="30"/>
      <c r="Z38" s="30"/>
      <c r="AA38" s="30"/>
      <c r="AB38" s="30"/>
      <c r="AC38" s="30"/>
      <c r="AD38" s="30"/>
      <c r="AE38" s="248">
        <f>VLOOKUP($A38,每日销量追踪!$A$3:$CM$75,11,0)</f>
        <v>0</v>
      </c>
      <c r="AF38" s="248">
        <f>VLOOKUP($A38,每日销量追踪!$A$3:$CM$75,57,0)</f>
        <v>3964.4640000000009</v>
      </c>
      <c r="AG38" s="251">
        <f>VLOOKUP($A38,每日销量追踪!$A$3:$CM$75,69,0)</f>
        <v>0</v>
      </c>
      <c r="AH38" s="243">
        <v>75</v>
      </c>
    </row>
    <row r="39" spans="1:34">
      <c r="A39" s="16">
        <f t="shared" si="7"/>
        <v>44537</v>
      </c>
      <c r="B39" s="17"/>
      <c r="C39" s="18">
        <f t="shared" si="0"/>
        <v>-4992.0999999999995</v>
      </c>
      <c r="D39" s="18">
        <f t="shared" si="8"/>
        <v>-132.09999999999945</v>
      </c>
      <c r="E39" s="18">
        <f t="shared" si="1"/>
        <v>4908.1264461475748</v>
      </c>
      <c r="F39" s="19">
        <f t="shared" si="17"/>
        <v>1.891806811715278E-2</v>
      </c>
      <c r="G39" s="14">
        <f t="shared" si="9"/>
        <v>-5171</v>
      </c>
      <c r="H39" s="20">
        <f t="shared" si="10"/>
        <v>0.7</v>
      </c>
      <c r="I39" s="20">
        <f t="shared" si="11"/>
        <v>-4408</v>
      </c>
      <c r="J39" s="28">
        <f t="shared" si="12"/>
        <v>0.3</v>
      </c>
      <c r="K39" s="241">
        <f t="shared" si="18"/>
        <v>-50</v>
      </c>
      <c r="L39" s="20">
        <f t="shared" ref="L39:M41" si="20">L38</f>
        <v>-342</v>
      </c>
      <c r="M39" s="20">
        <f t="shared" si="20"/>
        <v>-325</v>
      </c>
      <c r="N39" s="29"/>
      <c r="O39" s="17"/>
      <c r="P39" s="18">
        <f t="shared" si="14"/>
        <v>90</v>
      </c>
      <c r="Q39" s="14">
        <f t="shared" si="2"/>
        <v>-460</v>
      </c>
      <c r="R39" s="244">
        <f t="shared" si="15"/>
        <v>-5230</v>
      </c>
      <c r="S39" s="243">
        <f>'青岛 - 螺纹'!S39</f>
        <v>0</v>
      </c>
      <c r="T39" s="38">
        <f t="shared" si="16"/>
        <v>4408</v>
      </c>
      <c r="U39" s="20">
        <f t="shared" si="3"/>
        <v>-4408</v>
      </c>
      <c r="V39" s="30"/>
      <c r="W39" s="30"/>
      <c r="X39" s="30"/>
      <c r="Y39" s="30"/>
      <c r="Z39" s="30"/>
      <c r="AA39" s="30"/>
      <c r="AB39" s="30"/>
      <c r="AC39" s="30"/>
      <c r="AD39" s="30"/>
      <c r="AE39" s="248">
        <f>VLOOKUP($A39,每日销量追踪!$A$3:$CM$75,11,0)</f>
        <v>0</v>
      </c>
      <c r="AF39" s="248">
        <f>VLOOKUP($A39,每日销量追踪!$A$3:$CM$75,57,0)</f>
        <v>3964.4640000000009</v>
      </c>
      <c r="AG39" s="251">
        <f>VLOOKUP($A39,每日销量追踪!$A$3:$CM$75,69,0)</f>
        <v>0</v>
      </c>
      <c r="AH39" s="243">
        <v>75</v>
      </c>
    </row>
    <row r="40" spans="1:34">
      <c r="A40" s="16">
        <f t="shared" si="7"/>
        <v>44538</v>
      </c>
      <c r="B40" s="17"/>
      <c r="C40" s="18">
        <f t="shared" si="0"/>
        <v>-132.25</v>
      </c>
      <c r="D40" s="18">
        <f t="shared" si="8"/>
        <v>-132.25</v>
      </c>
      <c r="E40" s="18">
        <f t="shared" si="1"/>
        <v>-132.09999999999945</v>
      </c>
      <c r="F40" s="19">
        <f t="shared" si="17"/>
        <v>1.891806811715278E-2</v>
      </c>
      <c r="G40" s="14">
        <f t="shared" si="9"/>
        <v>-117.5</v>
      </c>
      <c r="H40" s="20">
        <f t="shared" si="10"/>
        <v>0.7</v>
      </c>
      <c r="I40" s="20">
        <f t="shared" si="11"/>
        <v>0</v>
      </c>
      <c r="J40" s="28">
        <f t="shared" si="12"/>
        <v>0.3</v>
      </c>
      <c r="K40" s="241">
        <f t="shared" si="18"/>
        <v>-50</v>
      </c>
      <c r="L40" s="20">
        <f t="shared" si="20"/>
        <v>-342</v>
      </c>
      <c r="M40" s="20">
        <f t="shared" si="20"/>
        <v>-325</v>
      </c>
      <c r="N40" s="29"/>
      <c r="O40" s="17"/>
      <c r="P40" s="18">
        <f t="shared" si="14"/>
        <v>90</v>
      </c>
      <c r="Q40" s="14">
        <f t="shared" si="2"/>
        <v>-90</v>
      </c>
      <c r="R40" s="244">
        <f t="shared" si="15"/>
        <v>0</v>
      </c>
      <c r="S40" s="243">
        <f>'青岛 - 螺纹'!S40</f>
        <v>0</v>
      </c>
      <c r="T40" s="38">
        <f t="shared" si="16"/>
        <v>0</v>
      </c>
      <c r="U40" s="20">
        <f t="shared" si="3"/>
        <v>0</v>
      </c>
      <c r="V40" s="30"/>
      <c r="W40" s="30"/>
      <c r="X40" s="30"/>
      <c r="Y40" s="30"/>
      <c r="Z40" s="30"/>
      <c r="AA40" s="30"/>
      <c r="AB40" s="30"/>
      <c r="AC40" s="30"/>
      <c r="AD40" s="30"/>
      <c r="AE40" s="248">
        <f>VLOOKUP($A40,每日销量追踪!$A$3:$CM$75,11,0)</f>
        <v>0</v>
      </c>
      <c r="AF40" s="248">
        <f>VLOOKUP($A40,每日销量追踪!$A$3:$CM$75,57,0)</f>
        <v>3964.4640000000009</v>
      </c>
      <c r="AG40" s="251">
        <f>VLOOKUP($A40,每日销量追踪!$A$3:$CM$75,69,0)</f>
        <v>0</v>
      </c>
      <c r="AH40" s="243">
        <v>75</v>
      </c>
    </row>
    <row r="41" spans="1:34">
      <c r="A41" s="16">
        <f t="shared" si="7"/>
        <v>44539</v>
      </c>
      <c r="B41" s="17"/>
      <c r="C41" s="18">
        <f t="shared" si="0"/>
        <v>-132.25</v>
      </c>
      <c r="D41" s="18">
        <f t="shared" si="8"/>
        <v>-132.25</v>
      </c>
      <c r="E41" s="18">
        <f t="shared" si="1"/>
        <v>-132.25</v>
      </c>
      <c r="F41" s="19">
        <f t="shared" si="17"/>
        <v>1.891806811715278E-2</v>
      </c>
      <c r="G41" s="14">
        <f t="shared" si="9"/>
        <v>-117.5</v>
      </c>
      <c r="H41" s="20">
        <f t="shared" si="10"/>
        <v>0.7</v>
      </c>
      <c r="I41" s="20">
        <f t="shared" si="11"/>
        <v>0</v>
      </c>
      <c r="J41" s="28">
        <f t="shared" si="12"/>
        <v>0.3</v>
      </c>
      <c r="K41" s="241">
        <f t="shared" si="18"/>
        <v>-50</v>
      </c>
      <c r="L41" s="20">
        <f t="shared" si="20"/>
        <v>-342</v>
      </c>
      <c r="M41" s="20">
        <f t="shared" si="20"/>
        <v>-325</v>
      </c>
      <c r="N41" s="29"/>
      <c r="O41" s="17"/>
      <c r="P41" s="18">
        <f t="shared" si="14"/>
        <v>90</v>
      </c>
      <c r="Q41" s="14">
        <f t="shared" si="2"/>
        <v>-90</v>
      </c>
      <c r="R41" s="244">
        <f t="shared" si="15"/>
        <v>0</v>
      </c>
      <c r="S41" s="243">
        <f>'青岛 - 螺纹'!S41</f>
        <v>0</v>
      </c>
      <c r="T41" s="38">
        <f t="shared" si="16"/>
        <v>0</v>
      </c>
      <c r="U41" s="20">
        <f t="shared" si="3"/>
        <v>0</v>
      </c>
      <c r="V41" s="30"/>
      <c r="W41" s="30"/>
      <c r="X41" s="30"/>
      <c r="Y41" s="30"/>
      <c r="Z41" s="30"/>
      <c r="AA41" s="30"/>
      <c r="AB41" s="30"/>
      <c r="AC41" s="30"/>
      <c r="AD41" s="30"/>
      <c r="AE41" s="248">
        <f>VLOOKUP($A41,每日销量追踪!$A$3:$CM$75,11,0)</f>
        <v>0</v>
      </c>
      <c r="AF41" s="248">
        <f>VLOOKUP($A41,每日销量追踪!$A$3:$CM$75,57,0)</f>
        <v>2642.9759999999937</v>
      </c>
      <c r="AG41" s="251">
        <f>VLOOKUP($A41,每日销量追踪!$A$3:$CM$75,69,0)</f>
        <v>0</v>
      </c>
      <c r="AH41" s="243">
        <v>75</v>
      </c>
    </row>
  </sheetData>
  <phoneticPr fontId="16" type="noConversion"/>
  <conditionalFormatting sqref="A5:A900">
    <cfRule type="cellIs" dxfId="15" priority="1" operator="equal">
      <formula>$A$1</formula>
    </cfRule>
  </conditionalFormatting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M52"/>
  <sheetViews>
    <sheetView workbookViewId="0">
      <pane xSplit="2" ySplit="3" topLeftCell="C10" activePane="bottomRight" state="frozen"/>
      <selection pane="topRight"/>
      <selection pane="bottomLeft"/>
      <selection pane="bottomRight" activeCell="I35" sqref="I35"/>
    </sheetView>
  </sheetViews>
  <sheetFormatPr defaultColWidth="8.75" defaultRowHeight="12.75"/>
  <cols>
    <col min="1" max="1" width="11.5" style="67" customWidth="1"/>
    <col min="2" max="2" width="4.875" style="68" customWidth="1"/>
    <col min="3" max="7" width="9.875" style="69" customWidth="1"/>
    <col min="8" max="8" width="10" style="69" customWidth="1"/>
    <col min="9" max="14" width="9.875" style="67" customWidth="1"/>
    <col min="15" max="15" width="12.125" style="70" customWidth="1"/>
    <col min="16" max="16" width="11" style="67" customWidth="1"/>
    <col min="17" max="29" width="8.75" style="67"/>
    <col min="30" max="30" width="10" style="67" customWidth="1"/>
    <col min="31" max="34" width="8.75" style="67"/>
    <col min="35" max="35" width="8.75" style="71"/>
    <col min="36" max="40" width="8.75" style="67"/>
    <col min="41" max="41" width="8.75" style="71"/>
    <col min="42" max="46" width="8.75" style="67"/>
    <col min="47" max="47" width="8.75" style="71"/>
    <col min="48" max="53" width="8.75" style="67"/>
    <col min="54" max="54" width="8.75" style="71"/>
    <col min="55" max="59" width="8.75" style="67"/>
    <col min="60" max="60" width="8.75" style="71"/>
    <col min="61" max="65" width="8.75" style="67"/>
    <col min="66" max="66" width="8.75" style="71"/>
    <col min="67" max="71" width="8.75" style="67"/>
    <col min="72" max="72" width="8.75" style="71"/>
    <col min="73" max="77" width="8.75" style="67"/>
    <col min="78" max="78" width="8.75" style="71"/>
    <col min="79" max="79" width="9.875" style="71" customWidth="1"/>
    <col min="80" max="84" width="8.75" style="67"/>
    <col min="85" max="85" width="8.75" style="71"/>
    <col min="86" max="90" width="8.75" style="67"/>
    <col min="91" max="91" width="8.75" style="71"/>
    <col min="92" max="16384" width="8.75" style="67"/>
  </cols>
  <sheetData>
    <row r="1" spans="1:91">
      <c r="A1" s="67">
        <v>1</v>
      </c>
      <c r="B1" s="67">
        <v>2</v>
      </c>
      <c r="C1" s="67">
        <v>3</v>
      </c>
      <c r="D1" s="67">
        <v>4</v>
      </c>
      <c r="E1" s="67">
        <v>5</v>
      </c>
      <c r="F1" s="67">
        <v>6</v>
      </c>
      <c r="G1" s="67">
        <v>7</v>
      </c>
      <c r="H1" s="67">
        <v>8</v>
      </c>
      <c r="I1" s="67">
        <v>9</v>
      </c>
      <c r="J1" s="67">
        <v>10</v>
      </c>
      <c r="K1" s="67">
        <v>11</v>
      </c>
      <c r="L1" s="67">
        <v>12</v>
      </c>
      <c r="M1" s="67">
        <v>13</v>
      </c>
      <c r="N1" s="67">
        <v>14</v>
      </c>
      <c r="O1" s="67">
        <v>15</v>
      </c>
      <c r="P1" s="67">
        <v>16</v>
      </c>
      <c r="Q1" s="67">
        <v>17</v>
      </c>
      <c r="R1" s="67">
        <v>18</v>
      </c>
      <c r="S1" s="67">
        <v>19</v>
      </c>
      <c r="T1" s="67">
        <v>20</v>
      </c>
      <c r="U1" s="67">
        <v>21</v>
      </c>
      <c r="V1" s="67">
        <v>22</v>
      </c>
      <c r="W1" s="67">
        <v>23</v>
      </c>
      <c r="X1" s="67">
        <v>24</v>
      </c>
      <c r="Y1" s="67">
        <v>25</v>
      </c>
      <c r="Z1" s="67">
        <v>26</v>
      </c>
      <c r="AA1" s="67">
        <v>27</v>
      </c>
      <c r="AB1" s="67">
        <v>28</v>
      </c>
      <c r="AC1" s="67">
        <v>29</v>
      </c>
      <c r="AD1" s="67">
        <v>30</v>
      </c>
      <c r="AE1" s="67">
        <v>31</v>
      </c>
      <c r="AF1" s="67">
        <v>32</v>
      </c>
      <c r="AG1" s="67">
        <v>33</v>
      </c>
      <c r="AH1" s="67">
        <v>34</v>
      </c>
      <c r="AI1" s="67">
        <v>35</v>
      </c>
      <c r="AJ1" s="67">
        <v>36</v>
      </c>
      <c r="AK1" s="67">
        <v>37</v>
      </c>
      <c r="AL1" s="67">
        <v>38</v>
      </c>
      <c r="AM1" s="67">
        <v>39</v>
      </c>
      <c r="AN1" s="67">
        <v>40</v>
      </c>
      <c r="AO1" s="67">
        <v>41</v>
      </c>
      <c r="AP1" s="67">
        <v>42</v>
      </c>
      <c r="AQ1" s="67">
        <v>43</v>
      </c>
      <c r="AR1" s="67">
        <v>44</v>
      </c>
      <c r="AS1" s="67">
        <v>45</v>
      </c>
      <c r="AT1" s="67">
        <v>46</v>
      </c>
      <c r="AU1" s="67">
        <v>47</v>
      </c>
      <c r="AV1" s="67">
        <v>48</v>
      </c>
      <c r="AW1" s="67">
        <v>49</v>
      </c>
      <c r="AX1" s="67">
        <v>50</v>
      </c>
      <c r="AY1" s="67">
        <v>51</v>
      </c>
      <c r="AZ1" s="67">
        <v>52</v>
      </c>
      <c r="BA1" s="67">
        <v>53</v>
      </c>
      <c r="BB1" s="67">
        <v>54</v>
      </c>
      <c r="BC1" s="67">
        <v>55</v>
      </c>
      <c r="BD1" s="67">
        <v>56</v>
      </c>
      <c r="BE1" s="67">
        <v>57</v>
      </c>
      <c r="BF1" s="67">
        <v>58</v>
      </c>
      <c r="BG1" s="67">
        <v>59</v>
      </c>
      <c r="BH1" s="67">
        <v>60</v>
      </c>
      <c r="BI1" s="67">
        <v>61</v>
      </c>
      <c r="BJ1" s="67">
        <v>62</v>
      </c>
      <c r="BK1" s="67">
        <v>63</v>
      </c>
      <c r="BL1" s="67">
        <v>64</v>
      </c>
      <c r="BM1" s="67">
        <v>65</v>
      </c>
      <c r="BN1" s="67">
        <v>66</v>
      </c>
      <c r="BO1" s="67">
        <v>67</v>
      </c>
      <c r="BP1" s="67">
        <v>68</v>
      </c>
      <c r="BQ1" s="67">
        <v>69</v>
      </c>
      <c r="BR1" s="67">
        <v>70</v>
      </c>
      <c r="BS1" s="67">
        <v>71</v>
      </c>
      <c r="BT1" s="67">
        <v>72</v>
      </c>
      <c r="BU1" s="67">
        <v>73</v>
      </c>
      <c r="BV1" s="67">
        <v>74</v>
      </c>
      <c r="BW1" s="67">
        <v>75</v>
      </c>
      <c r="BX1" s="67">
        <v>76</v>
      </c>
      <c r="BY1" s="67">
        <v>77</v>
      </c>
      <c r="BZ1" s="67">
        <v>78</v>
      </c>
      <c r="CA1" s="67">
        <v>79</v>
      </c>
      <c r="CB1" s="67">
        <v>80</v>
      </c>
      <c r="CC1" s="67">
        <v>81</v>
      </c>
      <c r="CD1" s="67">
        <v>82</v>
      </c>
      <c r="CE1" s="67">
        <v>83</v>
      </c>
      <c r="CF1" s="67">
        <v>84</v>
      </c>
      <c r="CG1" s="67">
        <v>85</v>
      </c>
      <c r="CH1" s="67">
        <v>86</v>
      </c>
      <c r="CI1" s="67">
        <v>87</v>
      </c>
      <c r="CJ1" s="67">
        <v>88</v>
      </c>
      <c r="CK1" s="67">
        <v>89</v>
      </c>
      <c r="CL1" s="67">
        <v>90</v>
      </c>
      <c r="CM1" s="67">
        <v>91</v>
      </c>
    </row>
    <row r="2" spans="1:91">
      <c r="O2" s="67"/>
      <c r="Q2" s="72" t="s">
        <v>111</v>
      </c>
      <c r="W2" s="116" t="s">
        <v>112</v>
      </c>
      <c r="X2" s="117"/>
      <c r="Y2" s="117"/>
      <c r="Z2" s="117"/>
      <c r="AA2" s="117"/>
      <c r="AB2" s="117"/>
      <c r="AC2" s="117"/>
      <c r="AD2" s="116" t="s">
        <v>113</v>
      </c>
      <c r="AE2" s="117"/>
      <c r="AF2" s="117"/>
      <c r="AG2" s="117"/>
      <c r="AH2" s="117"/>
      <c r="AI2" s="154"/>
      <c r="AJ2" s="116" t="s">
        <v>114</v>
      </c>
      <c r="AK2" s="117"/>
      <c r="AL2" s="117"/>
      <c r="AM2" s="117"/>
      <c r="AN2" s="117"/>
      <c r="AO2" s="154"/>
      <c r="AP2" s="167" t="s">
        <v>115</v>
      </c>
      <c r="AQ2" s="117"/>
      <c r="AR2" s="117"/>
      <c r="AS2" s="117"/>
      <c r="AT2" s="117"/>
      <c r="AU2" s="154"/>
      <c r="AV2" s="168" t="s">
        <v>116</v>
      </c>
      <c r="AW2" s="189"/>
      <c r="AX2" s="189"/>
      <c r="AY2" s="189"/>
      <c r="AZ2" s="189"/>
      <c r="BA2" s="189"/>
      <c r="BB2" s="190"/>
      <c r="BC2" s="168" t="s">
        <v>117</v>
      </c>
      <c r="BD2" s="189"/>
      <c r="BE2" s="189"/>
      <c r="BF2" s="189"/>
      <c r="BG2" s="189"/>
      <c r="BH2" s="190"/>
      <c r="BI2" s="168" t="s">
        <v>118</v>
      </c>
      <c r="BJ2" s="189"/>
      <c r="BK2" s="189"/>
      <c r="BL2" s="189"/>
      <c r="BM2" s="189"/>
      <c r="BN2" s="190"/>
      <c r="BO2" s="202" t="s">
        <v>119</v>
      </c>
      <c r="BP2" s="189"/>
      <c r="BQ2" s="189"/>
      <c r="BR2" s="189"/>
      <c r="BS2" s="189"/>
      <c r="BT2" s="190"/>
      <c r="BU2" s="217" t="s">
        <v>120</v>
      </c>
      <c r="BV2" s="218"/>
      <c r="BW2" s="218"/>
      <c r="BX2" s="218"/>
      <c r="BY2" s="218"/>
      <c r="BZ2" s="219"/>
      <c r="CA2" s="219"/>
      <c r="CB2" s="217" t="s">
        <v>121</v>
      </c>
      <c r="CC2" s="218"/>
      <c r="CD2" s="218"/>
      <c r="CE2" s="218"/>
      <c r="CF2" s="218"/>
      <c r="CG2" s="219"/>
      <c r="CH2" s="229" t="s">
        <v>122</v>
      </c>
      <c r="CI2" s="218"/>
      <c r="CJ2" s="218"/>
      <c r="CK2" s="218"/>
      <c r="CL2" s="218"/>
      <c r="CM2" s="219"/>
    </row>
    <row r="3" spans="1:91">
      <c r="A3" s="72" t="s">
        <v>41</v>
      </c>
      <c r="B3" s="73" t="s">
        <v>123</v>
      </c>
      <c r="C3" s="74" t="s">
        <v>124</v>
      </c>
      <c r="D3" s="74" t="s">
        <v>125</v>
      </c>
      <c r="E3" s="74" t="s">
        <v>126</v>
      </c>
      <c r="F3" s="74" t="s">
        <v>127</v>
      </c>
      <c r="G3" s="74" t="s">
        <v>128</v>
      </c>
      <c r="H3" s="74" t="s">
        <v>129</v>
      </c>
      <c r="I3" s="93" t="s">
        <v>130</v>
      </c>
      <c r="J3" s="93" t="s">
        <v>131</v>
      </c>
      <c r="K3" s="93" t="s">
        <v>132</v>
      </c>
      <c r="L3" s="93" t="s">
        <v>133</v>
      </c>
      <c r="M3" s="93" t="s">
        <v>134</v>
      </c>
      <c r="N3" s="93" t="s">
        <v>135</v>
      </c>
      <c r="O3" s="93" t="s">
        <v>136</v>
      </c>
      <c r="P3" s="72" t="s">
        <v>137</v>
      </c>
      <c r="Q3" s="72" t="s">
        <v>138</v>
      </c>
      <c r="R3" s="72" t="s">
        <v>139</v>
      </c>
      <c r="S3" s="72" t="s">
        <v>140</v>
      </c>
      <c r="T3" s="72" t="s">
        <v>141</v>
      </c>
      <c r="U3" s="72" t="s">
        <v>142</v>
      </c>
      <c r="V3" s="72" t="s">
        <v>143</v>
      </c>
      <c r="W3" s="72" t="s">
        <v>144</v>
      </c>
      <c r="X3" s="72" t="s">
        <v>145</v>
      </c>
      <c r="Y3" s="72" t="s">
        <v>146</v>
      </c>
      <c r="Z3" s="72" t="s">
        <v>147</v>
      </c>
      <c r="AA3" s="72" t="s">
        <v>148</v>
      </c>
      <c r="AB3" s="72" t="s">
        <v>149</v>
      </c>
      <c r="AC3" s="72" t="s">
        <v>150</v>
      </c>
      <c r="AD3" s="72" t="s">
        <v>151</v>
      </c>
      <c r="AE3" s="72" t="s">
        <v>152</v>
      </c>
      <c r="AF3" s="72" t="s">
        <v>153</v>
      </c>
      <c r="AG3" s="72" t="s">
        <v>154</v>
      </c>
      <c r="AH3" s="72" t="s">
        <v>155</v>
      </c>
      <c r="AI3" s="155" t="s">
        <v>156</v>
      </c>
      <c r="AJ3" s="72" t="s">
        <v>157</v>
      </c>
      <c r="AK3" s="72" t="s">
        <v>158</v>
      </c>
      <c r="AL3" s="72" t="s">
        <v>159</v>
      </c>
      <c r="AM3" s="72" t="s">
        <v>160</v>
      </c>
      <c r="AN3" s="72" t="s">
        <v>161</v>
      </c>
      <c r="AO3" s="155" t="s">
        <v>162</v>
      </c>
      <c r="AP3" s="72" t="s">
        <v>163</v>
      </c>
      <c r="AQ3" s="72" t="s">
        <v>164</v>
      </c>
      <c r="AR3" s="72" t="s">
        <v>165</v>
      </c>
      <c r="AS3" s="72" t="s">
        <v>166</v>
      </c>
      <c r="AT3" s="72" t="s">
        <v>167</v>
      </c>
      <c r="AU3" s="155" t="s">
        <v>168</v>
      </c>
      <c r="AV3" s="72" t="s">
        <v>169</v>
      </c>
      <c r="AW3" s="72" t="s">
        <v>170</v>
      </c>
      <c r="AX3" s="72" t="s">
        <v>171</v>
      </c>
      <c r="AY3" s="72" t="s">
        <v>172</v>
      </c>
      <c r="AZ3" s="72" t="s">
        <v>173</v>
      </c>
      <c r="BA3" s="72" t="s">
        <v>174</v>
      </c>
      <c r="BB3" s="155" t="s">
        <v>150</v>
      </c>
      <c r="BC3" s="72" t="s">
        <v>151</v>
      </c>
      <c r="BD3" s="72" t="s">
        <v>152</v>
      </c>
      <c r="BE3" s="72" t="s">
        <v>153</v>
      </c>
      <c r="BF3" s="72" t="s">
        <v>154</v>
      </c>
      <c r="BG3" s="72" t="s">
        <v>155</v>
      </c>
      <c r="BH3" s="155" t="s">
        <v>156</v>
      </c>
      <c r="BI3" s="72" t="s">
        <v>157</v>
      </c>
      <c r="BJ3" s="72" t="s">
        <v>158</v>
      </c>
      <c r="BK3" s="72" t="s">
        <v>159</v>
      </c>
      <c r="BL3" s="72" t="s">
        <v>160</v>
      </c>
      <c r="BM3" s="72" t="s">
        <v>161</v>
      </c>
      <c r="BN3" s="155" t="s">
        <v>162</v>
      </c>
      <c r="BO3" s="72" t="s">
        <v>163</v>
      </c>
      <c r="BP3" s="72" t="s">
        <v>164</v>
      </c>
      <c r="BQ3" s="72" t="s">
        <v>165</v>
      </c>
      <c r="BR3" s="72" t="s">
        <v>166</v>
      </c>
      <c r="BS3" s="72" t="s">
        <v>167</v>
      </c>
      <c r="BT3" s="155" t="s">
        <v>168</v>
      </c>
      <c r="BU3" s="72" t="s">
        <v>151</v>
      </c>
      <c r="BV3" s="72" t="s">
        <v>152</v>
      </c>
      <c r="BW3" s="72" t="s">
        <v>153</v>
      </c>
      <c r="BX3" s="72" t="s">
        <v>154</v>
      </c>
      <c r="BY3" s="72" t="s">
        <v>155</v>
      </c>
      <c r="BZ3" s="155" t="s">
        <v>156</v>
      </c>
      <c r="CA3" s="155" t="s">
        <v>175</v>
      </c>
      <c r="CB3" s="72" t="s">
        <v>157</v>
      </c>
      <c r="CC3" s="72" t="s">
        <v>158</v>
      </c>
      <c r="CD3" s="72" t="s">
        <v>159</v>
      </c>
      <c r="CE3" s="72" t="s">
        <v>160</v>
      </c>
      <c r="CF3" s="72" t="s">
        <v>161</v>
      </c>
      <c r="CG3" s="155" t="s">
        <v>162</v>
      </c>
      <c r="CH3" s="72" t="s">
        <v>163</v>
      </c>
      <c r="CI3" s="72" t="s">
        <v>164</v>
      </c>
      <c r="CJ3" s="72" t="s">
        <v>165</v>
      </c>
      <c r="CK3" s="72" t="s">
        <v>166</v>
      </c>
      <c r="CL3" s="72" t="s">
        <v>167</v>
      </c>
      <c r="CM3" s="155" t="s">
        <v>168</v>
      </c>
    </row>
    <row r="4" spans="1:91" ht="14.25">
      <c r="A4" s="75">
        <v>44515</v>
      </c>
      <c r="B4" s="76">
        <v>1</v>
      </c>
      <c r="C4" s="77">
        <v>1386.7650000000001</v>
      </c>
      <c r="D4" s="78">
        <v>753.98099999999999</v>
      </c>
      <c r="E4" s="78">
        <v>1279.9110000000001</v>
      </c>
      <c r="F4" s="78">
        <v>67.959000000000003</v>
      </c>
      <c r="G4" s="78">
        <v>407.47</v>
      </c>
      <c r="H4" s="78">
        <v>5764.3729999999996</v>
      </c>
      <c r="I4" s="94">
        <v>252.96</v>
      </c>
      <c r="J4" s="94">
        <v>599.04</v>
      </c>
      <c r="K4" s="94">
        <v>798.72</v>
      </c>
      <c r="L4" s="94">
        <v>0</v>
      </c>
      <c r="M4" s="94">
        <v>33.28</v>
      </c>
      <c r="N4" s="95">
        <v>4.16</v>
      </c>
      <c r="O4" s="96">
        <f>SUM($C$4:N4)</f>
        <v>11348.618999999999</v>
      </c>
      <c r="P4" s="97">
        <f>18000*7</f>
        <v>126000</v>
      </c>
      <c r="Q4" s="118">
        <v>0.23</v>
      </c>
      <c r="R4" s="119">
        <v>0.26</v>
      </c>
      <c r="S4" s="119">
        <v>0.23</v>
      </c>
      <c r="T4" s="119">
        <v>0.01</v>
      </c>
      <c r="U4" s="119">
        <v>0.02</v>
      </c>
      <c r="V4" s="120">
        <v>0.25</v>
      </c>
      <c r="W4" s="121">
        <v>0.73</v>
      </c>
      <c r="X4" s="122">
        <v>0.54</v>
      </c>
      <c r="Y4" s="122">
        <v>0.43</v>
      </c>
      <c r="Z4" s="122">
        <v>0.78</v>
      </c>
      <c r="AA4" s="122">
        <v>0.28000000000000003</v>
      </c>
      <c r="AB4" s="122">
        <v>0.5</v>
      </c>
      <c r="AC4" s="142">
        <v>0.16666666666666699</v>
      </c>
      <c r="AD4" s="143">
        <f>$P4*$AC4*Q4*W4</f>
        <v>3525.9000000000065</v>
      </c>
      <c r="AE4" s="144">
        <f t="shared" ref="AE4:AI17" si="0">$P4*$AC4*R4*X4</f>
        <v>2948.400000000006</v>
      </c>
      <c r="AF4" s="144">
        <f t="shared" si="0"/>
        <v>2076.9000000000037</v>
      </c>
      <c r="AG4" s="144">
        <f t="shared" si="0"/>
        <v>163.80000000000032</v>
      </c>
      <c r="AH4" s="144">
        <f t="shared" si="0"/>
        <v>117.60000000000024</v>
      </c>
      <c r="AI4" s="156">
        <f t="shared" si="0"/>
        <v>2625.000000000005</v>
      </c>
      <c r="AJ4" s="157">
        <f>AD4</f>
        <v>3525.9000000000065</v>
      </c>
      <c r="AK4" s="157">
        <f t="shared" ref="AK4:AO4" si="1">AE4</f>
        <v>2948.400000000006</v>
      </c>
      <c r="AL4" s="157">
        <f t="shared" si="1"/>
        <v>2076.9000000000037</v>
      </c>
      <c r="AM4" s="157">
        <f t="shared" si="1"/>
        <v>163.80000000000032</v>
      </c>
      <c r="AN4" s="157">
        <f t="shared" si="1"/>
        <v>117.60000000000024</v>
      </c>
      <c r="AO4" s="169">
        <f t="shared" si="1"/>
        <v>2625.000000000005</v>
      </c>
      <c r="AP4" s="170">
        <f>SUM(C$4:C4)/SUM(AD$4:AD4)</f>
        <v>0.39330809155109264</v>
      </c>
      <c r="AQ4" s="170">
        <f>SUM(D$4:D4)/SUM(AE$4:AE4)</f>
        <v>0.2557254782254777</v>
      </c>
      <c r="AR4" s="170">
        <f>SUM(E$4:E4)/SUM(AF$4:AF4)</f>
        <v>0.61626029178101871</v>
      </c>
      <c r="AS4" s="170">
        <f>SUM(F$4:F4)/SUM(AG$4:AG4)</f>
        <v>0.4148901098901091</v>
      </c>
      <c r="AT4" s="170">
        <f>SUM(G$4:G4)/SUM(AH$4:AH4)</f>
        <v>3.4648809523809456</v>
      </c>
      <c r="AU4" s="171">
        <f>SUM(H$4:H4)/SUM(AI$4:AI4)</f>
        <v>2.1959516190476145</v>
      </c>
      <c r="AV4" s="172">
        <f>1-W4</f>
        <v>0.27</v>
      </c>
      <c r="AW4" s="172">
        <f t="shared" ref="AW4:BB17" si="2">1-X4</f>
        <v>0.45999999999999996</v>
      </c>
      <c r="AX4" s="172">
        <f t="shared" si="2"/>
        <v>0.57000000000000006</v>
      </c>
      <c r="AY4" s="172">
        <f t="shared" si="2"/>
        <v>0.21999999999999997</v>
      </c>
      <c r="AZ4" s="172">
        <f t="shared" si="2"/>
        <v>0.72</v>
      </c>
      <c r="BA4" s="172">
        <f t="shared" si="2"/>
        <v>0.5</v>
      </c>
      <c r="BB4" s="191">
        <f t="shared" si="2"/>
        <v>0.83333333333333304</v>
      </c>
      <c r="BC4" s="192">
        <f>$P4*$AC4*Q4*AV4</f>
        <v>1304.1000000000026</v>
      </c>
      <c r="BD4" s="192">
        <f t="shared" ref="BD4:BH17" si="3">$P4*$AC4*R4*AW4</f>
        <v>2511.6000000000049</v>
      </c>
      <c r="BE4" s="192">
        <f t="shared" si="3"/>
        <v>2753.1000000000054</v>
      </c>
      <c r="BF4" s="192">
        <f t="shared" si="3"/>
        <v>46.200000000000081</v>
      </c>
      <c r="BG4" s="192">
        <f t="shared" si="3"/>
        <v>302.40000000000055</v>
      </c>
      <c r="BH4" s="158">
        <f t="shared" si="3"/>
        <v>2625.000000000005</v>
      </c>
      <c r="BI4" s="194">
        <f>BC4</f>
        <v>1304.1000000000026</v>
      </c>
      <c r="BJ4" s="194">
        <f t="shared" ref="BJ4:BN4" si="4">BD4</f>
        <v>2511.6000000000049</v>
      </c>
      <c r="BK4" s="194">
        <f t="shared" si="4"/>
        <v>2753.1000000000054</v>
      </c>
      <c r="BL4" s="194">
        <f t="shared" si="4"/>
        <v>46.200000000000081</v>
      </c>
      <c r="BM4" s="194">
        <f t="shared" si="4"/>
        <v>302.40000000000055</v>
      </c>
      <c r="BN4" s="203">
        <f t="shared" si="4"/>
        <v>2625.000000000005</v>
      </c>
      <c r="BO4" s="170">
        <f>SUM(I$4:I4)/SUM(BC$4:BC4)</f>
        <v>0.19397285484241966</v>
      </c>
      <c r="BP4" s="170">
        <f>SUM(J$4:J4)/SUM(BD$4:BD4)</f>
        <v>0.23850931677018586</v>
      </c>
      <c r="BQ4" s="170">
        <f>SUM(K$4:K4)/SUM(BE$4:BE4)</f>
        <v>0.29011659583741906</v>
      </c>
      <c r="BR4" s="170">
        <f>SUM(L$4:L4)/SUM(BF$4:BF4)</f>
        <v>0</v>
      </c>
      <c r="BS4" s="170">
        <f>SUM(M$4:M4)/SUM(BG$4:BG4)</f>
        <v>0.11005291005290986</v>
      </c>
      <c r="BT4" s="171">
        <f>SUM(N$4:N4)/SUM(BH$4:BH4)</f>
        <v>1.5847619047619018E-3</v>
      </c>
      <c r="BU4" s="220">
        <f>BC4+AD4</f>
        <v>4830.0000000000091</v>
      </c>
      <c r="BV4" s="220">
        <f t="shared" ref="BV4:BZ17" si="5">BD4+AE4</f>
        <v>5460.0000000000109</v>
      </c>
      <c r="BW4" s="220">
        <f t="shared" si="5"/>
        <v>4830.0000000000091</v>
      </c>
      <c r="BX4" s="220">
        <f t="shared" si="5"/>
        <v>210.0000000000004</v>
      </c>
      <c r="BY4" s="220">
        <f t="shared" si="5"/>
        <v>420.0000000000008</v>
      </c>
      <c r="BZ4" s="221">
        <f t="shared" si="5"/>
        <v>5250.00000000001</v>
      </c>
      <c r="CA4" s="222">
        <f>SUM($BU4:BZ$4)</f>
        <v>21000.00000000004</v>
      </c>
      <c r="CB4" s="220">
        <f>AJ4+BI4</f>
        <v>4830.0000000000091</v>
      </c>
      <c r="CC4" s="220">
        <f t="shared" ref="CC4:CG4" si="6">AK4+BJ4</f>
        <v>5460.0000000000109</v>
      </c>
      <c r="CD4" s="220">
        <f t="shared" si="6"/>
        <v>4830.0000000000091</v>
      </c>
      <c r="CE4" s="220">
        <f t="shared" si="6"/>
        <v>210.0000000000004</v>
      </c>
      <c r="CF4" s="220">
        <f t="shared" si="6"/>
        <v>420.0000000000008</v>
      </c>
      <c r="CG4" s="221">
        <f t="shared" si="6"/>
        <v>5250.00000000001</v>
      </c>
      <c r="CH4" s="172">
        <f>(SUM(I$4:I4)+SUM(C$4:C4))/SUM(BU$4:BU4)</f>
        <v>0.33948757763975096</v>
      </c>
      <c r="CI4" s="172">
        <f>(SUM(J$4:J4)+SUM(D$4:D4))/SUM(BV$4:BV4)</f>
        <v>0.24780604395604344</v>
      </c>
      <c r="CJ4" s="172">
        <f>(SUM(K$4:K4)+SUM(E$4:E4))/SUM(BW$4:BW4)</f>
        <v>0.43035838509316693</v>
      </c>
      <c r="CK4" s="172">
        <f>(SUM(L$4:L4)+SUM(F$4:F4))/SUM(BX$4:BX4)</f>
        <v>0.32361428571428513</v>
      </c>
      <c r="CL4" s="172">
        <f>(SUM(M$4:M4)+SUM(G$4:G4))/SUM(BY$4:BY4)</f>
        <v>1.04940476190476</v>
      </c>
      <c r="CM4" s="191">
        <f>(SUM(N$4:N4)+SUM(H$4:H4))/SUM(BZ$4:BZ4)</f>
        <v>1.0987681904761883</v>
      </c>
    </row>
    <row r="5" spans="1:91" ht="14.25">
      <c r="A5" s="75">
        <v>44516</v>
      </c>
      <c r="B5" s="76">
        <v>2</v>
      </c>
      <c r="C5" s="79">
        <v>3406.393</v>
      </c>
      <c r="D5" s="80">
        <v>3292.6509999999998</v>
      </c>
      <c r="E5" s="80">
        <v>4743.4110000000001</v>
      </c>
      <c r="F5" s="80">
        <v>68.658000000000001</v>
      </c>
      <c r="G5" s="80">
        <v>311.15300000000002</v>
      </c>
      <c r="H5" s="80">
        <v>8266.8629999999994</v>
      </c>
      <c r="I5" s="98">
        <v>1636.96</v>
      </c>
      <c r="J5" s="98">
        <v>2962.84</v>
      </c>
      <c r="K5" s="98">
        <v>3128.16</v>
      </c>
      <c r="L5" s="98">
        <v>0</v>
      </c>
      <c r="M5" s="98">
        <v>33.28</v>
      </c>
      <c r="N5" s="99">
        <v>1164.8</v>
      </c>
      <c r="O5" s="100">
        <f>SUM($C$4:N5)</f>
        <v>40363.788</v>
      </c>
      <c r="P5" s="97">
        <f t="shared" ref="P5:P10" si="7">18000*7</f>
        <v>126000</v>
      </c>
      <c r="Q5" s="123">
        <v>0.23</v>
      </c>
      <c r="R5" s="124">
        <v>0.26</v>
      </c>
      <c r="S5" s="124">
        <v>0.23</v>
      </c>
      <c r="T5" s="124">
        <v>0.01</v>
      </c>
      <c r="U5" s="124">
        <v>0.02</v>
      </c>
      <c r="V5" s="125">
        <v>0.25</v>
      </c>
      <c r="W5" s="126">
        <v>0.73</v>
      </c>
      <c r="X5" s="127">
        <v>0.54</v>
      </c>
      <c r="Y5" s="127">
        <v>0.43</v>
      </c>
      <c r="Z5" s="127">
        <v>0.78</v>
      </c>
      <c r="AA5" s="127">
        <v>0.28000000000000003</v>
      </c>
      <c r="AB5" s="127">
        <v>0.5</v>
      </c>
      <c r="AC5" s="145">
        <v>0.16666666666666699</v>
      </c>
      <c r="AD5" s="146">
        <f t="shared" ref="AD5:AD17" si="8">$P5*$AC5*Q5*W5</f>
        <v>3525.9000000000065</v>
      </c>
      <c r="AE5" s="147">
        <f t="shared" si="0"/>
        <v>2948.400000000006</v>
      </c>
      <c r="AF5" s="147">
        <f t="shared" si="0"/>
        <v>2076.9000000000037</v>
      </c>
      <c r="AG5" s="147">
        <f t="shared" si="0"/>
        <v>163.80000000000032</v>
      </c>
      <c r="AH5" s="147">
        <f t="shared" si="0"/>
        <v>117.60000000000024</v>
      </c>
      <c r="AI5" s="158">
        <f t="shared" si="0"/>
        <v>2625.000000000005</v>
      </c>
      <c r="AJ5" s="157">
        <f>SUM(AD$4:AD5)-SUM(C$4:C4)</f>
        <v>5665.0350000000126</v>
      </c>
      <c r="AK5" s="157">
        <f>SUM(AE$4:AE5)-SUM(D$4:D4)</f>
        <v>5142.8190000000122</v>
      </c>
      <c r="AL5" s="157">
        <f>SUM(AF$4:AF5)-SUM(E$4:E4)</f>
        <v>2873.8890000000074</v>
      </c>
      <c r="AM5" s="157">
        <f>SUM(AG$4:AG5)-SUM(F$4:F4)</f>
        <v>259.64100000000064</v>
      </c>
      <c r="AN5" s="157">
        <f>SUM(AH$4:AH5)-SUM(G$4:G4)</f>
        <v>-172.26999999999956</v>
      </c>
      <c r="AO5" s="169">
        <f>SUM(AI$4:AI5)-SUM(H$4:H4)</f>
        <v>-514.37299999998959</v>
      </c>
      <c r="AP5" s="170">
        <f>SUM(C$4:C5)/SUM(AD$4:AD5)</f>
        <v>0.67970702515669634</v>
      </c>
      <c r="AQ5" s="170">
        <f>SUM(D$4:D5)/SUM(AE$4:AE5)</f>
        <v>0.6862420295753614</v>
      </c>
      <c r="AR5" s="170">
        <f>SUM(E$4:E5)/SUM(AF$4:AF5)</f>
        <v>1.4500751119456856</v>
      </c>
      <c r="AS5" s="170">
        <f>SUM(F$4:F5)/SUM(AG$4:AG5)</f>
        <v>0.41702380952380874</v>
      </c>
      <c r="AT5" s="170">
        <f>SUM(G$4:G5)/SUM(AH$4:AH5)</f>
        <v>3.0553698979591779</v>
      </c>
      <c r="AU5" s="171">
        <f>SUM(H$4:H5)/SUM(AI$4:AI5)</f>
        <v>2.6726163809523755</v>
      </c>
      <c r="AV5" s="172">
        <f t="shared" ref="AV5:AV17" si="9">1-W5</f>
        <v>0.27</v>
      </c>
      <c r="AW5" s="172">
        <f t="shared" si="2"/>
        <v>0.45999999999999996</v>
      </c>
      <c r="AX5" s="172">
        <f t="shared" si="2"/>
        <v>0.57000000000000006</v>
      </c>
      <c r="AY5" s="172">
        <f t="shared" si="2"/>
        <v>0.21999999999999997</v>
      </c>
      <c r="AZ5" s="172">
        <f t="shared" si="2"/>
        <v>0.72</v>
      </c>
      <c r="BA5" s="172">
        <f t="shared" si="2"/>
        <v>0.5</v>
      </c>
      <c r="BB5" s="191">
        <f t="shared" si="2"/>
        <v>0.83333333333333304</v>
      </c>
      <c r="BC5" s="192">
        <f t="shared" ref="BC5:BC17" si="10">$P5*$AC5*Q5*AV5</f>
        <v>1304.1000000000026</v>
      </c>
      <c r="BD5" s="192">
        <f t="shared" si="3"/>
        <v>2511.6000000000049</v>
      </c>
      <c r="BE5" s="192">
        <f t="shared" si="3"/>
        <v>2753.1000000000054</v>
      </c>
      <c r="BF5" s="192">
        <f t="shared" si="3"/>
        <v>46.200000000000081</v>
      </c>
      <c r="BG5" s="192">
        <f t="shared" si="3"/>
        <v>302.40000000000055</v>
      </c>
      <c r="BH5" s="158">
        <f t="shared" si="3"/>
        <v>2625.000000000005</v>
      </c>
      <c r="BI5" s="194">
        <f>SUM(BC$4:BC5)-SUM(I$4:I4)</f>
        <v>2355.2400000000052</v>
      </c>
      <c r="BJ5" s="194">
        <f>SUM(BD$4:BD5)-SUM(J$4:J4)</f>
        <v>4424.1600000000099</v>
      </c>
      <c r="BK5" s="194">
        <f>SUM(BE$4:BE5)-SUM(K$4:K4)</f>
        <v>4707.4800000000105</v>
      </c>
      <c r="BL5" s="194">
        <f>SUM(BF$4:BF5)-SUM(L$4:L4)</f>
        <v>92.400000000000162</v>
      </c>
      <c r="BM5" s="194">
        <f>SUM(BG$4:BG5)-SUM(M$4:M4)</f>
        <v>571.52000000000112</v>
      </c>
      <c r="BN5" s="203">
        <f>SUM(BH$4:BH5)-SUM(N$4:N4)</f>
        <v>5245.8400000000101</v>
      </c>
      <c r="BO5" s="170">
        <f>SUM(I$4:I5)/SUM(BC$4:BC5)</f>
        <v>0.72460700866497829</v>
      </c>
      <c r="BP5" s="170">
        <f>SUM(J$4:J5)/SUM(BD$4:BD5)</f>
        <v>0.70908584169453603</v>
      </c>
      <c r="BQ5" s="170">
        <f>SUM(K$4:K5)/SUM(BE$4:BE5)</f>
        <v>0.71317423994769391</v>
      </c>
      <c r="BR5" s="170">
        <f>SUM(L$4:L5)/SUM(BF$4:BF5)</f>
        <v>0</v>
      </c>
      <c r="BS5" s="170">
        <f>SUM(M$4:M5)/SUM(BG$4:BG5)</f>
        <v>0.11005291005290986</v>
      </c>
      <c r="BT5" s="171">
        <f>SUM(N$4:N5)/SUM(BH$4:BH5)</f>
        <v>0.2226590476190472</v>
      </c>
      <c r="BU5" s="220">
        <f t="shared" ref="BU5:BU17" si="11">BC5+AD5</f>
        <v>4830.0000000000091</v>
      </c>
      <c r="BV5" s="220">
        <f t="shared" si="5"/>
        <v>5460.0000000000109</v>
      </c>
      <c r="BW5" s="220">
        <f t="shared" si="5"/>
        <v>4830.0000000000091</v>
      </c>
      <c r="BX5" s="220">
        <f t="shared" si="5"/>
        <v>210.0000000000004</v>
      </c>
      <c r="BY5" s="220">
        <f t="shared" si="5"/>
        <v>420.0000000000008</v>
      </c>
      <c r="BZ5" s="221">
        <f t="shared" si="5"/>
        <v>5250.00000000001</v>
      </c>
      <c r="CA5" s="222">
        <f>SUM($BU$4:BZ5)</f>
        <v>42000.00000000008</v>
      </c>
      <c r="CB5" s="220">
        <f t="shared" ref="CB5:CB11" si="12">AJ5+BI5</f>
        <v>8020.2750000000178</v>
      </c>
      <c r="CC5" s="220">
        <f t="shared" ref="CC5:CC11" si="13">AK5+BJ5</f>
        <v>9566.9790000000212</v>
      </c>
      <c r="CD5" s="220">
        <f t="shared" ref="CD5:CD11" si="14">AL5+BK5</f>
        <v>7581.3690000000179</v>
      </c>
      <c r="CE5" s="220">
        <f t="shared" ref="CE5:CE11" si="15">AM5+BL5</f>
        <v>352.04100000000079</v>
      </c>
      <c r="CF5" s="220">
        <f t="shared" ref="CF5:CF11" si="16">AN5+BM5</f>
        <v>399.25000000000159</v>
      </c>
      <c r="CG5" s="221">
        <f t="shared" ref="CG5:CG11" si="17">AO5+BN5</f>
        <v>4731.4670000000206</v>
      </c>
      <c r="CH5" s="172">
        <f>(SUM(I$4:I5)+SUM(C$4:C5))/SUM(BU$4:BU5)</f>
        <v>0.69183002070393251</v>
      </c>
      <c r="CI5" s="172">
        <f>(SUM(J$4:J5)+SUM(D$4:D5))/SUM(BV$4:BV5)</f>
        <v>0.69675018315018178</v>
      </c>
      <c r="CJ5" s="172">
        <f>(SUM(K$4:K5)+SUM(E$4:E5))/SUM(BW$4:BW5)</f>
        <v>1.0300416149068305</v>
      </c>
      <c r="CK5" s="172">
        <f>(SUM(L$4:L5)+SUM(F$4:F5))/SUM(BX$4:BX5)</f>
        <v>0.32527857142857086</v>
      </c>
      <c r="CL5" s="172">
        <f>(SUM(M$4:M5)+SUM(G$4:G5))/SUM(BY$4:BY5)</f>
        <v>0.93474166666666492</v>
      </c>
      <c r="CM5" s="191">
        <f>(SUM(N$4:N5)+SUM(H$4:H5))/SUM(BZ$4:BZ5)</f>
        <v>1.4476377142857115</v>
      </c>
    </row>
    <row r="6" spans="1:91" ht="14.25">
      <c r="A6" s="75">
        <v>44517</v>
      </c>
      <c r="B6" s="76">
        <v>3</v>
      </c>
      <c r="C6" s="79">
        <v>1752.6369999999999</v>
      </c>
      <c r="D6" s="80">
        <v>989.755</v>
      </c>
      <c r="E6" s="80">
        <v>1057.327</v>
      </c>
      <c r="F6" s="80">
        <v>0</v>
      </c>
      <c r="G6" s="80">
        <v>102.164</v>
      </c>
      <c r="H6" s="80">
        <v>9289.7279999999992</v>
      </c>
      <c r="I6" s="98">
        <v>788.32</v>
      </c>
      <c r="J6" s="98">
        <v>499.2</v>
      </c>
      <c r="K6" s="98">
        <v>1223.1600000000001</v>
      </c>
      <c r="L6" s="98">
        <v>0</v>
      </c>
      <c r="M6" s="98">
        <v>166.4</v>
      </c>
      <c r="N6" s="99">
        <v>3348.8</v>
      </c>
      <c r="O6" s="100">
        <f>SUM($C$4:N6)</f>
        <v>59581.278999999995</v>
      </c>
      <c r="P6" s="97">
        <f t="shared" si="7"/>
        <v>126000</v>
      </c>
      <c r="Q6" s="123">
        <v>0.23</v>
      </c>
      <c r="R6" s="124">
        <v>0.26</v>
      </c>
      <c r="S6" s="124">
        <v>0.23</v>
      </c>
      <c r="T6" s="124">
        <v>0.01</v>
      </c>
      <c r="U6" s="124">
        <v>0.02</v>
      </c>
      <c r="V6" s="125">
        <v>0.25</v>
      </c>
      <c r="W6" s="126">
        <v>0.73</v>
      </c>
      <c r="X6" s="127">
        <v>0.54</v>
      </c>
      <c r="Y6" s="127">
        <v>0.43</v>
      </c>
      <c r="Z6" s="127">
        <v>0.78</v>
      </c>
      <c r="AA6" s="127">
        <v>0.28000000000000003</v>
      </c>
      <c r="AB6" s="127">
        <v>0.5</v>
      </c>
      <c r="AC6" s="145">
        <v>0.16666666666666699</v>
      </c>
      <c r="AD6" s="146">
        <f t="shared" si="8"/>
        <v>3525.9000000000065</v>
      </c>
      <c r="AE6" s="147">
        <f t="shared" si="0"/>
        <v>2948.400000000006</v>
      </c>
      <c r="AF6" s="147">
        <f t="shared" si="0"/>
        <v>2076.9000000000037</v>
      </c>
      <c r="AG6" s="147">
        <f t="shared" si="0"/>
        <v>163.80000000000032</v>
      </c>
      <c r="AH6" s="147">
        <f t="shared" si="0"/>
        <v>117.60000000000024</v>
      </c>
      <c r="AI6" s="158">
        <f t="shared" si="0"/>
        <v>2625.000000000005</v>
      </c>
      <c r="AJ6" s="157">
        <f>SUM(AD$4:AD6)-SUM(C$4:C5)</f>
        <v>5784.5420000000186</v>
      </c>
      <c r="AK6" s="157">
        <f>SUM(AE$4:AE6)-SUM(D$4:D5)</f>
        <v>4798.5680000000193</v>
      </c>
      <c r="AL6" s="157">
        <f>SUM(AF$4:AF6)-SUM(E$4:E5)</f>
        <v>207.37800000001153</v>
      </c>
      <c r="AM6" s="157">
        <f>SUM(AG$4:AG6)-SUM(F$4:F5)</f>
        <v>354.78300000000098</v>
      </c>
      <c r="AN6" s="157">
        <f>SUM(AH$4:AH6)-SUM(G$4:G5)</f>
        <v>-365.82299999999935</v>
      </c>
      <c r="AO6" s="169">
        <f>SUM(AI$4:AI6)-SUM(H$4:H5)</f>
        <v>-6156.2359999999844</v>
      </c>
      <c r="AP6" s="170">
        <f>SUM(C$4:C6)/SUM(AD$4:AD6)</f>
        <v>0.61882970778146373</v>
      </c>
      <c r="AQ6" s="170">
        <f>SUM(D$4:D6)/SUM(AE$4:AE6)</f>
        <v>0.56939209966987625</v>
      </c>
      <c r="AR6" s="170">
        <f>SUM(E$4:E6)/SUM(AF$4:AF6)</f>
        <v>1.1364130836021613</v>
      </c>
      <c r="AS6" s="170">
        <f>SUM(F$4:F6)/SUM(AG$4:AG6)</f>
        <v>0.27801587301587249</v>
      </c>
      <c r="AT6" s="170">
        <f>SUM(G$4:G6)/SUM(AH$4:AH6)</f>
        <v>2.3264937641723313</v>
      </c>
      <c r="AU6" s="171">
        <f>SUM(H$4:H6)/SUM(AI$4:AI6)</f>
        <v>2.9613922539682487</v>
      </c>
      <c r="AV6" s="172">
        <f t="shared" si="9"/>
        <v>0.27</v>
      </c>
      <c r="AW6" s="172">
        <f t="shared" si="2"/>
        <v>0.45999999999999996</v>
      </c>
      <c r="AX6" s="172">
        <f t="shared" si="2"/>
        <v>0.57000000000000006</v>
      </c>
      <c r="AY6" s="172">
        <f t="shared" si="2"/>
        <v>0.21999999999999997</v>
      </c>
      <c r="AZ6" s="172">
        <f t="shared" si="2"/>
        <v>0.72</v>
      </c>
      <c r="BA6" s="172">
        <f t="shared" si="2"/>
        <v>0.5</v>
      </c>
      <c r="BB6" s="191">
        <f t="shared" si="2"/>
        <v>0.83333333333333304</v>
      </c>
      <c r="BC6" s="192">
        <f t="shared" si="10"/>
        <v>1304.1000000000026</v>
      </c>
      <c r="BD6" s="192">
        <f t="shared" si="3"/>
        <v>2511.6000000000049</v>
      </c>
      <c r="BE6" s="192">
        <f t="shared" si="3"/>
        <v>2753.1000000000054</v>
      </c>
      <c r="BF6" s="192">
        <f t="shared" si="3"/>
        <v>46.200000000000081</v>
      </c>
      <c r="BG6" s="192">
        <f t="shared" si="3"/>
        <v>302.40000000000055</v>
      </c>
      <c r="BH6" s="158">
        <f t="shared" si="3"/>
        <v>2625.000000000005</v>
      </c>
      <c r="BI6" s="194">
        <f>SUM(BC$4:BC6)-SUM(I$4:I5)</f>
        <v>2022.3800000000078</v>
      </c>
      <c r="BJ6" s="194">
        <f>SUM(BD$4:BD6)-SUM(J$4:J5)</f>
        <v>3972.9200000000146</v>
      </c>
      <c r="BK6" s="194">
        <f>SUM(BE$4:BE6)-SUM(K$4:K5)</f>
        <v>4332.4200000000155</v>
      </c>
      <c r="BL6" s="194">
        <f>SUM(BF$4:BF6)-SUM(L$4:L5)</f>
        <v>138.60000000000025</v>
      </c>
      <c r="BM6" s="194">
        <f>SUM(BG$4:BG6)-SUM(M$4:M5)</f>
        <v>840.64000000000169</v>
      </c>
      <c r="BN6" s="203">
        <f>SUM(BH$4:BH6)-SUM(N$4:N5)</f>
        <v>6706.0400000000145</v>
      </c>
      <c r="BO6" s="170">
        <f>SUM(I$4:I6)/SUM(BC$4:BC6)</f>
        <v>0.68456917925516825</v>
      </c>
      <c r="BP6" s="170">
        <f>SUM(J$4:J6)/SUM(BD$4:BD6)</f>
        <v>0.53897648245474228</v>
      </c>
      <c r="BQ6" s="170">
        <f>SUM(K$4:K6)/SUM(BE$4:BE6)</f>
        <v>0.6235443681667926</v>
      </c>
      <c r="BR6" s="170">
        <f>SUM(L$4:L6)/SUM(BF$4:BF6)</f>
        <v>0</v>
      </c>
      <c r="BS6" s="170">
        <f>SUM(M$4:M6)/SUM(BG$4:BG6)</f>
        <v>0.25679012345678964</v>
      </c>
      <c r="BT6" s="171">
        <f>SUM(N$4:N6)/SUM(BH$4:BH6)</f>
        <v>0.57368380952380849</v>
      </c>
      <c r="BU6" s="220">
        <f t="shared" si="11"/>
        <v>4830.0000000000091</v>
      </c>
      <c r="BV6" s="220">
        <f t="shared" si="5"/>
        <v>5460.0000000000109</v>
      </c>
      <c r="BW6" s="220">
        <f t="shared" si="5"/>
        <v>4830.0000000000091</v>
      </c>
      <c r="BX6" s="220">
        <f t="shared" si="5"/>
        <v>210.0000000000004</v>
      </c>
      <c r="BY6" s="220">
        <f t="shared" si="5"/>
        <v>420.0000000000008</v>
      </c>
      <c r="BZ6" s="221">
        <f t="shared" si="5"/>
        <v>5250.00000000001</v>
      </c>
      <c r="CA6" s="222">
        <f>SUM($BU$4:BZ6)</f>
        <v>63000.000000000116</v>
      </c>
      <c r="CB6" s="220">
        <f t="shared" si="12"/>
        <v>7806.9220000000259</v>
      </c>
      <c r="CC6" s="220">
        <f t="shared" si="13"/>
        <v>8771.4880000000339</v>
      </c>
      <c r="CD6" s="220">
        <f t="shared" si="14"/>
        <v>4539.7980000000271</v>
      </c>
      <c r="CE6" s="220">
        <f t="shared" si="15"/>
        <v>493.38300000000123</v>
      </c>
      <c r="CF6" s="220">
        <f t="shared" si="16"/>
        <v>474.81700000000234</v>
      </c>
      <c r="CG6" s="221">
        <f t="shared" si="17"/>
        <v>549.8040000000301</v>
      </c>
      <c r="CH6" s="172">
        <f>(SUM(I$4:I6)+SUM(C$4:C6))/SUM(BU$4:BU6)</f>
        <v>0.63657936507936386</v>
      </c>
      <c r="CI6" s="172">
        <f>(SUM(J$4:J6)+SUM(D$4:D6))/SUM(BV$4:BV6)</f>
        <v>0.55540091575091466</v>
      </c>
      <c r="CJ6" s="172">
        <f>(SUM(K$4:K6)+SUM(E$4:E6))/SUM(BW$4:BW6)</f>
        <v>0.84407791580400116</v>
      </c>
      <c r="CK6" s="172">
        <f>(SUM(L$4:L6)+SUM(F$4:F6))/SUM(BX$4:BX6)</f>
        <v>0.2168523809523806</v>
      </c>
      <c r="CL6" s="172">
        <f>(SUM(M$4:M6)+SUM(G$4:G6))/SUM(BY$4:BY6)</f>
        <v>0.83630714285714136</v>
      </c>
      <c r="CM6" s="191">
        <f>(SUM(N$4:N6)+SUM(H$4:H6))/SUM(BZ$4:BZ6)</f>
        <v>1.7675380317460285</v>
      </c>
    </row>
    <row r="7" spans="1:91" ht="14.25">
      <c r="A7" s="75">
        <v>44518</v>
      </c>
      <c r="B7" s="76">
        <v>4</v>
      </c>
      <c r="C7" s="79">
        <v>3482.36</v>
      </c>
      <c r="D7" s="80">
        <v>1745.809</v>
      </c>
      <c r="E7" s="80">
        <v>2320.6869999999999</v>
      </c>
      <c r="F7" s="80">
        <v>0</v>
      </c>
      <c r="G7" s="80">
        <v>395.983</v>
      </c>
      <c r="H7" s="80">
        <v>3090.4349999999999</v>
      </c>
      <c r="I7" s="98">
        <v>1297.92</v>
      </c>
      <c r="J7" s="98">
        <v>1497.6</v>
      </c>
      <c r="K7" s="98">
        <v>2591.6799999999998</v>
      </c>
      <c r="L7" s="98">
        <v>0</v>
      </c>
      <c r="M7" s="98">
        <v>141.44</v>
      </c>
      <c r="N7" s="99">
        <v>133.12</v>
      </c>
      <c r="O7" s="100">
        <f>SUM($C$4:N7)</f>
        <v>76278.31299999998</v>
      </c>
      <c r="P7" s="97">
        <f t="shared" si="7"/>
        <v>126000</v>
      </c>
      <c r="Q7" s="123">
        <v>0.23</v>
      </c>
      <c r="R7" s="124">
        <v>0.26</v>
      </c>
      <c r="S7" s="124">
        <v>0.23</v>
      </c>
      <c r="T7" s="124">
        <v>0.01</v>
      </c>
      <c r="U7" s="124">
        <v>0.02</v>
      </c>
      <c r="V7" s="125">
        <v>0.25</v>
      </c>
      <c r="W7" s="126">
        <v>0.73</v>
      </c>
      <c r="X7" s="127">
        <v>0.54</v>
      </c>
      <c r="Y7" s="127">
        <v>0.43</v>
      </c>
      <c r="Z7" s="127">
        <v>0.78</v>
      </c>
      <c r="AA7" s="127">
        <v>0.28000000000000003</v>
      </c>
      <c r="AB7" s="127">
        <v>0.5</v>
      </c>
      <c r="AC7" s="145">
        <v>0.16666666666666699</v>
      </c>
      <c r="AD7" s="146">
        <f t="shared" si="8"/>
        <v>3525.9000000000065</v>
      </c>
      <c r="AE7" s="147">
        <f t="shared" si="0"/>
        <v>2948.400000000006</v>
      </c>
      <c r="AF7" s="147">
        <f t="shared" si="0"/>
        <v>2076.9000000000037</v>
      </c>
      <c r="AG7" s="147">
        <f t="shared" si="0"/>
        <v>163.80000000000032</v>
      </c>
      <c r="AH7" s="147">
        <f t="shared" si="0"/>
        <v>117.60000000000024</v>
      </c>
      <c r="AI7" s="158">
        <f t="shared" si="0"/>
        <v>2625.000000000005</v>
      </c>
      <c r="AJ7" s="157">
        <f>SUM(AD$4:AD7)-SUM(C$4:C6)</f>
        <v>7557.8050000000258</v>
      </c>
      <c r="AK7" s="157">
        <f>SUM(AE$4:AE7)-SUM(D$4:D6)</f>
        <v>6757.2130000000243</v>
      </c>
      <c r="AL7" s="157">
        <f>SUM(AF$4:AF7)-SUM(E$4:E6)</f>
        <v>1226.9510000000146</v>
      </c>
      <c r="AM7" s="157">
        <f>SUM(AG$4:AG7)-SUM(F$4:F6)</f>
        <v>518.58300000000122</v>
      </c>
      <c r="AN7" s="157">
        <f>SUM(AH$4:AH7)-SUM(G$4:G6)</f>
        <v>-350.38699999999909</v>
      </c>
      <c r="AO7" s="169">
        <f>SUM(AI$4:AI7)-SUM(H$4:H6)</f>
        <v>-12820.96399999998</v>
      </c>
      <c r="AP7" s="170">
        <f>SUM(C$4:C7)/SUM(AD$4:AD7)</f>
        <v>0.7110351257834866</v>
      </c>
      <c r="AQ7" s="170">
        <f>SUM(D$4:D7)/SUM(AE$4:AE7)</f>
        <v>0.57507427757427643</v>
      </c>
      <c r="AR7" s="170">
        <f>SUM(E$4:E7)/SUM(AF$4:AF7)</f>
        <v>1.1316548702392968</v>
      </c>
      <c r="AS7" s="170">
        <f>SUM(F$4:F7)/SUM(AG$4:AG7)</f>
        <v>0.20851190476190437</v>
      </c>
      <c r="AT7" s="170">
        <f>SUM(G$4:G7)/SUM(AH$4:AH7)</f>
        <v>2.5866709183673415</v>
      </c>
      <c r="AU7" s="171">
        <f>SUM(H$4:H7)/SUM(AI$4:AI7)</f>
        <v>2.5153713333333285</v>
      </c>
      <c r="AV7" s="172">
        <f t="shared" si="9"/>
        <v>0.27</v>
      </c>
      <c r="AW7" s="172">
        <f t="shared" si="2"/>
        <v>0.45999999999999996</v>
      </c>
      <c r="AX7" s="172">
        <f t="shared" si="2"/>
        <v>0.57000000000000006</v>
      </c>
      <c r="AY7" s="172">
        <f t="shared" si="2"/>
        <v>0.21999999999999997</v>
      </c>
      <c r="AZ7" s="172">
        <f t="shared" si="2"/>
        <v>0.72</v>
      </c>
      <c r="BA7" s="172">
        <f t="shared" si="2"/>
        <v>0.5</v>
      </c>
      <c r="BB7" s="191">
        <f t="shared" si="2"/>
        <v>0.83333333333333304</v>
      </c>
      <c r="BC7" s="192">
        <f t="shared" si="10"/>
        <v>1304.1000000000026</v>
      </c>
      <c r="BD7" s="192">
        <f t="shared" si="3"/>
        <v>2511.6000000000049</v>
      </c>
      <c r="BE7" s="192">
        <f t="shared" si="3"/>
        <v>2753.1000000000054</v>
      </c>
      <c r="BF7" s="192">
        <f t="shared" si="3"/>
        <v>46.200000000000081</v>
      </c>
      <c r="BG7" s="192">
        <f t="shared" si="3"/>
        <v>302.40000000000055</v>
      </c>
      <c r="BH7" s="158">
        <f t="shared" si="3"/>
        <v>2625.000000000005</v>
      </c>
      <c r="BI7" s="194">
        <f>SUM(BC$4:BC7)-SUM(I$4:I6)</f>
        <v>2538.1600000000103</v>
      </c>
      <c r="BJ7" s="194">
        <f>SUM(BD$4:BD7)-SUM(J$4:J6)</f>
        <v>5985.3200000000197</v>
      </c>
      <c r="BK7" s="194">
        <f>SUM(BE$4:BE7)-SUM(K$4:K6)</f>
        <v>5862.3600000000215</v>
      </c>
      <c r="BL7" s="194">
        <f>SUM(BF$4:BF7)-SUM(L$4:L6)</f>
        <v>184.80000000000032</v>
      </c>
      <c r="BM7" s="194">
        <f>SUM(BG$4:BG7)-SUM(M$4:M6)</f>
        <v>976.64000000000215</v>
      </c>
      <c r="BN7" s="203">
        <f>SUM(BH$4:BH7)-SUM(N$4:N6)</f>
        <v>5982.2400000000198</v>
      </c>
      <c r="BO7" s="170">
        <f>SUM(I$4:I7)/SUM(BC$4:BC7)</f>
        <v>0.76224215934360717</v>
      </c>
      <c r="BP7" s="170">
        <f>SUM(J$4:J7)/SUM(BD$4:BD7)</f>
        <v>0.55330068482242289</v>
      </c>
      <c r="BQ7" s="170">
        <f>SUM(K$4:K7)/SUM(BE$4:BE7)</f>
        <v>0.70300025425883406</v>
      </c>
      <c r="BR7" s="170">
        <f>SUM(L$4:L7)/SUM(BF$4:BF7)</f>
        <v>0</v>
      </c>
      <c r="BS7" s="170">
        <f>SUM(M$4:M7)/SUM(BG$4:BG7)</f>
        <v>0.30952380952380892</v>
      </c>
      <c r="BT7" s="171">
        <f>SUM(N$4:N7)/SUM(BH$4:BH7)</f>
        <v>0.44294095238095155</v>
      </c>
      <c r="BU7" s="220">
        <f t="shared" si="11"/>
        <v>4830.0000000000091</v>
      </c>
      <c r="BV7" s="220">
        <f t="shared" si="5"/>
        <v>5460.0000000000109</v>
      </c>
      <c r="BW7" s="220">
        <f t="shared" si="5"/>
        <v>4830.0000000000091</v>
      </c>
      <c r="BX7" s="220">
        <f t="shared" si="5"/>
        <v>210.0000000000004</v>
      </c>
      <c r="BY7" s="220">
        <f t="shared" si="5"/>
        <v>420.0000000000008</v>
      </c>
      <c r="BZ7" s="221">
        <f t="shared" si="5"/>
        <v>5250.00000000001</v>
      </c>
      <c r="CA7" s="222">
        <f>SUM($BU$4:BZ7)</f>
        <v>84000.000000000175</v>
      </c>
      <c r="CB7" s="220">
        <f t="shared" si="12"/>
        <v>10095.965000000037</v>
      </c>
      <c r="CC7" s="220">
        <f t="shared" si="13"/>
        <v>12742.533000000043</v>
      </c>
      <c r="CD7" s="220">
        <f t="shared" si="14"/>
        <v>7089.3110000000361</v>
      </c>
      <c r="CE7" s="220">
        <f t="shared" si="15"/>
        <v>703.38300000000152</v>
      </c>
      <c r="CF7" s="220">
        <f t="shared" si="16"/>
        <v>626.25300000000311</v>
      </c>
      <c r="CG7" s="221">
        <f t="shared" si="17"/>
        <v>-6838.7239999999601</v>
      </c>
      <c r="CH7" s="172">
        <f>(SUM(I$4:I7)+SUM(C$4:C7))/SUM(BU$4:BU7)</f>
        <v>0.72486102484471915</v>
      </c>
      <c r="CI7" s="172">
        <f>(SUM(J$4:J7)+SUM(D$4:D7))/SUM(BV$4:BV7)</f>
        <v>0.56505842490842384</v>
      </c>
      <c r="CJ7" s="172">
        <f>(SUM(K$4:K7)+SUM(E$4:E7))/SUM(BW$4:BW7)</f>
        <v>0.887321739130433</v>
      </c>
      <c r="CK7" s="172">
        <f>(SUM(L$4:L7)+SUM(F$4:F7))/SUM(BX$4:BX7)</f>
        <v>0.16263928571428543</v>
      </c>
      <c r="CL7" s="172">
        <f>(SUM(M$4:M7)+SUM(G$4:G7))/SUM(BY$4:BY7)</f>
        <v>0.94712499999999822</v>
      </c>
      <c r="CM7" s="191">
        <f>(SUM(N$4:N7)+SUM(H$4:H7))/SUM(BZ$4:BZ7)</f>
        <v>1.4791561428571403</v>
      </c>
    </row>
    <row r="8" spans="1:91" ht="14.25">
      <c r="A8" s="75">
        <v>44519</v>
      </c>
      <c r="B8" s="76">
        <v>5</v>
      </c>
      <c r="C8" s="79">
        <v>5584.8419999999996</v>
      </c>
      <c r="D8" s="80">
        <v>3599.57</v>
      </c>
      <c r="E8" s="80">
        <v>5960.8860000000004</v>
      </c>
      <c r="F8" s="80">
        <v>0</v>
      </c>
      <c r="G8" s="80">
        <v>512.596</v>
      </c>
      <c r="H8" s="80">
        <v>12542.216</v>
      </c>
      <c r="I8" s="98">
        <v>2855.64</v>
      </c>
      <c r="J8" s="98">
        <v>7131.16</v>
      </c>
      <c r="K8" s="98">
        <v>8662.0400000000009</v>
      </c>
      <c r="L8" s="98">
        <v>0</v>
      </c>
      <c r="M8" s="98">
        <v>237.12</v>
      </c>
      <c r="N8" s="99">
        <v>1464.32</v>
      </c>
      <c r="O8" s="100">
        <f>SUM($C$4:N8)</f>
        <v>124828.70300000001</v>
      </c>
      <c r="P8" s="97">
        <f t="shared" si="7"/>
        <v>126000</v>
      </c>
      <c r="Q8" s="123">
        <v>0.23</v>
      </c>
      <c r="R8" s="124">
        <v>0.26</v>
      </c>
      <c r="S8" s="124">
        <v>0.23</v>
      </c>
      <c r="T8" s="124">
        <v>0.01</v>
      </c>
      <c r="U8" s="124">
        <v>0.02</v>
      </c>
      <c r="V8" s="125">
        <v>0.25</v>
      </c>
      <c r="W8" s="126">
        <v>0.73</v>
      </c>
      <c r="X8" s="127">
        <v>0.54</v>
      </c>
      <c r="Y8" s="127">
        <v>0.43</v>
      </c>
      <c r="Z8" s="127">
        <v>0.78</v>
      </c>
      <c r="AA8" s="127">
        <v>0.28000000000000003</v>
      </c>
      <c r="AB8" s="127">
        <v>0.5</v>
      </c>
      <c r="AC8" s="145">
        <v>0.16666666666666699</v>
      </c>
      <c r="AD8" s="146">
        <f t="shared" si="8"/>
        <v>3525.9000000000065</v>
      </c>
      <c r="AE8" s="147">
        <f t="shared" si="0"/>
        <v>2948.400000000006</v>
      </c>
      <c r="AF8" s="147">
        <f t="shared" si="0"/>
        <v>2076.9000000000037</v>
      </c>
      <c r="AG8" s="147">
        <f t="shared" si="0"/>
        <v>163.80000000000032</v>
      </c>
      <c r="AH8" s="147">
        <f t="shared" si="0"/>
        <v>117.60000000000024</v>
      </c>
      <c r="AI8" s="158">
        <f t="shared" si="0"/>
        <v>2625.000000000005</v>
      </c>
      <c r="AJ8" s="157">
        <f>SUM(AD$4:AD8)-SUM(C$4:C7)</f>
        <v>7601.3450000000321</v>
      </c>
      <c r="AK8" s="157">
        <f>SUM(AE$4:AE8)-SUM(D$4:D7)</f>
        <v>7959.8040000000292</v>
      </c>
      <c r="AL8" s="157">
        <f>SUM(AF$4:AF8)-SUM(E$4:E7)</f>
        <v>983.16400000001886</v>
      </c>
      <c r="AM8" s="157">
        <f>SUM(AG$4:AG8)-SUM(F$4:F7)</f>
        <v>682.38300000000163</v>
      </c>
      <c r="AN8" s="157">
        <f>SUM(AH$4:AH8)-SUM(G$4:G7)</f>
        <v>-628.76999999999884</v>
      </c>
      <c r="AO8" s="169">
        <f>SUM(AI$4:AI8)-SUM(H$4:H7)</f>
        <v>-13286.398999999976</v>
      </c>
      <c r="AP8" s="170">
        <f>SUM(C$4:C8)/SUM(AD$4:AD8)</f>
        <v>0.88561768626449822</v>
      </c>
      <c r="AQ8" s="170">
        <f>SUM(D$4:D8)/SUM(AE$4:AE8)</f>
        <v>0.70423049789716319</v>
      </c>
      <c r="AR8" s="170">
        <f>SUM(E$4:E8)/SUM(AF$4:AF8)</f>
        <v>1.4793415186094634</v>
      </c>
      <c r="AS8" s="170">
        <f>SUM(F$4:F8)/SUM(AG$4:AG8)</f>
        <v>0.16680952380952352</v>
      </c>
      <c r="AT8" s="170">
        <f>SUM(G$4:G8)/SUM(AH$4:AH8)</f>
        <v>2.9410986394557765</v>
      </c>
      <c r="AU8" s="171">
        <f>SUM(H$4:H8)/SUM(AI$4:AI8)</f>
        <v>2.9678944761904709</v>
      </c>
      <c r="AV8" s="172">
        <f t="shared" si="9"/>
        <v>0.27</v>
      </c>
      <c r="AW8" s="172">
        <f t="shared" si="2"/>
        <v>0.45999999999999996</v>
      </c>
      <c r="AX8" s="172">
        <f t="shared" si="2"/>
        <v>0.57000000000000006</v>
      </c>
      <c r="AY8" s="172">
        <f t="shared" si="2"/>
        <v>0.21999999999999997</v>
      </c>
      <c r="AZ8" s="172">
        <f t="shared" si="2"/>
        <v>0.72</v>
      </c>
      <c r="BA8" s="172">
        <f t="shared" si="2"/>
        <v>0.5</v>
      </c>
      <c r="BB8" s="191">
        <f t="shared" si="2"/>
        <v>0.83333333333333304</v>
      </c>
      <c r="BC8" s="192">
        <f t="shared" si="10"/>
        <v>1304.1000000000026</v>
      </c>
      <c r="BD8" s="192">
        <f t="shared" si="3"/>
        <v>2511.6000000000049</v>
      </c>
      <c r="BE8" s="192">
        <f t="shared" si="3"/>
        <v>2753.1000000000054</v>
      </c>
      <c r="BF8" s="192">
        <f t="shared" si="3"/>
        <v>46.200000000000081</v>
      </c>
      <c r="BG8" s="192">
        <f t="shared" si="3"/>
        <v>302.40000000000055</v>
      </c>
      <c r="BH8" s="158">
        <f t="shared" si="3"/>
        <v>2625.000000000005</v>
      </c>
      <c r="BI8" s="194">
        <f>SUM(BC$4:BC8)-SUM(I$4:I7)</f>
        <v>2544.3400000000124</v>
      </c>
      <c r="BJ8" s="194">
        <f>SUM(BD$4:BD8)-SUM(J$4:J7)</f>
        <v>6999.3200000000252</v>
      </c>
      <c r="BK8" s="194">
        <f>SUM(BE$4:BE8)-SUM(K$4:K7)</f>
        <v>6023.7800000000279</v>
      </c>
      <c r="BL8" s="194">
        <f>SUM(BF$4:BF8)-SUM(L$4:L7)</f>
        <v>231.0000000000004</v>
      </c>
      <c r="BM8" s="194">
        <f>SUM(BG$4:BG8)-SUM(M$4:M7)</f>
        <v>1137.6000000000026</v>
      </c>
      <c r="BN8" s="203">
        <f>SUM(BH$4:BH8)-SUM(N$4:N7)</f>
        <v>8474.1200000000244</v>
      </c>
      <c r="BO8" s="170">
        <f>SUM(I$4:I8)/SUM(BC$4:BC8)</f>
        <v>1.0477417375968081</v>
      </c>
      <c r="BP8" s="170">
        <f>SUM(J$4:J8)/SUM(BD$4:BD8)</f>
        <v>1.010498487020224</v>
      </c>
      <c r="BQ8" s="170">
        <f>SUM(K$4:K8)/SUM(BE$4:BE8)</f>
        <v>1.1916574043805144</v>
      </c>
      <c r="BR8" s="170">
        <f>SUM(L$4:L8)/SUM(BF$4:BF8)</f>
        <v>0</v>
      </c>
      <c r="BS8" s="170">
        <f>SUM(M$4:M8)/SUM(BG$4:BG8)</f>
        <v>0.40444444444444372</v>
      </c>
      <c r="BT8" s="171">
        <f>SUM(N$4:N8)/SUM(BH$4:BH8)</f>
        <v>0.46591999999999906</v>
      </c>
      <c r="BU8" s="220">
        <f t="shared" si="11"/>
        <v>4830.0000000000091</v>
      </c>
      <c r="BV8" s="220">
        <f t="shared" si="5"/>
        <v>5460.0000000000109</v>
      </c>
      <c r="BW8" s="220">
        <f t="shared" si="5"/>
        <v>4830.0000000000091</v>
      </c>
      <c r="BX8" s="220">
        <f t="shared" si="5"/>
        <v>210.0000000000004</v>
      </c>
      <c r="BY8" s="220">
        <f t="shared" si="5"/>
        <v>420.0000000000008</v>
      </c>
      <c r="BZ8" s="221">
        <f t="shared" si="5"/>
        <v>5250.00000000001</v>
      </c>
      <c r="CA8" s="222">
        <f>SUM($BU$4:BZ8)</f>
        <v>105000.00000000023</v>
      </c>
      <c r="CB8" s="220">
        <f t="shared" si="12"/>
        <v>10145.685000000045</v>
      </c>
      <c r="CC8" s="220">
        <f t="shared" si="13"/>
        <v>14959.124000000054</v>
      </c>
      <c r="CD8" s="220">
        <f t="shared" si="14"/>
        <v>7006.9440000000468</v>
      </c>
      <c r="CE8" s="220">
        <f t="shared" si="15"/>
        <v>913.38300000000208</v>
      </c>
      <c r="CF8" s="220">
        <f t="shared" si="16"/>
        <v>508.83000000000379</v>
      </c>
      <c r="CG8" s="221">
        <f t="shared" si="17"/>
        <v>-4812.2789999999513</v>
      </c>
      <c r="CH8" s="172">
        <f>(SUM(I$4:I8)+SUM(C$4:C8))/SUM(BU$4:BU8)</f>
        <v>0.92939118012422184</v>
      </c>
      <c r="CI8" s="172">
        <f>(SUM(J$4:J8)+SUM(D$4:D8))/SUM(BV$4:BV8)</f>
        <v>0.84511377289377121</v>
      </c>
      <c r="CJ8" s="172">
        <f>(SUM(K$4:K8)+SUM(E$4:E8))/SUM(BW$4:BW8)</f>
        <v>1.3153615734989625</v>
      </c>
      <c r="CK8" s="172">
        <f>(SUM(L$4:L8)+SUM(F$4:F8))/SUM(BX$4:BX8)</f>
        <v>0.13011142857142832</v>
      </c>
      <c r="CL8" s="172">
        <f>(SUM(M$4:M8)+SUM(G$4:G8))/SUM(BY$4:BY8)</f>
        <v>1.1147076190476168</v>
      </c>
      <c r="CM8" s="191">
        <f>(SUM(N$4:N8)+SUM(H$4:H8))/SUM(BZ$4:BZ8)</f>
        <v>1.7169072380952348</v>
      </c>
    </row>
    <row r="9" spans="1:91" ht="14.25">
      <c r="A9" s="75">
        <v>44520</v>
      </c>
      <c r="B9" s="76">
        <v>6</v>
      </c>
      <c r="C9" s="79">
        <v>3720.0079999999998</v>
      </c>
      <c r="D9" s="80">
        <v>1548.606</v>
      </c>
      <c r="E9" s="80">
        <v>1590.827</v>
      </c>
      <c r="F9" s="80">
        <v>0</v>
      </c>
      <c r="G9" s="80">
        <v>0</v>
      </c>
      <c r="H9" s="80">
        <v>4924.3159999999998</v>
      </c>
      <c r="I9" s="98">
        <v>1466.32</v>
      </c>
      <c r="J9" s="98">
        <v>1486.04</v>
      </c>
      <c r="K9" s="98">
        <v>956.48</v>
      </c>
      <c r="L9" s="98">
        <v>0</v>
      </c>
      <c r="M9" s="98">
        <v>133.12</v>
      </c>
      <c r="N9" s="99">
        <v>35.28</v>
      </c>
      <c r="O9" s="100">
        <f>SUM($C$4:N9)</f>
        <v>140689.70000000001</v>
      </c>
      <c r="P9" s="97">
        <f t="shared" si="7"/>
        <v>126000</v>
      </c>
      <c r="Q9" s="123">
        <v>0.23</v>
      </c>
      <c r="R9" s="124">
        <v>0.26</v>
      </c>
      <c r="S9" s="124">
        <v>0.23</v>
      </c>
      <c r="T9" s="124">
        <v>0.01</v>
      </c>
      <c r="U9" s="124">
        <v>0.02</v>
      </c>
      <c r="V9" s="125">
        <v>0.25</v>
      </c>
      <c r="W9" s="126">
        <v>0.73</v>
      </c>
      <c r="X9" s="127">
        <v>0.54</v>
      </c>
      <c r="Y9" s="127">
        <v>0.43</v>
      </c>
      <c r="Z9" s="127">
        <v>0.78</v>
      </c>
      <c r="AA9" s="127">
        <v>0.28000000000000003</v>
      </c>
      <c r="AB9" s="127">
        <v>0.5</v>
      </c>
      <c r="AC9" s="145">
        <v>8.3333333333333301E-2</v>
      </c>
      <c r="AD9" s="146">
        <f t="shared" si="8"/>
        <v>1762.9499999999994</v>
      </c>
      <c r="AE9" s="147">
        <f t="shared" si="0"/>
        <v>1474.1999999999996</v>
      </c>
      <c r="AF9" s="147">
        <f t="shared" si="0"/>
        <v>1038.4499999999996</v>
      </c>
      <c r="AG9" s="147">
        <f t="shared" si="0"/>
        <v>81.899999999999977</v>
      </c>
      <c r="AH9" s="147">
        <f t="shared" si="0"/>
        <v>58.79999999999999</v>
      </c>
      <c r="AI9" s="158">
        <f t="shared" si="0"/>
        <v>1312.4999999999995</v>
      </c>
      <c r="AJ9" s="157">
        <f>SUM(AD$4:AD9)-SUM(C$4:C8)</f>
        <v>3779.4530000000341</v>
      </c>
      <c r="AK9" s="157">
        <f>SUM(AE$4:AE9)-SUM(D$4:D8)</f>
        <v>5834.4340000000284</v>
      </c>
      <c r="AL9" s="157">
        <f>SUM(AF$4:AF9)-SUM(E$4:E8)</f>
        <v>-3939.2719999999827</v>
      </c>
      <c r="AM9" s="157">
        <f>SUM(AG$4:AG9)-SUM(F$4:F8)</f>
        <v>764.28300000000149</v>
      </c>
      <c r="AN9" s="157">
        <f>SUM(AH$4:AH9)-SUM(G$4:G8)</f>
        <v>-1082.5659999999989</v>
      </c>
      <c r="AO9" s="169">
        <f>SUM(AI$4:AI9)-SUM(H$4:H8)</f>
        <v>-24516.11499999998</v>
      </c>
      <c r="AP9" s="170">
        <f>SUM(C$4:C9)/SUM(AD$4:AD9)</f>
        <v>0.99693463177679786</v>
      </c>
      <c r="AQ9" s="170">
        <f>SUM(D$4:D9)/SUM(AE$4:AE9)</f>
        <v>0.73570700904034103</v>
      </c>
      <c r="AR9" s="170">
        <f>SUM(E$4:E9)/SUM(AF$4:AF9)</f>
        <v>1.4841217899054073</v>
      </c>
      <c r="AS9" s="170">
        <f>SUM(F$4:F9)/SUM(AG$4:AG9)</f>
        <v>0.15164502164502139</v>
      </c>
      <c r="AT9" s="170">
        <f>SUM(G$4:G9)/SUM(AH$4:AH9)</f>
        <v>2.6737260358688886</v>
      </c>
      <c r="AU9" s="171">
        <f>SUM(H$4:H9)/SUM(AI$4:AI9)</f>
        <v>3.0391640519480467</v>
      </c>
      <c r="AV9" s="172">
        <f t="shared" si="9"/>
        <v>0.27</v>
      </c>
      <c r="AW9" s="172">
        <f t="shared" si="2"/>
        <v>0.45999999999999996</v>
      </c>
      <c r="AX9" s="172">
        <f t="shared" si="2"/>
        <v>0.57000000000000006</v>
      </c>
      <c r="AY9" s="172">
        <f t="shared" si="2"/>
        <v>0.21999999999999997</v>
      </c>
      <c r="AZ9" s="172">
        <f t="shared" si="2"/>
        <v>0.72</v>
      </c>
      <c r="BA9" s="172">
        <f t="shared" si="2"/>
        <v>0.5</v>
      </c>
      <c r="BB9" s="191">
        <f t="shared" si="2"/>
        <v>0.91666666666666674</v>
      </c>
      <c r="BC9" s="192">
        <f t="shared" si="10"/>
        <v>652.04999999999984</v>
      </c>
      <c r="BD9" s="192">
        <f t="shared" si="3"/>
        <v>1255.7999999999995</v>
      </c>
      <c r="BE9" s="192">
        <f t="shared" si="3"/>
        <v>1376.5499999999997</v>
      </c>
      <c r="BF9" s="192">
        <f t="shared" si="3"/>
        <v>23.099999999999991</v>
      </c>
      <c r="BG9" s="192">
        <f t="shared" si="3"/>
        <v>151.19999999999996</v>
      </c>
      <c r="BH9" s="158">
        <f t="shared" si="3"/>
        <v>1312.4999999999995</v>
      </c>
      <c r="BI9" s="194">
        <f>SUM(BC$4:BC9)-SUM(I$4:I8)</f>
        <v>340.75000000001273</v>
      </c>
      <c r="BJ9" s="194">
        <f>SUM(BD$4:BD9)-SUM(J$4:J8)</f>
        <v>1123.9600000000246</v>
      </c>
      <c r="BK9" s="194">
        <f>SUM(BE$4:BE9)-SUM(K$4:K8)</f>
        <v>-1261.7099999999755</v>
      </c>
      <c r="BL9" s="194">
        <f>SUM(BF$4:BF9)-SUM(L$4:L8)</f>
        <v>254.10000000000039</v>
      </c>
      <c r="BM9" s="194">
        <f>SUM(BG$4:BG9)-SUM(M$4:M8)</f>
        <v>1051.6800000000028</v>
      </c>
      <c r="BN9" s="203">
        <f>SUM(BH$4:BH9)-SUM(N$4:N8)</f>
        <v>8322.3000000000247</v>
      </c>
      <c r="BO9" s="170">
        <f>SUM(I$4:I9)/SUM(BC$4:BC9)</f>
        <v>1.1569274525796245</v>
      </c>
      <c r="BP9" s="170">
        <f>SUM(J$4:J9)/SUM(BD$4:BD9)</f>
        <v>1.0262114696897289</v>
      </c>
      <c r="BQ9" s="170">
        <f>SUM(K$4:K9)/SUM(BE$4:BE9)</f>
        <v>1.1464920535858731</v>
      </c>
      <c r="BR9" s="170">
        <f>SUM(L$4:L9)/SUM(BF$4:BF9)</f>
        <v>0</v>
      </c>
      <c r="BS9" s="170">
        <f>SUM(M$4:M9)/SUM(BG$4:BG9)</f>
        <v>0.44771524771524696</v>
      </c>
      <c r="BT9" s="171">
        <f>SUM(N$4:N9)/SUM(BH$4:BH9)</f>
        <v>0.42600727272727196</v>
      </c>
      <c r="BU9" s="220">
        <f t="shared" si="11"/>
        <v>2414.9999999999991</v>
      </c>
      <c r="BV9" s="220">
        <f t="shared" si="5"/>
        <v>2729.9999999999991</v>
      </c>
      <c r="BW9" s="220">
        <f t="shared" si="5"/>
        <v>2414.9999999999991</v>
      </c>
      <c r="BX9" s="220">
        <f t="shared" si="5"/>
        <v>104.99999999999997</v>
      </c>
      <c r="BY9" s="220">
        <f t="shared" si="5"/>
        <v>209.99999999999994</v>
      </c>
      <c r="BZ9" s="221">
        <f t="shared" si="5"/>
        <v>2624.9999999999991</v>
      </c>
      <c r="CA9" s="222">
        <f>SUM($BU$4:BZ9)</f>
        <v>115500.00000000023</v>
      </c>
      <c r="CB9" s="220">
        <f t="shared" si="12"/>
        <v>4120.2030000000468</v>
      </c>
      <c r="CC9" s="220">
        <f t="shared" si="13"/>
        <v>6958.394000000053</v>
      </c>
      <c r="CD9" s="220">
        <f t="shared" si="14"/>
        <v>-5200.9819999999581</v>
      </c>
      <c r="CE9" s="220">
        <f t="shared" si="15"/>
        <v>1018.3830000000019</v>
      </c>
      <c r="CF9" s="220">
        <f t="shared" si="16"/>
        <v>-30.885999999996102</v>
      </c>
      <c r="CG9" s="221">
        <f t="shared" si="17"/>
        <v>-16193.814999999955</v>
      </c>
      <c r="CH9" s="172">
        <f>(SUM(I$4:I9)+SUM(C$4:C9))/SUM(BU$4:BU9)</f>
        <v>1.0401326933935613</v>
      </c>
      <c r="CI9" s="172">
        <f>(SUM(J$4:J9)+SUM(D$4:D9))/SUM(BV$4:BV9)</f>
        <v>0.86933906093905933</v>
      </c>
      <c r="CJ9" s="172">
        <f>(SUM(K$4:K9)+SUM(E$4:E9))/SUM(BW$4:BW9)</f>
        <v>1.2916728402032731</v>
      </c>
      <c r="CK9" s="172">
        <f>(SUM(L$4:L9)+SUM(F$4:F9))/SUM(BX$4:BX9)</f>
        <v>0.11828311688311668</v>
      </c>
      <c r="CL9" s="172">
        <f>(SUM(M$4:M9)+SUM(G$4:G9))/SUM(BY$4:BY9)</f>
        <v>1.0709982683982664</v>
      </c>
      <c r="CM9" s="191">
        <f>(SUM(N$4:N9)+SUM(H$4:H9))/SUM(BZ$4:BZ9)</f>
        <v>1.7325856623376594</v>
      </c>
    </row>
    <row r="10" spans="1:91" s="66" customFormat="1" ht="14.25">
      <c r="A10" s="81">
        <v>44521</v>
      </c>
      <c r="B10" s="82">
        <v>7</v>
      </c>
      <c r="C10" s="83">
        <v>1940.41</v>
      </c>
      <c r="D10" s="84">
        <v>502.26299999999998</v>
      </c>
      <c r="E10" s="84">
        <v>275.38200000000001</v>
      </c>
      <c r="F10" s="84">
        <v>0</v>
      </c>
      <c r="G10" s="84">
        <v>511.67599999999999</v>
      </c>
      <c r="H10" s="84">
        <v>997.02200000000005</v>
      </c>
      <c r="I10" s="101">
        <v>603.20000000000005</v>
      </c>
      <c r="J10" s="101">
        <v>208</v>
      </c>
      <c r="K10" s="101">
        <v>0</v>
      </c>
      <c r="L10" s="101">
        <v>0</v>
      </c>
      <c r="M10" s="101">
        <v>33.28</v>
      </c>
      <c r="N10" s="102">
        <v>437.04</v>
      </c>
      <c r="O10" s="103">
        <f>SUM($C$4:N10)</f>
        <v>146197.97300000006</v>
      </c>
      <c r="P10" s="104">
        <f t="shared" si="7"/>
        <v>126000</v>
      </c>
      <c r="Q10" s="128">
        <v>0.23</v>
      </c>
      <c r="R10" s="129">
        <v>0.26</v>
      </c>
      <c r="S10" s="129">
        <v>0.23</v>
      </c>
      <c r="T10" s="129">
        <v>0.01</v>
      </c>
      <c r="U10" s="129">
        <v>0.02</v>
      </c>
      <c r="V10" s="130">
        <v>0.25</v>
      </c>
      <c r="W10" s="131">
        <v>0.73</v>
      </c>
      <c r="X10" s="132">
        <v>0.54</v>
      </c>
      <c r="Y10" s="132">
        <v>0.43</v>
      </c>
      <c r="Z10" s="132">
        <v>0.78</v>
      </c>
      <c r="AA10" s="132">
        <v>0.28000000000000003</v>
      </c>
      <c r="AB10" s="132">
        <v>0.5</v>
      </c>
      <c r="AC10" s="148">
        <v>8.3333333333333301E-2</v>
      </c>
      <c r="AD10" s="149">
        <f t="shared" si="8"/>
        <v>1762.9499999999994</v>
      </c>
      <c r="AE10" s="150">
        <f t="shared" si="0"/>
        <v>1474.1999999999996</v>
      </c>
      <c r="AF10" s="150">
        <f t="shared" si="0"/>
        <v>1038.4499999999996</v>
      </c>
      <c r="AG10" s="150">
        <f t="shared" si="0"/>
        <v>81.899999999999977</v>
      </c>
      <c r="AH10" s="150">
        <f t="shared" si="0"/>
        <v>58.79999999999999</v>
      </c>
      <c r="AI10" s="159">
        <f t="shared" si="0"/>
        <v>1312.4999999999995</v>
      </c>
      <c r="AJ10" s="160">
        <f>SUM(AD$4:AD10)-SUM(C$4:C9)</f>
        <v>1822.3950000000368</v>
      </c>
      <c r="AK10" s="160">
        <f>SUM(AE$4:AE10)-SUM(D$4:D9)</f>
        <v>5760.0280000000275</v>
      </c>
      <c r="AL10" s="160">
        <f>SUM(AF$4:AF10)-SUM(E$4:E9)</f>
        <v>-4491.6489999999831</v>
      </c>
      <c r="AM10" s="160">
        <f>SUM(AG$4:AG10)-SUM(F$4:F9)</f>
        <v>846.18300000000158</v>
      </c>
      <c r="AN10" s="160">
        <f>SUM(AH$4:AH10)-SUM(G$4:G9)</f>
        <v>-1023.7659999999989</v>
      </c>
      <c r="AO10" s="173">
        <f>SUM(AI$4:AI10)-SUM(H$4:H9)</f>
        <v>-28127.930999999979</v>
      </c>
      <c r="AP10" s="174">
        <f>SUM(C$4:C10)/SUM(AD$4:AD10)</f>
        <v>1.0055784811442923</v>
      </c>
      <c r="AQ10" s="174">
        <f>SUM(D$4:D10)/SUM(AE$4:AE10)</f>
        <v>0.70278993126215239</v>
      </c>
      <c r="AR10" s="174">
        <f>SUM(E$4:E10)/SUM(AF$4:AF10)</f>
        <v>1.3825437751777472</v>
      </c>
      <c r="AS10" s="174">
        <f>SUM(F$4:F10)/SUM(AG$4:AG10)</f>
        <v>0.1390079365079363</v>
      </c>
      <c r="AT10" s="174">
        <f>SUM(G$4:G10)/SUM(AH$4:AH10)</f>
        <v>3.1760799319727844</v>
      </c>
      <c r="AU10" s="175">
        <f>SUM(H$4:H10)/SUM(AI$4:AI10)</f>
        <v>2.8492033650793607</v>
      </c>
      <c r="AV10" s="176">
        <f t="shared" si="9"/>
        <v>0.27</v>
      </c>
      <c r="AW10" s="176">
        <f t="shared" si="2"/>
        <v>0.45999999999999996</v>
      </c>
      <c r="AX10" s="176">
        <f t="shared" si="2"/>
        <v>0.57000000000000006</v>
      </c>
      <c r="AY10" s="176">
        <f t="shared" si="2"/>
        <v>0.21999999999999997</v>
      </c>
      <c r="AZ10" s="176">
        <f t="shared" si="2"/>
        <v>0.72</v>
      </c>
      <c r="BA10" s="176">
        <f t="shared" si="2"/>
        <v>0.5</v>
      </c>
      <c r="BB10" s="193">
        <f t="shared" si="2"/>
        <v>0.91666666666666674</v>
      </c>
      <c r="BC10" s="150">
        <f t="shared" si="10"/>
        <v>652.04999999999984</v>
      </c>
      <c r="BD10" s="150">
        <f t="shared" si="3"/>
        <v>1255.7999999999995</v>
      </c>
      <c r="BE10" s="150">
        <f t="shared" si="3"/>
        <v>1376.5499999999997</v>
      </c>
      <c r="BF10" s="150">
        <f t="shared" si="3"/>
        <v>23.099999999999991</v>
      </c>
      <c r="BG10" s="150">
        <f t="shared" si="3"/>
        <v>151.19999999999996</v>
      </c>
      <c r="BH10" s="159">
        <f t="shared" si="3"/>
        <v>1312.4999999999995</v>
      </c>
      <c r="BI10" s="195">
        <f>SUM(BC$4:BC10)-SUM(I$4:I9)</f>
        <v>-473.5199999999877</v>
      </c>
      <c r="BJ10" s="195">
        <f>SUM(BD$4:BD10)-SUM(J$4:J9)</f>
        <v>893.72000000002299</v>
      </c>
      <c r="BK10" s="195">
        <f>SUM(BE$4:BE10)-SUM(K$4:K9)</f>
        <v>-841.63999999997395</v>
      </c>
      <c r="BL10" s="195">
        <f>SUM(BF$4:BF10)-SUM(L$4:L9)</f>
        <v>277.20000000000039</v>
      </c>
      <c r="BM10" s="195">
        <f>SUM(BG$4:BG10)-SUM(M$4:M9)</f>
        <v>1069.7600000000029</v>
      </c>
      <c r="BN10" s="204">
        <f>SUM(BH$4:BH10)-SUM(N$4:N9)</f>
        <v>9599.5200000000259</v>
      </c>
      <c r="BO10" s="174">
        <f>SUM(I$4:I10)/SUM(BC$4:BC10)</f>
        <v>1.1376070342253901</v>
      </c>
      <c r="BP10" s="174">
        <f>SUM(J$4:J10)/SUM(BD$4:BD10)</f>
        <v>0.9544964697138596</v>
      </c>
      <c r="BQ10" s="174">
        <f>SUM(K$4:K10)/SUM(BE$4:BE10)</f>
        <v>1.050951049120384</v>
      </c>
      <c r="BR10" s="174">
        <f>SUM(L$4:L10)/SUM(BF$4:BF10)</f>
        <v>0</v>
      </c>
      <c r="BS10" s="174">
        <f>SUM(M$4:M10)/SUM(BG$4:BG10)</f>
        <v>0.4287477954144614</v>
      </c>
      <c r="BT10" s="175">
        <f>SUM(N$4:N10)/SUM(BH$4:BH10)</f>
        <v>0.4182552380952374</v>
      </c>
      <c r="BU10" s="223">
        <f t="shared" si="11"/>
        <v>2414.9999999999991</v>
      </c>
      <c r="BV10" s="223">
        <f t="shared" si="5"/>
        <v>2729.9999999999991</v>
      </c>
      <c r="BW10" s="223">
        <f t="shared" si="5"/>
        <v>2414.9999999999991</v>
      </c>
      <c r="BX10" s="223">
        <f t="shared" si="5"/>
        <v>104.99999999999997</v>
      </c>
      <c r="BY10" s="223">
        <f t="shared" si="5"/>
        <v>209.99999999999994</v>
      </c>
      <c r="BZ10" s="221">
        <f t="shared" si="5"/>
        <v>2624.9999999999991</v>
      </c>
      <c r="CA10" s="222">
        <f>SUM($BU$4:BZ10)</f>
        <v>126000.00000000023</v>
      </c>
      <c r="CB10" s="223">
        <f t="shared" si="12"/>
        <v>1348.8750000000491</v>
      </c>
      <c r="CC10" s="223">
        <f t="shared" si="13"/>
        <v>6653.7480000000505</v>
      </c>
      <c r="CD10" s="223">
        <f t="shared" si="14"/>
        <v>-5333.288999999957</v>
      </c>
      <c r="CE10" s="223">
        <f t="shared" si="15"/>
        <v>1123.3830000000021</v>
      </c>
      <c r="CF10" s="223">
        <f t="shared" si="16"/>
        <v>45.994000000004007</v>
      </c>
      <c r="CG10" s="228">
        <f t="shared" si="17"/>
        <v>-18528.410999999953</v>
      </c>
      <c r="CH10" s="176">
        <f>(SUM(I$4:I10)+SUM(C$4:C10))/SUM(BU$4:BU10)</f>
        <v>1.041226190476189</v>
      </c>
      <c r="CI10" s="176">
        <f>(SUM(J$4:J10)+SUM(D$4:D10))/SUM(BV$4:BV10)</f>
        <v>0.8185749389499376</v>
      </c>
      <c r="CJ10" s="176">
        <f>(SUM(K$4:K10)+SUM(E$4:E10))/SUM(BW$4:BW10)</f>
        <v>1.19353592132505</v>
      </c>
      <c r="CK10" s="176">
        <f>(SUM(L$4:L10)+SUM(F$4:F10))/SUM(BX$4:BX10)</f>
        <v>0.10842619047619032</v>
      </c>
      <c r="CL10" s="176">
        <f>(SUM(M$4:M10)+SUM(G$4:G10))/SUM(BY$4:BY10)</f>
        <v>1.1980007936507917</v>
      </c>
      <c r="CM10" s="193">
        <f>(SUM(N$4:N10)+SUM(H$4:H10))/SUM(BZ$4:BZ10)</f>
        <v>1.6337293015872989</v>
      </c>
    </row>
    <row r="11" spans="1:91" ht="14.25">
      <c r="A11" s="75">
        <v>44522</v>
      </c>
      <c r="B11" s="76">
        <v>1</v>
      </c>
      <c r="C11" s="85">
        <v>2653.0349999999999</v>
      </c>
      <c r="D11" s="86">
        <v>2156.085</v>
      </c>
      <c r="E11" s="86">
        <v>1054.835</v>
      </c>
      <c r="F11" s="86">
        <v>0</v>
      </c>
      <c r="G11" s="86">
        <v>305.48</v>
      </c>
      <c r="H11" s="86">
        <v>1426.9190000000001</v>
      </c>
      <c r="I11" s="105">
        <v>1980.16</v>
      </c>
      <c r="J11" s="105">
        <v>1083.68</v>
      </c>
      <c r="K11" s="105">
        <v>378.56</v>
      </c>
      <c r="L11" s="105">
        <v>0</v>
      </c>
      <c r="M11" s="105">
        <v>166.4</v>
      </c>
      <c r="N11" s="106">
        <v>56.16</v>
      </c>
      <c r="O11" s="107">
        <f>SUM($C$11:N11)</f>
        <v>11261.313999999998</v>
      </c>
      <c r="P11" s="108">
        <f>18000*7*1.2</f>
        <v>151200</v>
      </c>
      <c r="Q11" s="133">
        <v>0.23</v>
      </c>
      <c r="R11" s="134">
        <v>0.26</v>
      </c>
      <c r="S11" s="134">
        <v>0.23</v>
      </c>
      <c r="T11" s="134">
        <v>0.01</v>
      </c>
      <c r="U11" s="134">
        <v>0.02</v>
      </c>
      <c r="V11" s="135">
        <v>0.25</v>
      </c>
      <c r="W11" s="126">
        <v>0.73</v>
      </c>
      <c r="X11" s="127">
        <v>0.54</v>
      </c>
      <c r="Y11" s="127">
        <v>0.43</v>
      </c>
      <c r="Z11" s="127">
        <v>0.78</v>
      </c>
      <c r="AA11" s="127">
        <v>0.28000000000000003</v>
      </c>
      <c r="AB11" s="127">
        <v>0.5</v>
      </c>
      <c r="AC11" s="145">
        <v>0.16666666666666699</v>
      </c>
      <c r="AD11" s="146">
        <f t="shared" si="8"/>
        <v>4231.0800000000081</v>
      </c>
      <c r="AE11" s="147">
        <f t="shared" si="0"/>
        <v>3538.0800000000072</v>
      </c>
      <c r="AF11" s="147">
        <f t="shared" si="0"/>
        <v>2492.2800000000047</v>
      </c>
      <c r="AG11" s="147">
        <f t="shared" si="0"/>
        <v>196.56000000000037</v>
      </c>
      <c r="AH11" s="147">
        <f t="shared" si="0"/>
        <v>141.12000000000029</v>
      </c>
      <c r="AI11" s="158">
        <f t="shared" si="0"/>
        <v>3150.0000000000059</v>
      </c>
      <c r="AJ11" s="157">
        <f>AD11</f>
        <v>4231.0800000000081</v>
      </c>
      <c r="AK11" s="157">
        <f t="shared" ref="AK11:AO11" si="18">AE11</f>
        <v>3538.0800000000072</v>
      </c>
      <c r="AL11" s="157">
        <f t="shared" si="18"/>
        <v>2492.2800000000047</v>
      </c>
      <c r="AM11" s="157">
        <f t="shared" si="18"/>
        <v>196.56000000000037</v>
      </c>
      <c r="AN11" s="157">
        <f t="shared" si="18"/>
        <v>141.12000000000029</v>
      </c>
      <c r="AO11" s="169">
        <f t="shared" si="18"/>
        <v>3150.0000000000059</v>
      </c>
      <c r="AP11" s="170">
        <f>SUM(C$11:C11)/SUM(AD$11:AD11)</f>
        <v>0.62703494143339167</v>
      </c>
      <c r="AQ11" s="170">
        <f>SUM(D$11:D11)/SUM(AE$11:AE11)</f>
        <v>0.60939407814407687</v>
      </c>
      <c r="AR11" s="170">
        <f>SUM(E$11:E11)/SUM(AF$11:AF11)</f>
        <v>0.42324096810952139</v>
      </c>
      <c r="AS11" s="170">
        <f>SUM(F$11:F11)/SUM(AG$11:AG11)</f>
        <v>0</v>
      </c>
      <c r="AT11" s="170">
        <f>SUM(G$11:G11)/SUM(AH$11:AH11)</f>
        <v>2.1646825396825355</v>
      </c>
      <c r="AU11" s="171">
        <f>SUM(H$11:H11)/SUM(AI$11:AI11)</f>
        <v>0.45299015873015791</v>
      </c>
      <c r="AV11" s="172">
        <f t="shared" si="9"/>
        <v>0.27</v>
      </c>
      <c r="AW11" s="172">
        <f t="shared" si="2"/>
        <v>0.45999999999999996</v>
      </c>
      <c r="AX11" s="172">
        <f t="shared" si="2"/>
        <v>0.57000000000000006</v>
      </c>
      <c r="AY11" s="172">
        <f t="shared" si="2"/>
        <v>0.21999999999999997</v>
      </c>
      <c r="AZ11" s="172">
        <f t="shared" si="2"/>
        <v>0.72</v>
      </c>
      <c r="BA11" s="172">
        <f t="shared" si="2"/>
        <v>0.5</v>
      </c>
      <c r="BB11" s="191">
        <f t="shared" si="2"/>
        <v>0.83333333333333304</v>
      </c>
      <c r="BC11" s="192">
        <f t="shared" si="10"/>
        <v>1564.920000000003</v>
      </c>
      <c r="BD11" s="192">
        <f t="shared" si="3"/>
        <v>3013.9200000000055</v>
      </c>
      <c r="BE11" s="192">
        <f t="shared" si="3"/>
        <v>3303.7200000000066</v>
      </c>
      <c r="BF11" s="192">
        <f t="shared" si="3"/>
        <v>55.440000000000097</v>
      </c>
      <c r="BG11" s="192">
        <f t="shared" si="3"/>
        <v>362.88000000000068</v>
      </c>
      <c r="BH11" s="158">
        <f t="shared" si="3"/>
        <v>3150.0000000000059</v>
      </c>
      <c r="BI11" s="194">
        <f>BC11</f>
        <v>1564.920000000003</v>
      </c>
      <c r="BJ11" s="194">
        <f t="shared" ref="BJ11:BN11" si="19">BD11</f>
        <v>3013.9200000000055</v>
      </c>
      <c r="BK11" s="194">
        <f t="shared" si="19"/>
        <v>3303.7200000000066</v>
      </c>
      <c r="BL11" s="194">
        <f t="shared" si="19"/>
        <v>55.440000000000097</v>
      </c>
      <c r="BM11" s="194">
        <f t="shared" si="19"/>
        <v>362.88000000000068</v>
      </c>
      <c r="BN11" s="203">
        <f t="shared" si="19"/>
        <v>3150.0000000000059</v>
      </c>
      <c r="BO11" s="170">
        <f>SUM(I$11:I11)/SUM(BC$11:BC11)</f>
        <v>1.2653426373233112</v>
      </c>
      <c r="BP11" s="170">
        <f>SUM(J$11:J11)/SUM(BD$11:BD11)</f>
        <v>0.35955831608005456</v>
      </c>
      <c r="BQ11" s="170">
        <f>SUM(K$11:K11)/SUM(BE$11:BE11)</f>
        <v>0.1145859818628695</v>
      </c>
      <c r="BR11" s="170">
        <f>SUM(L$11:L11)/SUM(BF$11:BF11)</f>
        <v>0</v>
      </c>
      <c r="BS11" s="170">
        <f>SUM(M$11:M11)/SUM(BG$11:BG11)</f>
        <v>0.45855379188712436</v>
      </c>
      <c r="BT11" s="171">
        <f>SUM(N$11:N11)/SUM(BH$11:BH11)</f>
        <v>1.7828571428571395E-2</v>
      </c>
      <c r="BU11" s="220">
        <f t="shared" si="11"/>
        <v>5796.0000000000109</v>
      </c>
      <c r="BV11" s="220">
        <f t="shared" si="5"/>
        <v>6552.0000000000127</v>
      </c>
      <c r="BW11" s="220">
        <f t="shared" si="5"/>
        <v>5796.0000000000109</v>
      </c>
      <c r="BX11" s="220">
        <f t="shared" si="5"/>
        <v>252.00000000000045</v>
      </c>
      <c r="BY11" s="220">
        <f t="shared" si="5"/>
        <v>504.00000000000097</v>
      </c>
      <c r="BZ11" s="221">
        <f t="shared" si="5"/>
        <v>6300.0000000000118</v>
      </c>
      <c r="CA11" s="222">
        <f>SUM($BU$11:BZ11)</f>
        <v>25200.000000000047</v>
      </c>
      <c r="CB11" s="220">
        <f t="shared" si="12"/>
        <v>5796.0000000000109</v>
      </c>
      <c r="CC11" s="220">
        <f t="shared" si="13"/>
        <v>6552.0000000000127</v>
      </c>
      <c r="CD11" s="220">
        <f t="shared" si="14"/>
        <v>5796.0000000000109</v>
      </c>
      <c r="CE11" s="220">
        <f t="shared" si="15"/>
        <v>252.00000000000045</v>
      </c>
      <c r="CF11" s="220">
        <f t="shared" si="16"/>
        <v>504.00000000000097</v>
      </c>
      <c r="CG11" s="221">
        <f t="shared" si="17"/>
        <v>6300.0000000000118</v>
      </c>
      <c r="CH11" s="172">
        <f>(SUM(I$11:I11)+SUM(C$11:C11))/SUM(BU$11:BU11)</f>
        <v>0.79937801932366992</v>
      </c>
      <c r="CI11" s="172">
        <f>(SUM(J$11:J11)+SUM(D$11:D11))/SUM(BV$11:BV11)</f>
        <v>0.4944696275946267</v>
      </c>
      <c r="CJ11" s="172">
        <f>(SUM(K$11:K11)+SUM(E$11:E11))/SUM(BW$11:BW11)</f>
        <v>0.24730762594892983</v>
      </c>
      <c r="CK11" s="172">
        <f>(SUM(L$11:L11)+SUM(F$11:F11))/SUM(BX$11:BX11)</f>
        <v>0</v>
      </c>
      <c r="CL11" s="172">
        <f>(SUM(M$11:M11)+SUM(G$11:G11))/SUM(BY$11:BY11)</f>
        <v>0.93626984126983948</v>
      </c>
      <c r="CM11" s="191">
        <f>(SUM(N$11:N11)+SUM(H$11:H11))/SUM(BZ$11:BZ11)</f>
        <v>0.23540936507936466</v>
      </c>
    </row>
    <row r="12" spans="1:91" ht="14.25">
      <c r="A12" s="75">
        <v>44523</v>
      </c>
      <c r="B12" s="76">
        <v>2</v>
      </c>
      <c r="C12" s="79">
        <v>5682.0829999999996</v>
      </c>
      <c r="D12" s="80">
        <v>7158.8180000000002</v>
      </c>
      <c r="E12" s="80">
        <v>5779.4660000000003</v>
      </c>
      <c r="F12" s="80">
        <v>0</v>
      </c>
      <c r="G12" s="80">
        <v>427.86599999999999</v>
      </c>
      <c r="H12" s="80">
        <v>3650.598</v>
      </c>
      <c r="I12" s="98">
        <v>2798.76</v>
      </c>
      <c r="J12" s="98">
        <v>5890.04</v>
      </c>
      <c r="K12" s="98">
        <v>5413.52</v>
      </c>
      <c r="L12" s="98">
        <v>0</v>
      </c>
      <c r="M12" s="98">
        <v>186.56</v>
      </c>
      <c r="N12" s="99">
        <v>74.88</v>
      </c>
      <c r="O12" s="100">
        <f>SUM($C$11:N12)</f>
        <v>48323.904999999992</v>
      </c>
      <c r="P12" s="109">
        <f t="shared" ref="P12:P52" si="20">18000*7*1.2</f>
        <v>151200</v>
      </c>
      <c r="Q12" s="123">
        <v>0.23</v>
      </c>
      <c r="R12" s="124">
        <v>0.26</v>
      </c>
      <c r="S12" s="124">
        <v>0.23</v>
      </c>
      <c r="T12" s="124">
        <v>0.01</v>
      </c>
      <c r="U12" s="124">
        <v>0.02</v>
      </c>
      <c r="V12" s="125">
        <v>0.25</v>
      </c>
      <c r="W12" s="126">
        <v>0.73</v>
      </c>
      <c r="X12" s="127">
        <v>0.54</v>
      </c>
      <c r="Y12" s="127">
        <v>0.43</v>
      </c>
      <c r="Z12" s="127">
        <v>0.78</v>
      </c>
      <c r="AA12" s="127">
        <v>0.28000000000000003</v>
      </c>
      <c r="AB12" s="127">
        <v>0.5</v>
      </c>
      <c r="AC12" s="145">
        <v>0.16666666666666699</v>
      </c>
      <c r="AD12" s="146">
        <f t="shared" si="8"/>
        <v>4231.0800000000081</v>
      </c>
      <c r="AE12" s="147">
        <f t="shared" si="0"/>
        <v>3538.0800000000072</v>
      </c>
      <c r="AF12" s="147">
        <f t="shared" si="0"/>
        <v>2492.2800000000047</v>
      </c>
      <c r="AG12" s="147">
        <f t="shared" si="0"/>
        <v>196.56000000000037</v>
      </c>
      <c r="AH12" s="147">
        <f t="shared" si="0"/>
        <v>141.12000000000029</v>
      </c>
      <c r="AI12" s="158">
        <f t="shared" si="0"/>
        <v>3150.0000000000059</v>
      </c>
      <c r="AJ12" s="157">
        <f>SUM(AD$11:AD12)-SUM(C$11:C11)</f>
        <v>5809.1250000000164</v>
      </c>
      <c r="AK12" s="157">
        <f>SUM(AE$11:AE12)-SUM(D$11:D11)</f>
        <v>4920.0750000000144</v>
      </c>
      <c r="AL12" s="157">
        <f>SUM(AF$11:AF12)-SUM(E$11:E11)</f>
        <v>3929.7250000000095</v>
      </c>
      <c r="AM12" s="157">
        <f>SUM(AG$11:AG12)-SUM(F$11:F11)</f>
        <v>393.12000000000074</v>
      </c>
      <c r="AN12" s="157">
        <f>SUM(AH$11:AH12)-SUM(G$11:G11)</f>
        <v>-23.239999999999441</v>
      </c>
      <c r="AO12" s="169">
        <f>SUM(AI$11:AI12)-SUM(H$11:H11)</f>
        <v>4873.081000000012</v>
      </c>
      <c r="AP12" s="170">
        <f>SUM(C$11:C12)/SUM(AD$11:AD12)</f>
        <v>0.984987048224092</v>
      </c>
      <c r="AQ12" s="170">
        <f>SUM(D$11:D12)/SUM(AE$11:AE12)</f>
        <v>1.3163782333921197</v>
      </c>
      <c r="AR12" s="170">
        <f>SUM(E$11:E12)/SUM(AF$11:AF12)</f>
        <v>1.3710941387003039</v>
      </c>
      <c r="AS12" s="170">
        <f>SUM(F$11:F12)/SUM(AG$11:AG12)</f>
        <v>0</v>
      </c>
      <c r="AT12" s="170">
        <f>SUM(G$11:G12)/SUM(AH$11:AH12)</f>
        <v>2.5983064058956864</v>
      </c>
      <c r="AU12" s="171">
        <f>SUM(H$11:H12)/SUM(AI$11:AI12)</f>
        <v>0.80595507936507782</v>
      </c>
      <c r="AV12" s="172">
        <f t="shared" si="9"/>
        <v>0.27</v>
      </c>
      <c r="AW12" s="172">
        <f t="shared" si="2"/>
        <v>0.45999999999999996</v>
      </c>
      <c r="AX12" s="172">
        <f t="shared" si="2"/>
        <v>0.57000000000000006</v>
      </c>
      <c r="AY12" s="172">
        <f t="shared" si="2"/>
        <v>0.21999999999999997</v>
      </c>
      <c r="AZ12" s="172">
        <f t="shared" si="2"/>
        <v>0.72</v>
      </c>
      <c r="BA12" s="172">
        <f t="shared" si="2"/>
        <v>0.5</v>
      </c>
      <c r="BB12" s="191">
        <f t="shared" si="2"/>
        <v>0.83333333333333304</v>
      </c>
      <c r="BC12" s="192">
        <f t="shared" si="10"/>
        <v>1564.920000000003</v>
      </c>
      <c r="BD12" s="192">
        <f t="shared" si="3"/>
        <v>3013.9200000000055</v>
      </c>
      <c r="BE12" s="192">
        <f t="shared" si="3"/>
        <v>3303.7200000000066</v>
      </c>
      <c r="BF12" s="192">
        <f t="shared" si="3"/>
        <v>55.440000000000097</v>
      </c>
      <c r="BG12" s="192">
        <f t="shared" si="3"/>
        <v>362.88000000000068</v>
      </c>
      <c r="BH12" s="158">
        <f t="shared" si="3"/>
        <v>3150.0000000000059</v>
      </c>
      <c r="BI12" s="194">
        <f>SUM(BC$11:BC12)-SUM(I$11:I11)</f>
        <v>1149.680000000006</v>
      </c>
      <c r="BJ12" s="194">
        <f>SUM(BD$11:BD12)-SUM(J$11:J11)</f>
        <v>4944.1600000000108</v>
      </c>
      <c r="BK12" s="194">
        <f>SUM(BE$11:BE12)-SUM(K$11:K11)</f>
        <v>6228.8800000000128</v>
      </c>
      <c r="BL12" s="194">
        <f>SUM(BF$11:BF12)-SUM(L$11:L11)</f>
        <v>110.88000000000019</v>
      </c>
      <c r="BM12" s="194">
        <f>SUM(BG$11:BG12)-SUM(M$11:M11)</f>
        <v>559.36000000000138</v>
      </c>
      <c r="BN12" s="203">
        <f>SUM(BH$11:BH12)-SUM(N$11:N11)</f>
        <v>6243.840000000012</v>
      </c>
      <c r="BO12" s="170">
        <f>SUM(I$11:I12)/SUM(BC$11:BC12)</f>
        <v>1.5268895534595988</v>
      </c>
      <c r="BP12" s="170">
        <f>SUM(J$11:J12)/SUM(BD$11:BD12)</f>
        <v>1.1569185645272582</v>
      </c>
      <c r="BQ12" s="170">
        <f>SUM(K$11:K12)/SUM(BE$11:BE12)</f>
        <v>0.87659971183998486</v>
      </c>
      <c r="BR12" s="170">
        <f>SUM(L$11:L12)/SUM(BF$11:BF12)</f>
        <v>0</v>
      </c>
      <c r="BS12" s="170">
        <f>SUM(M$11:M12)/SUM(BG$11:BG12)</f>
        <v>0.48633156966490215</v>
      </c>
      <c r="BT12" s="171">
        <f>SUM(N$11:N12)/SUM(BH$11:BH12)</f>
        <v>2.0799999999999961E-2</v>
      </c>
      <c r="BU12" s="220">
        <f t="shared" si="11"/>
        <v>5796.0000000000109</v>
      </c>
      <c r="BV12" s="220">
        <f t="shared" si="5"/>
        <v>6552.0000000000127</v>
      </c>
      <c r="BW12" s="220">
        <f t="shared" si="5"/>
        <v>5796.0000000000109</v>
      </c>
      <c r="BX12" s="220">
        <f t="shared" si="5"/>
        <v>252.00000000000045</v>
      </c>
      <c r="BY12" s="220">
        <f t="shared" si="5"/>
        <v>504.00000000000097</v>
      </c>
      <c r="BZ12" s="221">
        <f t="shared" si="5"/>
        <v>6300.0000000000118</v>
      </c>
      <c r="CA12" s="222">
        <f>SUM($BU$11:BZ12)</f>
        <v>50400.000000000102</v>
      </c>
      <c r="CB12" s="220">
        <f t="shared" ref="CB12:CB18" si="21">AJ12+BI12</f>
        <v>6958.8050000000221</v>
      </c>
      <c r="CC12" s="220">
        <f t="shared" ref="CC12:CC18" si="22">AK12+BJ12</f>
        <v>9864.235000000026</v>
      </c>
      <c r="CD12" s="220">
        <f t="shared" ref="CD12:CD18" si="23">AL12+BK12</f>
        <v>10158.605000000021</v>
      </c>
      <c r="CE12" s="220">
        <f t="shared" ref="CE12:CE18" si="24">AM12+BL12</f>
        <v>504.00000000000091</v>
      </c>
      <c r="CF12" s="220">
        <f t="shared" ref="CF12:CF18" si="25">AN12+BM12</f>
        <v>536.12000000000194</v>
      </c>
      <c r="CG12" s="221">
        <f t="shared" ref="CG12:CG18" si="26">AO12+BN12</f>
        <v>11116.921000000024</v>
      </c>
      <c r="CH12" s="172">
        <f>(SUM(I$11:I12)+SUM(C$11:C12))/SUM(BU$11:BU12)</f>
        <v>1.1313007246376789</v>
      </c>
      <c r="CI12" s="172">
        <f>(SUM(J$11:J12)+SUM(D$11:D12))/SUM(BV$11:BV12)</f>
        <v>1.2430267857142834</v>
      </c>
      <c r="CJ12" s="172">
        <f>(SUM(K$11:K12)+SUM(E$11:E12))/SUM(BW$11:BW12)</f>
        <v>1.0892323153899222</v>
      </c>
      <c r="CK12" s="172">
        <f>(SUM(L$11:L12)+SUM(F$11:F12))/SUM(BX$11:BX12)</f>
        <v>0</v>
      </c>
      <c r="CL12" s="172">
        <f>(SUM(M$11:M12)+SUM(G$11:G12))/SUM(BY$11:BY12)</f>
        <v>1.0776845238095218</v>
      </c>
      <c r="CM12" s="191">
        <f>(SUM(N$11:N12)+SUM(H$11:H12))/SUM(BZ$11:BZ12)</f>
        <v>0.41337753968253887</v>
      </c>
    </row>
    <row r="13" spans="1:91" ht="14.25">
      <c r="A13" s="75">
        <v>44524</v>
      </c>
      <c r="B13" s="76">
        <v>3</v>
      </c>
      <c r="C13" s="79">
        <v>4195.424</v>
      </c>
      <c r="D13" s="80">
        <v>4532.8649999999998</v>
      </c>
      <c r="E13" s="80">
        <v>7435.9560000000001</v>
      </c>
      <c r="F13" s="80">
        <v>203.32</v>
      </c>
      <c r="G13" s="80">
        <v>802.02499999999998</v>
      </c>
      <c r="H13" s="80">
        <v>3396.3310000000001</v>
      </c>
      <c r="I13" s="98">
        <v>2383</v>
      </c>
      <c r="J13" s="98">
        <v>6744.68</v>
      </c>
      <c r="K13" s="98">
        <v>5960.12</v>
      </c>
      <c r="L13" s="98">
        <v>170</v>
      </c>
      <c r="M13" s="98">
        <v>454.68</v>
      </c>
      <c r="N13" s="99">
        <v>183.04</v>
      </c>
      <c r="O13" s="100">
        <f>SUM($C$11:N13)</f>
        <v>84785.345999999976</v>
      </c>
      <c r="P13" s="109">
        <f t="shared" si="20"/>
        <v>151200</v>
      </c>
      <c r="Q13" s="123">
        <v>0.23</v>
      </c>
      <c r="R13" s="124">
        <v>0.26</v>
      </c>
      <c r="S13" s="124">
        <v>0.23</v>
      </c>
      <c r="T13" s="124">
        <v>0.01</v>
      </c>
      <c r="U13" s="124">
        <v>0.02</v>
      </c>
      <c r="V13" s="125">
        <v>0.25</v>
      </c>
      <c r="W13" s="126">
        <v>0.73</v>
      </c>
      <c r="X13" s="127">
        <v>0.54</v>
      </c>
      <c r="Y13" s="127">
        <v>0.43</v>
      </c>
      <c r="Z13" s="127">
        <v>0.78</v>
      </c>
      <c r="AA13" s="127">
        <v>0.28000000000000003</v>
      </c>
      <c r="AB13" s="127">
        <v>0.5</v>
      </c>
      <c r="AC13" s="145">
        <v>0.16666666666666699</v>
      </c>
      <c r="AD13" s="146">
        <f t="shared" si="8"/>
        <v>4231.0800000000081</v>
      </c>
      <c r="AE13" s="147">
        <f t="shared" si="0"/>
        <v>3538.0800000000072</v>
      </c>
      <c r="AF13" s="147">
        <f t="shared" si="0"/>
        <v>2492.2800000000047</v>
      </c>
      <c r="AG13" s="147">
        <f t="shared" si="0"/>
        <v>196.56000000000037</v>
      </c>
      <c r="AH13" s="147">
        <f t="shared" si="0"/>
        <v>141.12000000000029</v>
      </c>
      <c r="AI13" s="158">
        <f t="shared" si="0"/>
        <v>3150.0000000000059</v>
      </c>
      <c r="AJ13" s="157">
        <f>SUM(AD$11:AD13)-SUM(C$11:C12)</f>
        <v>4358.1220000000249</v>
      </c>
      <c r="AK13" s="157">
        <f>SUM(AE$11:AE13)-SUM(D$11:D12)</f>
        <v>1299.3370000000214</v>
      </c>
      <c r="AL13" s="157">
        <f>SUM(AF$11:AF13)-SUM(E$11:E12)</f>
        <v>642.53900000001431</v>
      </c>
      <c r="AM13" s="157">
        <f>SUM(AG$11:AG13)-SUM(F$11:F12)</f>
        <v>589.68000000000109</v>
      </c>
      <c r="AN13" s="157">
        <f>SUM(AH$11:AH13)-SUM(G$11:G12)</f>
        <v>-309.98599999999914</v>
      </c>
      <c r="AO13" s="169">
        <f>SUM(AI$11:AI13)-SUM(H$11:H12)</f>
        <v>4372.4830000000184</v>
      </c>
      <c r="AP13" s="170">
        <f>SUM(C$11:C13)/SUM(AD$11:AD13)</f>
        <v>0.9871823112144712</v>
      </c>
      <c r="AQ13" s="170">
        <f>SUM(D$11:D13)/SUM(AE$11:AE13)</f>
        <v>1.3046405583442593</v>
      </c>
      <c r="AR13" s="170">
        <f>SUM(E$11:E13)/SUM(AF$11:AF13)</f>
        <v>1.9085946736856712</v>
      </c>
      <c r="AS13" s="170">
        <f>SUM(F$11:F13)/SUM(AG$11:AG13)</f>
        <v>0.34479717813051081</v>
      </c>
      <c r="AT13" s="170">
        <f>SUM(G$11:G13)/SUM(AH$11:AH13)</f>
        <v>3.6266321806500308</v>
      </c>
      <c r="AU13" s="171">
        <f>SUM(H$11:H13)/SUM(AI$11:AI13)</f>
        <v>0.89670349206349032</v>
      </c>
      <c r="AV13" s="172">
        <f t="shared" si="9"/>
        <v>0.27</v>
      </c>
      <c r="AW13" s="172">
        <f t="shared" si="2"/>
        <v>0.45999999999999996</v>
      </c>
      <c r="AX13" s="172">
        <f t="shared" si="2"/>
        <v>0.57000000000000006</v>
      </c>
      <c r="AY13" s="172">
        <f t="shared" si="2"/>
        <v>0.21999999999999997</v>
      </c>
      <c r="AZ13" s="172">
        <f t="shared" si="2"/>
        <v>0.72</v>
      </c>
      <c r="BA13" s="172">
        <f t="shared" si="2"/>
        <v>0.5</v>
      </c>
      <c r="BB13" s="191">
        <f t="shared" si="2"/>
        <v>0.83333333333333304</v>
      </c>
      <c r="BC13" s="192">
        <f t="shared" si="10"/>
        <v>1564.920000000003</v>
      </c>
      <c r="BD13" s="192">
        <f t="shared" si="3"/>
        <v>3013.9200000000055</v>
      </c>
      <c r="BE13" s="192">
        <f t="shared" si="3"/>
        <v>3303.7200000000066</v>
      </c>
      <c r="BF13" s="192">
        <f t="shared" si="3"/>
        <v>55.440000000000097</v>
      </c>
      <c r="BG13" s="192">
        <f t="shared" si="3"/>
        <v>362.88000000000068</v>
      </c>
      <c r="BH13" s="158">
        <f t="shared" si="3"/>
        <v>3150.0000000000059</v>
      </c>
      <c r="BI13" s="194">
        <f>SUM(BC$11:BC13)-SUM(I$11:I12)</f>
        <v>-84.15999999999076</v>
      </c>
      <c r="BJ13" s="194">
        <f>SUM(BD$11:BD13)-SUM(J$11:J12)</f>
        <v>2068.0400000000163</v>
      </c>
      <c r="BK13" s="194">
        <f>SUM(BE$11:BE13)-SUM(K$11:K12)</f>
        <v>4119.080000000019</v>
      </c>
      <c r="BL13" s="194">
        <f>SUM(BF$11:BF13)-SUM(L$11:L12)</f>
        <v>166.32000000000028</v>
      </c>
      <c r="BM13" s="194">
        <f>SUM(BG$11:BG13)-SUM(M$11:M12)</f>
        <v>735.68000000000211</v>
      </c>
      <c r="BN13" s="203">
        <f>SUM(BH$11:BH13)-SUM(N$11:N12)</f>
        <v>9318.9600000000173</v>
      </c>
      <c r="BO13" s="170">
        <f>SUM(I$11:I13)/SUM(BC$11:BC13)</f>
        <v>1.5255135512784437</v>
      </c>
      <c r="BP13" s="170">
        <f>SUM(J$11:J13)/SUM(BD$11:BD13)</f>
        <v>1.5172267346180364</v>
      </c>
      <c r="BQ13" s="170">
        <f>SUM(K$11:K13)/SUM(BE$11:BE13)</f>
        <v>1.1857542406741468</v>
      </c>
      <c r="BR13" s="170">
        <f>SUM(L$11:L13)/SUM(BF$11:BF13)</f>
        <v>1.0221260221260204</v>
      </c>
      <c r="BS13" s="170">
        <f>SUM(M$11:M13)/SUM(BG$11:BG13)</f>
        <v>0.74187977660199744</v>
      </c>
      <c r="BT13" s="171">
        <f>SUM(N$11:N13)/SUM(BH$11:BH13)</f>
        <v>3.3235978835978772E-2</v>
      </c>
      <c r="BU13" s="220">
        <f t="shared" si="11"/>
        <v>5796.0000000000109</v>
      </c>
      <c r="BV13" s="220">
        <f t="shared" si="5"/>
        <v>6552.0000000000127</v>
      </c>
      <c r="BW13" s="220">
        <f t="shared" si="5"/>
        <v>5796.0000000000109</v>
      </c>
      <c r="BX13" s="220">
        <f t="shared" si="5"/>
        <v>252.00000000000045</v>
      </c>
      <c r="BY13" s="220">
        <f t="shared" si="5"/>
        <v>504.00000000000097</v>
      </c>
      <c r="BZ13" s="221">
        <f t="shared" si="5"/>
        <v>6300.0000000000118</v>
      </c>
      <c r="CA13" s="222">
        <f>SUM($BU$11:BZ13)</f>
        <v>75600.00000000016</v>
      </c>
      <c r="CB13" s="220">
        <f t="shared" si="21"/>
        <v>4273.9620000000341</v>
      </c>
      <c r="CC13" s="220">
        <f t="shared" si="22"/>
        <v>3367.3770000000377</v>
      </c>
      <c r="CD13" s="220">
        <f t="shared" si="23"/>
        <v>4761.6190000000333</v>
      </c>
      <c r="CE13" s="220">
        <f t="shared" si="24"/>
        <v>756.00000000000136</v>
      </c>
      <c r="CF13" s="220">
        <f t="shared" si="25"/>
        <v>425.69400000000297</v>
      </c>
      <c r="CG13" s="221">
        <f t="shared" si="26"/>
        <v>13691.443000000036</v>
      </c>
      <c r="CH13" s="172">
        <f>(SUM(I$11:I13)+SUM(C$11:C13))/SUM(BU$11:BU13)</f>
        <v>1.1325317460317439</v>
      </c>
      <c r="CI13" s="172">
        <f>(SUM(J$11:J13)+SUM(D$11:D13))/SUM(BV$11:BV13)</f>
        <v>1.4024301994301969</v>
      </c>
      <c r="CJ13" s="172">
        <f>(SUM(K$11:K13)+SUM(E$11:E13))/SUM(BW$11:BW13)</f>
        <v>1.4965756268691024</v>
      </c>
      <c r="CK13" s="172">
        <f>(SUM(L$11:L13)+SUM(F$11:F13))/SUM(BX$11:BX13)</f>
        <v>0.49380952380952292</v>
      </c>
      <c r="CL13" s="172">
        <f>(SUM(M$11:M13)+SUM(G$11:G13))/SUM(BY$11:BY13)</f>
        <v>1.549610449735447</v>
      </c>
      <c r="CM13" s="191">
        <f>(SUM(N$11:N13)+SUM(H$11:H13))/SUM(BZ$11:BZ13)</f>
        <v>0.46496973544973452</v>
      </c>
    </row>
    <row r="14" spans="1:91" ht="14.25">
      <c r="A14" s="75">
        <v>44525</v>
      </c>
      <c r="B14" s="76">
        <v>4</v>
      </c>
      <c r="C14" s="79">
        <f>3575.681+327.251+123.778</f>
        <v>4026.7099999999996</v>
      </c>
      <c r="D14" s="80">
        <v>521.49199999999996</v>
      </c>
      <c r="E14" s="80">
        <f>994.654</f>
        <v>994.654</v>
      </c>
      <c r="F14" s="80">
        <v>0</v>
      </c>
      <c r="G14" s="80">
        <v>200.167</v>
      </c>
      <c r="H14" s="80">
        <f>173.079+129.298+424.472</f>
        <v>726.84899999999993</v>
      </c>
      <c r="I14" s="98">
        <f>3764.56+14.56+70.72</f>
        <v>3849.8399999999997</v>
      </c>
      <c r="J14" s="98">
        <v>1335.76</v>
      </c>
      <c r="K14" s="98">
        <f>2562.56</f>
        <v>2562.56</v>
      </c>
      <c r="L14" s="98">
        <v>99.84</v>
      </c>
      <c r="M14" s="98">
        <v>432.64</v>
      </c>
      <c r="N14" s="99">
        <f>33.28+200+2080+37.44</f>
        <v>2350.7200000000003</v>
      </c>
      <c r="O14" s="100">
        <f>SUM($C$11:N14)</f>
        <v>101886.57799999996</v>
      </c>
      <c r="P14" s="109">
        <f t="shared" si="20"/>
        <v>151200</v>
      </c>
      <c r="Q14" s="123">
        <v>0.23</v>
      </c>
      <c r="R14" s="124">
        <v>0.26</v>
      </c>
      <c r="S14" s="124">
        <v>0.23</v>
      </c>
      <c r="T14" s="124">
        <v>0.01</v>
      </c>
      <c r="U14" s="124">
        <v>0.02</v>
      </c>
      <c r="V14" s="125">
        <v>0.25</v>
      </c>
      <c r="W14" s="126">
        <v>0.73</v>
      </c>
      <c r="X14" s="127">
        <v>0.54</v>
      </c>
      <c r="Y14" s="127">
        <v>0.43</v>
      </c>
      <c r="Z14" s="127">
        <v>0.78</v>
      </c>
      <c r="AA14" s="127">
        <v>0.28000000000000003</v>
      </c>
      <c r="AB14" s="127">
        <v>0.5</v>
      </c>
      <c r="AC14" s="145">
        <v>0.16666666666666699</v>
      </c>
      <c r="AD14" s="146">
        <f t="shared" si="8"/>
        <v>4231.0800000000081</v>
      </c>
      <c r="AE14" s="147">
        <f t="shared" si="0"/>
        <v>3538.0800000000072</v>
      </c>
      <c r="AF14" s="147">
        <f t="shared" si="0"/>
        <v>2492.2800000000047</v>
      </c>
      <c r="AG14" s="147">
        <f t="shared" si="0"/>
        <v>196.56000000000037</v>
      </c>
      <c r="AH14" s="147">
        <f t="shared" si="0"/>
        <v>141.12000000000029</v>
      </c>
      <c r="AI14" s="158">
        <f t="shared" si="0"/>
        <v>3150.0000000000059</v>
      </c>
      <c r="AJ14" s="157">
        <f>SUM(AD$11:AD14)-SUM(C$11:C13)</f>
        <v>4393.7780000000348</v>
      </c>
      <c r="AK14" s="157">
        <f>SUM(AE$11:AE14)-SUM(D$11:D13)</f>
        <v>304.55200000002878</v>
      </c>
      <c r="AL14" s="157">
        <f>SUM(AF$11:AF14)-SUM(E$11:E13)</f>
        <v>-4301.1369999999824</v>
      </c>
      <c r="AM14" s="157">
        <f>SUM(AG$11:AG14)-SUM(F$11:F13)</f>
        <v>582.92000000000144</v>
      </c>
      <c r="AN14" s="157">
        <f>SUM(AH$11:AH14)-SUM(G$11:G13)</f>
        <v>-970.89099999999894</v>
      </c>
      <c r="AO14" s="169">
        <f>SUM(AI$11:AI14)-SUM(H$11:H13)</f>
        <v>4126.1520000000237</v>
      </c>
      <c r="AP14" s="170">
        <f>SUM(C$11:C14)/SUM(AD$11:AD14)</f>
        <v>0.97831121132192989</v>
      </c>
      <c r="AQ14" s="170">
        <f>SUM(D$11:D14)/SUM(AE$11:AE14)</f>
        <v>1.0153289354678223</v>
      </c>
      <c r="AR14" s="170">
        <f>SUM(E$11:E14)/SUM(AF$11:AF14)</f>
        <v>1.5312195058340128</v>
      </c>
      <c r="AS14" s="170">
        <f>SUM(F$11:F14)/SUM(AG$11:AG14)</f>
        <v>0.2585978835978831</v>
      </c>
      <c r="AT14" s="170">
        <f>SUM(G$11:G14)/SUM(AH$11:AH14)</f>
        <v>3.0745783730158669</v>
      </c>
      <c r="AU14" s="171">
        <f>SUM(H$11:H14)/SUM(AI$11:AI14)</f>
        <v>0.73021404761904629</v>
      </c>
      <c r="AV14" s="172">
        <f t="shared" si="9"/>
        <v>0.27</v>
      </c>
      <c r="AW14" s="172">
        <f t="shared" si="2"/>
        <v>0.45999999999999996</v>
      </c>
      <c r="AX14" s="172">
        <f t="shared" si="2"/>
        <v>0.57000000000000006</v>
      </c>
      <c r="AY14" s="172">
        <f t="shared" si="2"/>
        <v>0.21999999999999997</v>
      </c>
      <c r="AZ14" s="172">
        <f t="shared" si="2"/>
        <v>0.72</v>
      </c>
      <c r="BA14" s="172">
        <f t="shared" si="2"/>
        <v>0.5</v>
      </c>
      <c r="BB14" s="191">
        <f t="shared" si="2"/>
        <v>0.83333333333333304</v>
      </c>
      <c r="BC14" s="192">
        <f t="shared" si="10"/>
        <v>1564.920000000003</v>
      </c>
      <c r="BD14" s="192">
        <f t="shared" si="3"/>
        <v>3013.9200000000055</v>
      </c>
      <c r="BE14" s="192">
        <f t="shared" si="3"/>
        <v>3303.7200000000066</v>
      </c>
      <c r="BF14" s="192">
        <f t="shared" si="3"/>
        <v>55.440000000000097</v>
      </c>
      <c r="BG14" s="192">
        <f t="shared" si="3"/>
        <v>362.88000000000068</v>
      </c>
      <c r="BH14" s="158">
        <f t="shared" si="3"/>
        <v>3150.0000000000059</v>
      </c>
      <c r="BI14" s="194">
        <f>SUM(BC$11:BC14)-SUM(I$11:I13)</f>
        <v>-902.23999999998796</v>
      </c>
      <c r="BJ14" s="194">
        <f>SUM(BD$11:BD14)-SUM(J$11:J13)</f>
        <v>-1662.7199999999793</v>
      </c>
      <c r="BK14" s="194">
        <f>SUM(BE$11:BE14)-SUM(K$11:K13)</f>
        <v>1462.6800000000258</v>
      </c>
      <c r="BL14" s="194">
        <f>SUM(BF$11:BF14)-SUM(L$11:L13)</f>
        <v>51.760000000000389</v>
      </c>
      <c r="BM14" s="194">
        <f>SUM(BG$11:BG14)-SUM(M$11:M13)</f>
        <v>643.88000000000261</v>
      </c>
      <c r="BN14" s="203">
        <f>SUM(BH$11:BH14)-SUM(N$11:N13)</f>
        <v>12285.920000000024</v>
      </c>
      <c r="BO14" s="170">
        <f>SUM(I$11:I14)/SUM(BC$11:BC14)</f>
        <v>1.7591570176111204</v>
      </c>
      <c r="BP14" s="170">
        <f>SUM(J$11:J14)/SUM(BD$11:BD14)</f>
        <v>1.2487192758931869</v>
      </c>
      <c r="BQ14" s="170">
        <f>SUM(K$11:K14)/SUM(BE$11:BE14)</f>
        <v>1.083230419042774</v>
      </c>
      <c r="BR14" s="170">
        <f>SUM(L$11:L14)/SUM(BF$11:BF14)</f>
        <v>1.2168109668109648</v>
      </c>
      <c r="BS14" s="170">
        <f>SUM(M$11:M14)/SUM(BG$11:BG14)</f>
        <v>0.8544697971781291</v>
      </c>
      <c r="BT14" s="171">
        <f>SUM(N$11:N14)/SUM(BH$11:BH14)</f>
        <v>0.21149206349206312</v>
      </c>
      <c r="BU14" s="220">
        <f t="shared" si="11"/>
        <v>5796.0000000000109</v>
      </c>
      <c r="BV14" s="220">
        <f t="shared" si="5"/>
        <v>6552.0000000000127</v>
      </c>
      <c r="BW14" s="220">
        <f t="shared" si="5"/>
        <v>5796.0000000000109</v>
      </c>
      <c r="BX14" s="220">
        <f t="shared" si="5"/>
        <v>252.00000000000045</v>
      </c>
      <c r="BY14" s="220">
        <f t="shared" si="5"/>
        <v>504.00000000000097</v>
      </c>
      <c r="BZ14" s="221">
        <f t="shared" si="5"/>
        <v>6300.0000000000118</v>
      </c>
      <c r="CA14" s="222">
        <f>SUM($BU$11:BZ14)</f>
        <v>100800.00000000022</v>
      </c>
      <c r="CB14" s="220">
        <f t="shared" si="21"/>
        <v>3491.5380000000468</v>
      </c>
      <c r="CC14" s="220">
        <f t="shared" si="22"/>
        <v>-1358.1679999999506</v>
      </c>
      <c r="CD14" s="220">
        <f t="shared" si="23"/>
        <v>-2838.4569999999567</v>
      </c>
      <c r="CE14" s="220">
        <f t="shared" si="24"/>
        <v>634.68000000000188</v>
      </c>
      <c r="CF14" s="220">
        <f t="shared" si="25"/>
        <v>-327.01099999999633</v>
      </c>
      <c r="CG14" s="221">
        <f t="shared" si="26"/>
        <v>16412.072000000047</v>
      </c>
      <c r="CH14" s="172">
        <f>(SUM(I$11:I14)+SUM(C$11:C14))/SUM(BU$11:BU14)</f>
        <v>1.1891395790200114</v>
      </c>
      <c r="CI14" s="172">
        <f>(SUM(J$11:J14)+SUM(D$11:D14))/SUM(BV$11:BV14)</f>
        <v>1.1226884920634899</v>
      </c>
      <c r="CJ14" s="172">
        <f>(SUM(K$11:K14)+SUM(E$11:E14))/SUM(BW$11:BW14)</f>
        <v>1.2758657263630067</v>
      </c>
      <c r="CK14" s="172">
        <f>(SUM(L$11:L14)+SUM(F$11:F14))/SUM(BX$11:BX14)</f>
        <v>0.4694047619047611</v>
      </c>
      <c r="CL14" s="172">
        <f>(SUM(M$11:M14)+SUM(G$11:G14))/SUM(BY$11:BY14)</f>
        <v>1.4761001984126958</v>
      </c>
      <c r="CM14" s="191">
        <f>(SUM(N$11:N14)+SUM(H$11:H14))/SUM(BZ$11:BZ14)</f>
        <v>0.47085305555555462</v>
      </c>
    </row>
    <row r="15" spans="1:91" ht="14.25">
      <c r="A15" s="75">
        <v>44526</v>
      </c>
      <c r="B15" s="76">
        <v>5</v>
      </c>
      <c r="C15" s="79">
        <f>2891.656+264.948+37.548</f>
        <v>3194.152</v>
      </c>
      <c r="D15" s="80">
        <v>1621.3009999999999</v>
      </c>
      <c r="E15" s="80">
        <f>1280.111</f>
        <v>1280.1110000000001</v>
      </c>
      <c r="F15" s="80">
        <v>0</v>
      </c>
      <c r="G15" s="80">
        <v>204.161</v>
      </c>
      <c r="H15" s="80">
        <f>517.842+242.971+938.112+4705.728+76.592+46.276</f>
        <v>6527.5209999999997</v>
      </c>
      <c r="I15" s="98">
        <f>981.76+47.84</f>
        <v>1029.5999999999999</v>
      </c>
      <c r="J15" s="98">
        <v>1293.76</v>
      </c>
      <c r="K15" s="98">
        <f>1474.72+14.56</f>
        <v>1489.28</v>
      </c>
      <c r="L15" s="98">
        <v>0</v>
      </c>
      <c r="M15" s="98">
        <v>33.28</v>
      </c>
      <c r="N15" s="99">
        <f>33.28+499.2</f>
        <v>532.48</v>
      </c>
      <c r="O15" s="100">
        <f>SUM($C$11:N15)</f>
        <v>119092.22399999996</v>
      </c>
      <c r="P15" s="109">
        <f t="shared" si="20"/>
        <v>151200</v>
      </c>
      <c r="Q15" s="123">
        <v>0.23</v>
      </c>
      <c r="R15" s="124">
        <v>0.26</v>
      </c>
      <c r="S15" s="124">
        <v>0.23</v>
      </c>
      <c r="T15" s="124">
        <v>0.01</v>
      </c>
      <c r="U15" s="124">
        <v>0.02</v>
      </c>
      <c r="V15" s="125">
        <v>0.25</v>
      </c>
      <c r="W15" s="126">
        <v>0.73</v>
      </c>
      <c r="X15" s="127">
        <v>0.54</v>
      </c>
      <c r="Y15" s="127">
        <v>0.43</v>
      </c>
      <c r="Z15" s="127">
        <v>0.78</v>
      </c>
      <c r="AA15" s="127">
        <v>0.28000000000000003</v>
      </c>
      <c r="AB15" s="127">
        <v>0.5</v>
      </c>
      <c r="AC15" s="145">
        <v>0.16666666666666699</v>
      </c>
      <c r="AD15" s="146">
        <f t="shared" si="8"/>
        <v>4231.0800000000081</v>
      </c>
      <c r="AE15" s="147">
        <f t="shared" si="0"/>
        <v>3538.0800000000072</v>
      </c>
      <c r="AF15" s="147">
        <f t="shared" si="0"/>
        <v>2492.2800000000047</v>
      </c>
      <c r="AG15" s="147">
        <f t="shared" si="0"/>
        <v>196.56000000000037</v>
      </c>
      <c r="AH15" s="147">
        <f t="shared" si="0"/>
        <v>141.12000000000029</v>
      </c>
      <c r="AI15" s="158">
        <f t="shared" si="0"/>
        <v>3150.0000000000059</v>
      </c>
      <c r="AJ15" s="157">
        <f>SUM(AD$11:AD15)-SUM(C$11:C14)</f>
        <v>4598.1480000000447</v>
      </c>
      <c r="AK15" s="157">
        <f>SUM(AE$11:AE15)-SUM(D$11:D14)</f>
        <v>3321.1400000000376</v>
      </c>
      <c r="AL15" s="157">
        <f>SUM(AF$11:AF15)-SUM(E$11:E14)</f>
        <v>-2803.5109999999786</v>
      </c>
      <c r="AM15" s="157">
        <f>SUM(AG$11:AG15)-SUM(F$11:F14)</f>
        <v>779.48000000000184</v>
      </c>
      <c r="AN15" s="157">
        <f>SUM(AH$11:AH15)-SUM(G$11:G14)</f>
        <v>-1029.9379999999985</v>
      </c>
      <c r="AO15" s="169">
        <f>SUM(AI$11:AI15)-SUM(H$11:H14)</f>
        <v>6549.303000000029</v>
      </c>
      <c r="AP15" s="170">
        <f>SUM(C$11:C15)/SUM(AD$11:AD15)</f>
        <v>0.9336341548729854</v>
      </c>
      <c r="AQ15" s="170">
        <f>SUM(D$11:D15)/SUM(AE$11:AE15)</f>
        <v>0.90391178266178074</v>
      </c>
      <c r="AR15" s="170">
        <f>SUM(E$11:E15)/SUM(AF$11:AF15)</f>
        <v>1.3277017028584244</v>
      </c>
      <c r="AS15" s="170">
        <f>SUM(F$11:F15)/SUM(AG$11:AG15)</f>
        <v>0.20687830687830647</v>
      </c>
      <c r="AT15" s="170">
        <f>SUM(G$11:G15)/SUM(AH$11:AH15)</f>
        <v>2.7490065192743707</v>
      </c>
      <c r="AU15" s="171">
        <f>SUM(H$11:H15)/SUM(AI$11:AI15)</f>
        <v>0.9986170158730141</v>
      </c>
      <c r="AV15" s="172">
        <f t="shared" si="9"/>
        <v>0.27</v>
      </c>
      <c r="AW15" s="172">
        <f t="shared" si="2"/>
        <v>0.45999999999999996</v>
      </c>
      <c r="AX15" s="172">
        <f t="shared" si="2"/>
        <v>0.57000000000000006</v>
      </c>
      <c r="AY15" s="172">
        <f t="shared" si="2"/>
        <v>0.21999999999999997</v>
      </c>
      <c r="AZ15" s="172">
        <f t="shared" si="2"/>
        <v>0.72</v>
      </c>
      <c r="BA15" s="172">
        <f t="shared" si="2"/>
        <v>0.5</v>
      </c>
      <c r="BB15" s="191">
        <f t="shared" si="2"/>
        <v>0.83333333333333304</v>
      </c>
      <c r="BC15" s="192">
        <f t="shared" si="10"/>
        <v>1564.920000000003</v>
      </c>
      <c r="BD15" s="192">
        <f t="shared" si="3"/>
        <v>3013.9200000000055</v>
      </c>
      <c r="BE15" s="192">
        <f t="shared" si="3"/>
        <v>3303.7200000000066</v>
      </c>
      <c r="BF15" s="192">
        <f t="shared" si="3"/>
        <v>55.440000000000097</v>
      </c>
      <c r="BG15" s="192">
        <f t="shared" si="3"/>
        <v>362.88000000000068</v>
      </c>
      <c r="BH15" s="158">
        <f t="shared" si="3"/>
        <v>3150.0000000000059</v>
      </c>
      <c r="BI15" s="194">
        <f>SUM(BC$11:BC15)-SUM(I$11:I14)</f>
        <v>-3187.1599999999853</v>
      </c>
      <c r="BJ15" s="194">
        <f>SUM(BD$11:BD15)-SUM(J$11:J14)</f>
        <v>15.440000000025975</v>
      </c>
      <c r="BK15" s="194">
        <f>SUM(BE$11:BE15)-SUM(K$11:K14)</f>
        <v>2203.8400000000347</v>
      </c>
      <c r="BL15" s="194">
        <f>SUM(BF$11:BF15)-SUM(L$11:L14)</f>
        <v>7.3600000000004684</v>
      </c>
      <c r="BM15" s="194">
        <f>SUM(BG$11:BG15)-SUM(M$11:M14)</f>
        <v>574.12000000000307</v>
      </c>
      <c r="BN15" s="203">
        <f>SUM(BH$11:BH15)-SUM(N$11:N14)</f>
        <v>13085.20000000003</v>
      </c>
      <c r="BO15" s="170">
        <f>SUM(I$11:I15)/SUM(BC$11:BC15)</f>
        <v>1.5389106152391148</v>
      </c>
      <c r="BP15" s="170">
        <f>SUM(J$11:J15)/SUM(BD$11:BD15)</f>
        <v>1.0848277326538178</v>
      </c>
      <c r="BQ15" s="170">
        <f>SUM(K$11:K15)/SUM(BE$11:BE15)</f>
        <v>0.95674209678786137</v>
      </c>
      <c r="BR15" s="170">
        <f>SUM(L$11:L15)/SUM(BF$11:BF15)</f>
        <v>0.97344877344877179</v>
      </c>
      <c r="BS15" s="170">
        <f>SUM(M$11:M15)/SUM(BG$11:BG15)</f>
        <v>0.70191798941798822</v>
      </c>
      <c r="BT15" s="171">
        <f>SUM(N$11:N15)/SUM(BH$11:BH15)</f>
        <v>0.20300190476190441</v>
      </c>
      <c r="BU15" s="220">
        <f t="shared" si="11"/>
        <v>5796.0000000000109</v>
      </c>
      <c r="BV15" s="220">
        <f t="shared" si="5"/>
        <v>6552.0000000000127</v>
      </c>
      <c r="BW15" s="220">
        <f t="shared" si="5"/>
        <v>5796.0000000000109</v>
      </c>
      <c r="BX15" s="220">
        <f t="shared" si="5"/>
        <v>252.00000000000045</v>
      </c>
      <c r="BY15" s="220">
        <f t="shared" si="5"/>
        <v>504.00000000000097</v>
      </c>
      <c r="BZ15" s="221">
        <f t="shared" si="5"/>
        <v>6300.0000000000118</v>
      </c>
      <c r="CA15" s="222">
        <f>SUM($BU$11:BZ15)</f>
        <v>126000.00000000028</v>
      </c>
      <c r="CB15" s="220">
        <f t="shared" si="21"/>
        <v>1410.9880000000594</v>
      </c>
      <c r="CC15" s="220">
        <f t="shared" si="22"/>
        <v>3336.5800000000636</v>
      </c>
      <c r="CD15" s="220">
        <f t="shared" si="23"/>
        <v>-599.67099999994389</v>
      </c>
      <c r="CE15" s="220">
        <f t="shared" si="24"/>
        <v>786.84000000000231</v>
      </c>
      <c r="CF15" s="220">
        <f t="shared" si="25"/>
        <v>-455.81799999999544</v>
      </c>
      <c r="CG15" s="221">
        <f t="shared" si="26"/>
        <v>19634.503000000059</v>
      </c>
      <c r="CH15" s="172">
        <f>(SUM(I$11:I15)+SUM(C$11:C15))/SUM(BU$11:BU15)</f>
        <v>1.0970587991718403</v>
      </c>
      <c r="CI15" s="172">
        <f>(SUM(J$11:J15)+SUM(D$11:D15))/SUM(BV$11:BV15)</f>
        <v>0.98713311965811767</v>
      </c>
      <c r="CJ15" s="172">
        <f>(SUM(K$11:K15)+SUM(E$11:E15))/SUM(BW$11:BW15)</f>
        <v>1.1162547273982035</v>
      </c>
      <c r="CK15" s="172">
        <f>(SUM(L$11:L15)+SUM(F$11:F15))/SUM(BX$11:BX15)</f>
        <v>0.37552380952380887</v>
      </c>
      <c r="CL15" s="172">
        <f>(SUM(M$11:M15)+SUM(G$11:G15))/SUM(BY$11:BY15)</f>
        <v>1.2751027777777753</v>
      </c>
      <c r="CM15" s="191">
        <f>(SUM(N$11:N15)+SUM(H$11:H15))/SUM(BZ$11:BZ15)</f>
        <v>0.60080946031745919</v>
      </c>
    </row>
    <row r="16" spans="1:91" ht="14.25">
      <c r="A16" s="75">
        <v>44527</v>
      </c>
      <c r="B16" s="76">
        <v>6</v>
      </c>
      <c r="C16" s="79">
        <f>1355.241+397.58+60</f>
        <v>1812.8209999999999</v>
      </c>
      <c r="D16" s="80">
        <v>1151.412</v>
      </c>
      <c r="E16" s="80">
        <f>505.534+259.74</f>
        <v>765.274</v>
      </c>
      <c r="F16" s="80">
        <v>0</v>
      </c>
      <c r="G16" s="80">
        <v>511.68</v>
      </c>
      <c r="H16" s="80">
        <f>1035.396+8.048</f>
        <v>1043.444</v>
      </c>
      <c r="I16" s="98">
        <f>1763.84+18.72+22.88</f>
        <v>1805.44</v>
      </c>
      <c r="J16" s="98">
        <v>1098.24</v>
      </c>
      <c r="K16" s="98">
        <f>1397.76+536.64</f>
        <v>1934.4</v>
      </c>
      <c r="L16" s="98">
        <v>0</v>
      </c>
      <c r="M16" s="98">
        <v>33.28</v>
      </c>
      <c r="N16" s="99">
        <v>0</v>
      </c>
      <c r="O16" s="100">
        <f>SUM($C$11:N16)</f>
        <v>129248.21499999995</v>
      </c>
      <c r="P16" s="109">
        <f t="shared" si="20"/>
        <v>151200</v>
      </c>
      <c r="Q16" s="123">
        <v>0.23</v>
      </c>
      <c r="R16" s="124">
        <v>0.26</v>
      </c>
      <c r="S16" s="124">
        <v>0.23</v>
      </c>
      <c r="T16" s="124">
        <v>0.01</v>
      </c>
      <c r="U16" s="124">
        <v>0.02</v>
      </c>
      <c r="V16" s="125">
        <v>0.25</v>
      </c>
      <c r="W16" s="126">
        <v>0.73</v>
      </c>
      <c r="X16" s="127">
        <v>0.54</v>
      </c>
      <c r="Y16" s="127">
        <v>0.43</v>
      </c>
      <c r="Z16" s="127">
        <v>0.78</v>
      </c>
      <c r="AA16" s="127">
        <v>0.28000000000000003</v>
      </c>
      <c r="AB16" s="127">
        <v>0.5</v>
      </c>
      <c r="AC16" s="145">
        <v>8.3333333333333301E-2</v>
      </c>
      <c r="AD16" s="146">
        <f t="shared" si="8"/>
        <v>2115.5399999999995</v>
      </c>
      <c r="AE16" s="147">
        <f t="shared" si="0"/>
        <v>1769.0399999999993</v>
      </c>
      <c r="AF16" s="147">
        <f t="shared" si="0"/>
        <v>1246.1399999999996</v>
      </c>
      <c r="AG16" s="147">
        <f t="shared" si="0"/>
        <v>98.279999999999959</v>
      </c>
      <c r="AH16" s="147">
        <f t="shared" si="0"/>
        <v>70.559999999999974</v>
      </c>
      <c r="AI16" s="158">
        <f t="shared" si="0"/>
        <v>1574.9999999999993</v>
      </c>
      <c r="AJ16" s="157">
        <f>SUM(AD$11:AD16)-SUM(C$11:C15)</f>
        <v>3519.5360000000474</v>
      </c>
      <c r="AK16" s="157">
        <f>SUM(AE$11:AE16)-SUM(D$11:D15)</f>
        <v>3468.879000000039</v>
      </c>
      <c r="AL16" s="157">
        <f>SUM(AF$11:AF16)-SUM(E$11:E15)</f>
        <v>-2837.4819999999781</v>
      </c>
      <c r="AM16" s="157">
        <f>SUM(AG$11:AG16)-SUM(F$11:F15)</f>
        <v>877.76000000000181</v>
      </c>
      <c r="AN16" s="157">
        <f>SUM(AH$11:AH16)-SUM(G$11:G15)</f>
        <v>-1163.5389999999986</v>
      </c>
      <c r="AO16" s="169">
        <f>SUM(AI$11:AI16)-SUM(H$11:H15)</f>
        <v>1596.7820000000283</v>
      </c>
      <c r="AP16" s="170">
        <f>SUM(C$11:C16)/SUM(AD$11:AD16)</f>
        <v>0.92665895748087335</v>
      </c>
      <c r="AQ16" s="170">
        <f>SUM(D$11:D16)/SUM(AE$11:AE16)</f>
        <v>0.8809078267411582</v>
      </c>
      <c r="AR16" s="170">
        <f>SUM(E$11:E16)/SUM(AF$11:AF16)</f>
        <v>1.2628302379566263</v>
      </c>
      <c r="AS16" s="170">
        <f>SUM(F$11:F16)/SUM(AG$11:AG16)</f>
        <v>0.18807118807118775</v>
      </c>
      <c r="AT16" s="170">
        <f>SUM(G$11:G16)/SUM(AH$11:AH16)</f>
        <v>3.1583423520923462</v>
      </c>
      <c r="AU16" s="171">
        <f>SUM(H$11:H16)/SUM(AI$11:AI16)</f>
        <v>0.96806129870129709</v>
      </c>
      <c r="AV16" s="172">
        <f t="shared" si="9"/>
        <v>0.27</v>
      </c>
      <c r="AW16" s="172">
        <f t="shared" si="2"/>
        <v>0.45999999999999996</v>
      </c>
      <c r="AX16" s="172">
        <f t="shared" si="2"/>
        <v>0.57000000000000006</v>
      </c>
      <c r="AY16" s="172">
        <f t="shared" si="2"/>
        <v>0.21999999999999997</v>
      </c>
      <c r="AZ16" s="172">
        <f t="shared" si="2"/>
        <v>0.72</v>
      </c>
      <c r="BA16" s="172">
        <f t="shared" si="2"/>
        <v>0.5</v>
      </c>
      <c r="BB16" s="191">
        <f t="shared" si="2"/>
        <v>0.91666666666666674</v>
      </c>
      <c r="BC16" s="192">
        <f t="shared" si="10"/>
        <v>782.45999999999981</v>
      </c>
      <c r="BD16" s="192">
        <f t="shared" si="3"/>
        <v>1506.9599999999994</v>
      </c>
      <c r="BE16" s="192">
        <f t="shared" si="3"/>
        <v>1651.8599999999997</v>
      </c>
      <c r="BF16" s="192">
        <f t="shared" si="3"/>
        <v>27.719999999999985</v>
      </c>
      <c r="BG16" s="192">
        <f t="shared" si="3"/>
        <v>181.43999999999991</v>
      </c>
      <c r="BH16" s="158">
        <f t="shared" si="3"/>
        <v>1574.9999999999993</v>
      </c>
      <c r="BI16" s="194">
        <f>SUM(BC$11:BC16)-SUM(I$11:I15)</f>
        <v>-3434.2999999999865</v>
      </c>
      <c r="BJ16" s="194">
        <f>SUM(BD$11:BD16)-SUM(J$11:J15)</f>
        <v>228.64000000002488</v>
      </c>
      <c r="BK16" s="194">
        <f>SUM(BE$11:BE16)-SUM(K$11:K15)</f>
        <v>2366.4200000000346</v>
      </c>
      <c r="BL16" s="194">
        <f>SUM(BF$11:BF16)-SUM(L$11:L15)</f>
        <v>35.080000000000439</v>
      </c>
      <c r="BM16" s="194">
        <f>SUM(BG$11:BG16)-SUM(M$11:M15)</f>
        <v>722.28000000000293</v>
      </c>
      <c r="BN16" s="203">
        <f>SUM(BH$11:BH16)-SUM(N$11:N15)</f>
        <v>14127.720000000028</v>
      </c>
      <c r="BO16" s="170">
        <f>SUM(I$11:I16)/SUM(BC$11:BC16)</f>
        <v>1.6087723334100121</v>
      </c>
      <c r="BP16" s="170">
        <f>SUM(J$11:J16)/SUM(BD$11:BD16)</f>
        <v>1.0524596176770076</v>
      </c>
      <c r="BQ16" s="170">
        <f>SUM(K$11:K16)/SUM(BE$11:BE16)</f>
        <v>0.97622404716226052</v>
      </c>
      <c r="BR16" s="170">
        <f>SUM(L$11:L16)/SUM(BF$11:BF16)</f>
        <v>0.88495343040797458</v>
      </c>
      <c r="BS16" s="170">
        <f>SUM(M$11:M16)/SUM(BG$11:BG16)</f>
        <v>0.65478194644861221</v>
      </c>
      <c r="BT16" s="171">
        <f>SUM(N$11:N16)/SUM(BH$11:BH16)</f>
        <v>0.18454718614718585</v>
      </c>
      <c r="BU16" s="220">
        <f t="shared" si="11"/>
        <v>2897.9999999999991</v>
      </c>
      <c r="BV16" s="220">
        <f t="shared" si="5"/>
        <v>3275.9999999999986</v>
      </c>
      <c r="BW16" s="220">
        <f t="shared" si="5"/>
        <v>2897.9999999999991</v>
      </c>
      <c r="BX16" s="220">
        <f t="shared" si="5"/>
        <v>125.99999999999994</v>
      </c>
      <c r="BY16" s="220">
        <f t="shared" si="5"/>
        <v>251.99999999999989</v>
      </c>
      <c r="BZ16" s="221">
        <f t="shared" si="5"/>
        <v>3149.9999999999986</v>
      </c>
      <c r="CA16" s="222">
        <f>SUM($BU$11:BZ16)</f>
        <v>138600.00000000026</v>
      </c>
      <c r="CB16" s="220">
        <f t="shared" si="21"/>
        <v>85.236000000060812</v>
      </c>
      <c r="CC16" s="220">
        <f t="shared" si="22"/>
        <v>3697.5190000000639</v>
      </c>
      <c r="CD16" s="220">
        <f t="shared" si="23"/>
        <v>-471.06199999994351</v>
      </c>
      <c r="CE16" s="220">
        <f t="shared" si="24"/>
        <v>912.84000000000219</v>
      </c>
      <c r="CF16" s="220">
        <f t="shared" si="25"/>
        <v>-441.25899999999569</v>
      </c>
      <c r="CG16" s="221">
        <f t="shared" si="26"/>
        <v>15724.502000000057</v>
      </c>
      <c r="CH16" s="172">
        <f>(SUM(I$11:I16)+SUM(C$11:C16))/SUM(BU$11:BU16)</f>
        <v>1.1108295689817409</v>
      </c>
      <c r="CI16" s="172">
        <f>(SUM(J$11:J16)+SUM(D$11:D16))/SUM(BV$11:BV16)</f>
        <v>0.95982165057164892</v>
      </c>
      <c r="CJ16" s="172">
        <f>(SUM(K$11:K16)+SUM(E$11:E16))/SUM(BW$11:BW16)</f>
        <v>1.0994647092038379</v>
      </c>
      <c r="CK16" s="172">
        <f>(SUM(L$11:L16)+SUM(F$11:F16))/SUM(BX$11:BX16)</f>
        <v>0.34138528138528085</v>
      </c>
      <c r="CL16" s="172">
        <f>(SUM(M$11:M16)+SUM(G$11:G16))/SUM(BY$11:BY16)</f>
        <v>1.3557788600288576</v>
      </c>
      <c r="CM16" s="191">
        <f>(SUM(N$11:N16)+SUM(H$11:H16))/SUM(BZ$11:BZ16)</f>
        <v>0.57630424242424139</v>
      </c>
    </row>
    <row r="17" spans="1:91" s="66" customFormat="1" ht="14.25">
      <c r="A17" s="81">
        <v>44528</v>
      </c>
      <c r="B17" s="82">
        <v>7</v>
      </c>
      <c r="C17" s="83">
        <f>1217.213+71.444+104</f>
        <v>1392.6569999999999</v>
      </c>
      <c r="D17" s="84">
        <v>1087.4970000000001</v>
      </c>
      <c r="E17" s="84">
        <f>862.468</f>
        <v>862.46799999999996</v>
      </c>
      <c r="F17" s="84">
        <v>0</v>
      </c>
      <c r="G17" s="84">
        <v>32.28</v>
      </c>
      <c r="H17" s="84">
        <f>34+20.12+1410.596</f>
        <v>1464.7159999999999</v>
      </c>
      <c r="I17" s="101">
        <f>532.48+41.6</f>
        <v>574.08000000000004</v>
      </c>
      <c r="J17" s="101">
        <f>798.72</f>
        <v>798.72</v>
      </c>
      <c r="K17" s="101">
        <f>632.32</f>
        <v>632.32000000000005</v>
      </c>
      <c r="L17" s="101">
        <v>0</v>
      </c>
      <c r="M17" s="101">
        <v>0</v>
      </c>
      <c r="N17" s="102">
        <f>14.56+31.2</f>
        <v>45.76</v>
      </c>
      <c r="O17" s="103">
        <f>SUM($C$11:N17)</f>
        <v>136138.71299999993</v>
      </c>
      <c r="P17" s="110">
        <f t="shared" si="20"/>
        <v>151200</v>
      </c>
      <c r="Q17" s="128">
        <v>0.23</v>
      </c>
      <c r="R17" s="129">
        <v>0.26</v>
      </c>
      <c r="S17" s="129">
        <v>0.23</v>
      </c>
      <c r="T17" s="129">
        <v>0.01</v>
      </c>
      <c r="U17" s="129">
        <v>0.02</v>
      </c>
      <c r="V17" s="130">
        <v>0.25</v>
      </c>
      <c r="W17" s="131">
        <v>0.73</v>
      </c>
      <c r="X17" s="132">
        <v>0.54</v>
      </c>
      <c r="Y17" s="132">
        <v>0.43</v>
      </c>
      <c r="Z17" s="132">
        <v>0.78</v>
      </c>
      <c r="AA17" s="132">
        <v>0.28000000000000003</v>
      </c>
      <c r="AB17" s="132">
        <v>0.5</v>
      </c>
      <c r="AC17" s="148">
        <v>8.3333333333333301E-2</v>
      </c>
      <c r="AD17" s="149">
        <f t="shared" si="8"/>
        <v>2115.5399999999995</v>
      </c>
      <c r="AE17" s="150">
        <f t="shared" si="0"/>
        <v>1769.0399999999993</v>
      </c>
      <c r="AF17" s="150">
        <f t="shared" si="0"/>
        <v>1246.1399999999996</v>
      </c>
      <c r="AG17" s="150">
        <f t="shared" si="0"/>
        <v>98.279999999999959</v>
      </c>
      <c r="AH17" s="150">
        <f t="shared" si="0"/>
        <v>70.559999999999974</v>
      </c>
      <c r="AI17" s="159">
        <f t="shared" si="0"/>
        <v>1574.9999999999993</v>
      </c>
      <c r="AJ17" s="160">
        <f>SUM(AD$11:AD17)-SUM(C$11:C16)</f>
        <v>3822.2550000000483</v>
      </c>
      <c r="AK17" s="160">
        <f>SUM(AE$11:AE17)-SUM(D$11:D16)</f>
        <v>4086.5070000000414</v>
      </c>
      <c r="AL17" s="160">
        <f>SUM(AF$11:AF17)-SUM(E$11:E16)</f>
        <v>-2356.61599999998</v>
      </c>
      <c r="AM17" s="160">
        <f>SUM(AG$11:AG17)-SUM(F$11:F16)</f>
        <v>976.04000000000178</v>
      </c>
      <c r="AN17" s="160">
        <f>SUM(AH$11:AH17)-SUM(G$11:G16)</f>
        <v>-1604.6589999999985</v>
      </c>
      <c r="AO17" s="173">
        <f>SUM(AI$11:AI17)-SUM(H$11:H16)</f>
        <v>2128.3380000000288</v>
      </c>
      <c r="AP17" s="174">
        <f>SUM(C$11:C17)/SUM(AD$11:AD17)</f>
        <v>0.90429559356003486</v>
      </c>
      <c r="AQ17" s="174">
        <f>SUM(D$11:D17)/SUM(AE$11:AE17)</f>
        <v>0.85872704969927016</v>
      </c>
      <c r="AR17" s="174">
        <f>SUM(E$11:E17)/SUM(AF$11:AF17)</f>
        <v>1.215270354855793</v>
      </c>
      <c r="AS17" s="174">
        <f>SUM(F$11:F17)/SUM(AG$11:AG17)</f>
        <v>0.17239858906525549</v>
      </c>
      <c r="AT17" s="174">
        <f>SUM(G$11:G17)/SUM(AH$11:AH17)</f>
        <v>2.9332707388510912</v>
      </c>
      <c r="AU17" s="175">
        <f>SUM(H$11:H17)/SUM(AI$11:AI17)</f>
        <v>0.96488772486772345</v>
      </c>
      <c r="AV17" s="176">
        <f t="shared" si="9"/>
        <v>0.27</v>
      </c>
      <c r="AW17" s="176">
        <f t="shared" si="2"/>
        <v>0.45999999999999996</v>
      </c>
      <c r="AX17" s="176">
        <f t="shared" si="2"/>
        <v>0.57000000000000006</v>
      </c>
      <c r="AY17" s="176">
        <f t="shared" si="2"/>
        <v>0.21999999999999997</v>
      </c>
      <c r="AZ17" s="176">
        <f t="shared" si="2"/>
        <v>0.72</v>
      </c>
      <c r="BA17" s="176">
        <f t="shared" si="2"/>
        <v>0.5</v>
      </c>
      <c r="BB17" s="193">
        <f t="shared" si="2"/>
        <v>0.91666666666666674</v>
      </c>
      <c r="BC17" s="150">
        <f t="shared" si="10"/>
        <v>782.45999999999981</v>
      </c>
      <c r="BD17" s="150">
        <f t="shared" si="3"/>
        <v>1506.9599999999994</v>
      </c>
      <c r="BE17" s="150">
        <f t="shared" si="3"/>
        <v>1651.8599999999997</v>
      </c>
      <c r="BF17" s="150">
        <f t="shared" si="3"/>
        <v>27.719999999999985</v>
      </c>
      <c r="BG17" s="150">
        <f t="shared" si="3"/>
        <v>181.43999999999991</v>
      </c>
      <c r="BH17" s="159">
        <f t="shared" si="3"/>
        <v>1574.9999999999993</v>
      </c>
      <c r="BI17" s="195">
        <f>SUM(BC$11:BC17)-SUM(I$11:I16)</f>
        <v>-4457.2799999999879</v>
      </c>
      <c r="BJ17" s="195">
        <f>SUM(BD$11:BD17)-SUM(J$11:J16)</f>
        <v>637.36000000002241</v>
      </c>
      <c r="BK17" s="195">
        <f>SUM(BE$11:BE17)-SUM(K$11:K16)</f>
        <v>2083.8800000000338</v>
      </c>
      <c r="BL17" s="195">
        <f>SUM(BF$11:BF17)-SUM(L$11:L16)</f>
        <v>62.800000000000409</v>
      </c>
      <c r="BM17" s="195">
        <f>SUM(BG$11:BG17)-SUM(M$11:M16)</f>
        <v>870.44000000000278</v>
      </c>
      <c r="BN17" s="204">
        <f>SUM(BH$11:BH17)-SUM(N$11:N16)</f>
        <v>15702.720000000028</v>
      </c>
      <c r="BO17" s="174">
        <f>SUM(I$11:I17)/SUM(BC$11:BC17)</f>
        <v>1.5358484778774613</v>
      </c>
      <c r="BP17" s="174">
        <f>SUM(J$11:J17)/SUM(BD$11:BD17)</f>
        <v>1.0089230415317361</v>
      </c>
      <c r="BQ17" s="174">
        <f>SUM(K$11:K17)/SUM(BE$11:BE17)</f>
        <v>0.92677143745030699</v>
      </c>
      <c r="BR17" s="174">
        <f>SUM(L$11:L17)/SUM(BF$11:BF17)</f>
        <v>0.81120731120731027</v>
      </c>
      <c r="BS17" s="174">
        <f>SUM(M$11:M17)/SUM(BG$11:BG17)</f>
        <v>0.60021678424456126</v>
      </c>
      <c r="BT17" s="175">
        <f>SUM(N$11:N17)/SUM(BH$11:BH17)</f>
        <v>0.17158941798941774</v>
      </c>
      <c r="BU17" s="223">
        <f t="shared" si="11"/>
        <v>2897.9999999999991</v>
      </c>
      <c r="BV17" s="223">
        <f t="shared" si="5"/>
        <v>3275.9999999999986</v>
      </c>
      <c r="BW17" s="223">
        <f t="shared" si="5"/>
        <v>2897.9999999999991</v>
      </c>
      <c r="BX17" s="223">
        <f t="shared" si="5"/>
        <v>125.99999999999994</v>
      </c>
      <c r="BY17" s="224">
        <f t="shared" si="5"/>
        <v>251.99999999999989</v>
      </c>
      <c r="BZ17" s="221">
        <f t="shared" si="5"/>
        <v>3149.9999999999986</v>
      </c>
      <c r="CA17" s="222">
        <f>SUM($BU$11:BZ17)</f>
        <v>151200.00000000026</v>
      </c>
      <c r="CB17" s="224">
        <f t="shared" si="21"/>
        <v>-635.02499999993961</v>
      </c>
      <c r="CC17" s="223">
        <f t="shared" si="22"/>
        <v>4723.8670000000639</v>
      </c>
      <c r="CD17" s="223">
        <f t="shared" si="23"/>
        <v>-272.73599999994622</v>
      </c>
      <c r="CE17" s="223">
        <f t="shared" si="24"/>
        <v>1038.8400000000022</v>
      </c>
      <c r="CF17" s="223">
        <f t="shared" si="25"/>
        <v>-734.21899999999573</v>
      </c>
      <c r="CG17" s="228">
        <f t="shared" si="26"/>
        <v>17831.058000000055</v>
      </c>
      <c r="CH17" s="176">
        <f>(SUM(I$11:I17)+SUM(C$11:C17))/SUM(BU$11:BU17)</f>
        <v>1.0748148723257402</v>
      </c>
      <c r="CI17" s="176">
        <f>(SUM(J$11:J17)+SUM(D$11:D17))/SUM(BV$11:BV17)</f>
        <v>0.92781720594220451</v>
      </c>
      <c r="CJ17" s="176">
        <f>(SUM(K$11:K17)+SUM(E$11:E17))/SUM(BW$11:BW17)</f>
        <v>1.0508259719346662</v>
      </c>
      <c r="CK17" s="176">
        <f>(SUM(L$11:L17)+SUM(F$11:F17))/SUM(BX$11:BX17)</f>
        <v>0.31293650793650746</v>
      </c>
      <c r="CL17" s="176">
        <f>(SUM(M$11:M17)+SUM(G$11:G17))/SUM(BY$11:BY17)</f>
        <v>1.2534718915343896</v>
      </c>
      <c r="CM17" s="193">
        <f>(SUM(N$11:N17)+SUM(H$11:H17))/SUM(BZ$11:BZ17)</f>
        <v>0.56823857142857059</v>
      </c>
    </row>
    <row r="18" spans="1:91" ht="14.25">
      <c r="A18" s="87">
        <v>44529</v>
      </c>
      <c r="B18" s="88">
        <v>1</v>
      </c>
      <c r="C18" s="89">
        <f>4639.92+228.1</f>
        <v>4868.0200000000004</v>
      </c>
      <c r="D18" s="90">
        <v>2815.5340000000001</v>
      </c>
      <c r="E18" s="90">
        <f>3306.241+276.347</f>
        <v>3582.5879999999997</v>
      </c>
      <c r="F18" s="90">
        <v>0</v>
      </c>
      <c r="G18" s="90">
        <v>662.33500000000004</v>
      </c>
      <c r="H18" s="90">
        <f>1502.27+2136.166+2270+4206+158.982+130.768</f>
        <v>10404.186</v>
      </c>
      <c r="I18" s="111">
        <f>2728.96</f>
        <v>2728.96</v>
      </c>
      <c r="J18" s="111">
        <v>5625.12</v>
      </c>
      <c r="K18" s="111">
        <f>4352.24+156</f>
        <v>4508.24</v>
      </c>
      <c r="L18" s="111">
        <v>0</v>
      </c>
      <c r="M18" s="111">
        <v>951.56</v>
      </c>
      <c r="N18" s="112">
        <f>865.28+37.44+180.96</f>
        <v>1083.68</v>
      </c>
      <c r="O18" s="107">
        <f>SUM($C$18:N18)</f>
        <v>37230.222999999998</v>
      </c>
      <c r="P18" s="108">
        <f t="shared" si="20"/>
        <v>151200</v>
      </c>
      <c r="Q18" s="133">
        <v>0.23</v>
      </c>
      <c r="R18" s="134">
        <v>0.26</v>
      </c>
      <c r="S18" s="134">
        <v>0.23</v>
      </c>
      <c r="T18" s="134">
        <v>0.01</v>
      </c>
      <c r="U18" s="134">
        <v>0.02</v>
      </c>
      <c r="V18" s="135">
        <v>0.25</v>
      </c>
      <c r="W18" s="136">
        <v>0.73</v>
      </c>
      <c r="X18" s="137">
        <v>0.54</v>
      </c>
      <c r="Y18" s="137">
        <v>0.43</v>
      </c>
      <c r="Z18" s="137">
        <v>0.78</v>
      </c>
      <c r="AA18" s="137">
        <v>0.28000000000000003</v>
      </c>
      <c r="AB18" s="137">
        <v>0.5</v>
      </c>
      <c r="AC18" s="151">
        <v>0.2</v>
      </c>
      <c r="AD18" s="146">
        <f t="shared" ref="AD18:AD24" si="27">$P18*$AC18*Q18*W18</f>
        <v>5077.2960000000003</v>
      </c>
      <c r="AE18" s="147">
        <f t="shared" ref="AE18:AE24" si="28">$P18*$AC18*R18*X18</f>
        <v>4245.6960000000008</v>
      </c>
      <c r="AF18" s="147">
        <f t="shared" ref="AF18:AF24" si="29">$P18*$AC18*S18*Y18</f>
        <v>2990.7360000000003</v>
      </c>
      <c r="AG18" s="147">
        <f t="shared" ref="AG18:AG24" si="30">$P18*$AC18*T18*Z18</f>
        <v>235.87200000000004</v>
      </c>
      <c r="AH18" s="147">
        <f t="shared" ref="AH18:AH24" si="31">$P18*$AC18*U18*AA18</f>
        <v>169.34400000000002</v>
      </c>
      <c r="AI18" s="158">
        <f t="shared" ref="AI18:AI24" si="32">$P18*$AC18*V18*AB18</f>
        <v>3780</v>
      </c>
      <c r="AJ18" s="161">
        <f>AD18</f>
        <v>5077.2960000000003</v>
      </c>
      <c r="AK18" s="162">
        <f t="shared" ref="AK18:AO18" si="33">AE18</f>
        <v>4245.6960000000008</v>
      </c>
      <c r="AL18" s="162">
        <f t="shared" si="33"/>
        <v>2990.7360000000003</v>
      </c>
      <c r="AM18" s="162">
        <f t="shared" si="33"/>
        <v>235.87200000000004</v>
      </c>
      <c r="AN18" s="162">
        <f t="shared" si="33"/>
        <v>169.34400000000002</v>
      </c>
      <c r="AO18" s="177">
        <f t="shared" si="33"/>
        <v>3780</v>
      </c>
      <c r="AP18" s="178">
        <f>SUM(C18:C18)/SUM(AD18:AD18)</f>
        <v>0.95878199734661917</v>
      </c>
      <c r="AQ18" s="179">
        <f t="shared" ref="AQ18:AU18" si="34">SUM(D18:D18)/SUM(AE18:AE18)</f>
        <v>0.66315016430757157</v>
      </c>
      <c r="AR18" s="179">
        <f t="shared" si="34"/>
        <v>1.1978951000690128</v>
      </c>
      <c r="AS18" s="179">
        <f t="shared" si="34"/>
        <v>0</v>
      </c>
      <c r="AT18" s="179">
        <f t="shared" si="34"/>
        <v>3.9111807917611485</v>
      </c>
      <c r="AU18" s="180">
        <f t="shared" si="34"/>
        <v>2.7524301587301587</v>
      </c>
      <c r="AV18" s="172">
        <f t="shared" ref="AV18:AV24" si="35">1-W18</f>
        <v>0.27</v>
      </c>
      <c r="AW18" s="172">
        <f t="shared" ref="AW18:AW24" si="36">1-X18</f>
        <v>0.45999999999999996</v>
      </c>
      <c r="AX18" s="172">
        <f t="shared" ref="AX18:AX24" si="37">1-Y18</f>
        <v>0.57000000000000006</v>
      </c>
      <c r="AY18" s="172">
        <f t="shared" ref="AY18:AY24" si="38">1-Z18</f>
        <v>0.21999999999999997</v>
      </c>
      <c r="AZ18" s="172">
        <f t="shared" ref="AZ18:AZ24" si="39">1-AA18</f>
        <v>0.72</v>
      </c>
      <c r="BA18" s="172">
        <f t="shared" ref="BA18:BA24" si="40">1-AB18</f>
        <v>0.5</v>
      </c>
      <c r="BB18" s="191">
        <f t="shared" ref="BB18:BB24" si="41">1-AC18</f>
        <v>0.8</v>
      </c>
      <c r="BC18" s="192">
        <f t="shared" ref="BC18:BC24" si="42">$P18*$AC18*Q18*AV18</f>
        <v>1877.9040000000002</v>
      </c>
      <c r="BD18" s="192">
        <f t="shared" ref="BD18:BD24" si="43">$P18*$AC18*R18*AW18</f>
        <v>3616.7040000000002</v>
      </c>
      <c r="BE18" s="192">
        <f t="shared" ref="BE18:BE24" si="44">$P18*$AC18*S18*AX18</f>
        <v>3964.4640000000009</v>
      </c>
      <c r="BF18" s="192">
        <f t="shared" ref="BF18:BF24" si="45">$P18*$AC18*T18*AY18</f>
        <v>66.528000000000006</v>
      </c>
      <c r="BG18" s="192">
        <f t="shared" ref="BG18:BG24" si="46">$P18*$AC18*U18*AZ18</f>
        <v>435.45600000000002</v>
      </c>
      <c r="BH18" s="158">
        <f t="shared" ref="BH18:BH24" si="47">$P18*$AC18*V18*BA18</f>
        <v>3780</v>
      </c>
      <c r="BI18" s="196">
        <f>BC18</f>
        <v>1877.9040000000002</v>
      </c>
      <c r="BJ18" s="197">
        <f t="shared" ref="BJ18:BN18" si="48">BD18</f>
        <v>3616.7040000000002</v>
      </c>
      <c r="BK18" s="197">
        <f t="shared" si="48"/>
        <v>3964.4640000000009</v>
      </c>
      <c r="BL18" s="197">
        <f t="shared" si="48"/>
        <v>66.528000000000006</v>
      </c>
      <c r="BM18" s="197">
        <f t="shared" si="48"/>
        <v>435.45600000000002</v>
      </c>
      <c r="BN18" s="205">
        <f t="shared" si="48"/>
        <v>3780</v>
      </c>
      <c r="BO18" s="206">
        <f>SUM(I18:I18)/SUM(BC18:BC18)</f>
        <v>1.4531946254973629</v>
      </c>
      <c r="BP18" s="207">
        <f t="shared" ref="BP18:BT18" si="49">SUM(J18:J18)/SUM(BD18:BD18)</f>
        <v>1.5553166640123162</v>
      </c>
      <c r="BQ18" s="207">
        <f t="shared" si="49"/>
        <v>1.1371625521129713</v>
      </c>
      <c r="BR18" s="207">
        <f t="shared" si="49"/>
        <v>0</v>
      </c>
      <c r="BS18" s="207">
        <f t="shared" si="49"/>
        <v>2.1852035567313344</v>
      </c>
      <c r="BT18" s="208">
        <f t="shared" si="49"/>
        <v>0.28668783068783071</v>
      </c>
      <c r="BU18" s="220">
        <f t="shared" ref="BU18:BU24" si="50">BC18+AD18</f>
        <v>6955.2000000000007</v>
      </c>
      <c r="BV18" s="220">
        <f t="shared" ref="BV18:BV24" si="51">BD18+AE18</f>
        <v>7862.4000000000015</v>
      </c>
      <c r="BW18" s="220">
        <f t="shared" ref="BW18:BW24" si="52">BE18+AF18</f>
        <v>6955.2000000000007</v>
      </c>
      <c r="BX18" s="220">
        <f t="shared" ref="BX18:BX24" si="53">BF18+AG18</f>
        <v>302.40000000000003</v>
      </c>
      <c r="BY18" s="225">
        <f t="shared" ref="BY18:BY24" si="54">BG18+AH18</f>
        <v>604.80000000000007</v>
      </c>
      <c r="BZ18" s="226">
        <f t="shared" ref="BZ18:BZ24" si="55">BH18+AI18</f>
        <v>7560</v>
      </c>
      <c r="CA18" s="227">
        <f>SUM($BU$18:BZ18)</f>
        <v>30240.000000000004</v>
      </c>
      <c r="CB18" s="225">
        <f t="shared" si="21"/>
        <v>6955.2000000000007</v>
      </c>
      <c r="CC18" s="220">
        <f t="shared" si="22"/>
        <v>7862.4000000000015</v>
      </c>
      <c r="CD18" s="220">
        <f t="shared" si="23"/>
        <v>6955.2000000000007</v>
      </c>
      <c r="CE18" s="220">
        <f t="shared" si="24"/>
        <v>302.40000000000003</v>
      </c>
      <c r="CF18" s="220">
        <f t="shared" si="25"/>
        <v>604.80000000000007</v>
      </c>
      <c r="CG18" s="221">
        <f t="shared" si="26"/>
        <v>7560</v>
      </c>
      <c r="CH18" s="230">
        <f>(SUM(I18:I18)+SUM(C18:C18))/SUM(BU18:BU18)</f>
        <v>1.0922734069473199</v>
      </c>
      <c r="CI18" s="231">
        <f t="shared" ref="CI18:CM18" si="56">(SUM(J18:J18)+SUM(D18:D18))/SUM(BV18:BV18)</f>
        <v>1.073546754171754</v>
      </c>
      <c r="CJ18" s="231">
        <f t="shared" si="56"/>
        <v>1.1632775477340693</v>
      </c>
      <c r="CK18" s="231">
        <f t="shared" si="56"/>
        <v>0</v>
      </c>
      <c r="CL18" s="231">
        <f t="shared" si="56"/>
        <v>2.6684771825396822</v>
      </c>
      <c r="CM18" s="236">
        <f t="shared" si="56"/>
        <v>1.5195589947089947</v>
      </c>
    </row>
    <row r="19" spans="1:91" ht="14.25">
      <c r="A19" s="91">
        <v>44530</v>
      </c>
      <c r="B19" s="92">
        <v>2</v>
      </c>
      <c r="C19" s="79">
        <f>3150.977+406+340.622</f>
        <v>3897.5989999999997</v>
      </c>
      <c r="D19" s="80">
        <v>1249.8150000000001</v>
      </c>
      <c r="E19" s="80">
        <f>1569.661+445.179</f>
        <v>2014.8400000000001</v>
      </c>
      <c r="F19" s="80">
        <v>34.631999999999998</v>
      </c>
      <c r="G19" s="80">
        <v>101.502</v>
      </c>
      <c r="H19" s="80">
        <f>135.184+272.387+576.292+232.708</f>
        <v>1216.5710000000001</v>
      </c>
      <c r="I19" s="98">
        <f>1667.36</f>
        <v>1667.36</v>
      </c>
      <c r="J19" s="98">
        <v>2437.2800000000002</v>
      </c>
      <c r="K19" s="98">
        <f>1764+214.24</f>
        <v>1978.24</v>
      </c>
      <c r="L19" s="98">
        <v>0</v>
      </c>
      <c r="M19" s="98">
        <v>465.92</v>
      </c>
      <c r="N19" s="99">
        <f>106.08</f>
        <v>106.08</v>
      </c>
      <c r="O19" s="107">
        <f>SUM($C$18:N19)</f>
        <v>52400.061999999998</v>
      </c>
      <c r="P19" s="109">
        <f t="shared" si="20"/>
        <v>151200</v>
      </c>
      <c r="Q19" s="123">
        <v>0.23</v>
      </c>
      <c r="R19" s="124">
        <v>0.26</v>
      </c>
      <c r="S19" s="124">
        <v>0.23</v>
      </c>
      <c r="T19" s="124">
        <v>0.01</v>
      </c>
      <c r="U19" s="124">
        <v>0.02</v>
      </c>
      <c r="V19" s="125">
        <v>0.25</v>
      </c>
      <c r="W19" s="138">
        <v>0.73</v>
      </c>
      <c r="X19" s="139">
        <v>0.54</v>
      </c>
      <c r="Y19" s="139">
        <v>0.43</v>
      </c>
      <c r="Z19" s="139">
        <v>0.78</v>
      </c>
      <c r="AA19" s="139">
        <v>0.28000000000000003</v>
      </c>
      <c r="AB19" s="139">
        <v>0.5</v>
      </c>
      <c r="AC19" s="152">
        <v>0.2</v>
      </c>
      <c r="AD19" s="146">
        <f t="shared" si="27"/>
        <v>5077.2960000000003</v>
      </c>
      <c r="AE19" s="147">
        <f t="shared" si="28"/>
        <v>4245.6960000000008</v>
      </c>
      <c r="AF19" s="147">
        <f t="shared" si="29"/>
        <v>2990.7360000000003</v>
      </c>
      <c r="AG19" s="147">
        <f t="shared" si="30"/>
        <v>235.87200000000004</v>
      </c>
      <c r="AH19" s="147">
        <f t="shared" si="31"/>
        <v>169.34400000000002</v>
      </c>
      <c r="AI19" s="158">
        <f t="shared" si="32"/>
        <v>3780</v>
      </c>
      <c r="AJ19" s="163">
        <f>SUM(AD18:AD19)-SUM(C18:C18)</f>
        <v>5286.5720000000001</v>
      </c>
      <c r="AK19" s="164">
        <f t="shared" ref="AK19:AO19" si="57">SUM(AE18:AE19)-SUM(D18:D18)</f>
        <v>5675.858000000002</v>
      </c>
      <c r="AL19" s="164">
        <f t="shared" si="57"/>
        <v>2398.8840000000009</v>
      </c>
      <c r="AM19" s="164">
        <f t="shared" si="57"/>
        <v>471.74400000000009</v>
      </c>
      <c r="AN19" s="164">
        <f t="shared" si="57"/>
        <v>-323.64699999999999</v>
      </c>
      <c r="AO19" s="181">
        <f t="shared" si="57"/>
        <v>-2844.1859999999997</v>
      </c>
      <c r="AP19" s="182">
        <f>SUM(C18:C19)/SUM(AD18:AD19)</f>
        <v>0.86321725186004516</v>
      </c>
      <c r="AQ19" s="183">
        <f t="shared" ref="AQ19:AU19" si="58">SUM(D18:D19)/SUM(AE18:AE19)</f>
        <v>0.47876119722184529</v>
      </c>
      <c r="AR19" s="183">
        <f t="shared" si="58"/>
        <v>0.93579439977316603</v>
      </c>
      <c r="AS19" s="183">
        <f t="shared" si="58"/>
        <v>7.3412698412698402E-2</v>
      </c>
      <c r="AT19" s="183">
        <f t="shared" si="58"/>
        <v>2.2552821475812546</v>
      </c>
      <c r="AU19" s="184">
        <f t="shared" si="58"/>
        <v>1.5371371693121691</v>
      </c>
      <c r="AV19" s="172">
        <f t="shared" si="35"/>
        <v>0.27</v>
      </c>
      <c r="AW19" s="172">
        <f t="shared" si="36"/>
        <v>0.45999999999999996</v>
      </c>
      <c r="AX19" s="172">
        <f t="shared" si="37"/>
        <v>0.57000000000000006</v>
      </c>
      <c r="AY19" s="172">
        <f t="shared" si="38"/>
        <v>0.21999999999999997</v>
      </c>
      <c r="AZ19" s="172">
        <f t="shared" si="39"/>
        <v>0.72</v>
      </c>
      <c r="BA19" s="172">
        <f t="shared" si="40"/>
        <v>0.5</v>
      </c>
      <c r="BB19" s="191">
        <f t="shared" si="41"/>
        <v>0.8</v>
      </c>
      <c r="BC19" s="192">
        <f t="shared" si="42"/>
        <v>1877.9040000000002</v>
      </c>
      <c r="BD19" s="192">
        <f t="shared" si="43"/>
        <v>3616.7040000000002</v>
      </c>
      <c r="BE19" s="192">
        <f t="shared" si="44"/>
        <v>3964.4640000000009</v>
      </c>
      <c r="BF19" s="192">
        <f t="shared" si="45"/>
        <v>66.528000000000006</v>
      </c>
      <c r="BG19" s="192">
        <f t="shared" si="46"/>
        <v>435.45600000000002</v>
      </c>
      <c r="BH19" s="158">
        <f t="shared" si="47"/>
        <v>3780</v>
      </c>
      <c r="BI19" s="198">
        <f>SUM(BC18:BC19)-SUM(I18:I18)</f>
        <v>1026.8480000000004</v>
      </c>
      <c r="BJ19" s="199">
        <f t="shared" ref="BJ19:BN19" si="59">SUM(BD18:BD19)-SUM(J18:J18)</f>
        <v>1608.2880000000005</v>
      </c>
      <c r="BK19" s="199">
        <f t="shared" si="59"/>
        <v>3420.6880000000019</v>
      </c>
      <c r="BL19" s="199">
        <f t="shared" si="59"/>
        <v>133.05600000000001</v>
      </c>
      <c r="BM19" s="199">
        <f t="shared" si="59"/>
        <v>-80.647999999999911</v>
      </c>
      <c r="BN19" s="209">
        <f t="shared" si="59"/>
        <v>6476.32</v>
      </c>
      <c r="BO19" s="210">
        <f>SUM(I18:I19)/SUM(BC18:BC19)</f>
        <v>1.1705390690897934</v>
      </c>
      <c r="BP19" s="211">
        <f t="shared" ref="BP19:BT19" si="60">SUM(J18:J19)/SUM(BD18:BD19)</f>
        <v>1.1146060059103535</v>
      </c>
      <c r="BQ19" s="211">
        <f t="shared" si="60"/>
        <v>0.81807780320366108</v>
      </c>
      <c r="BR19" s="211">
        <f t="shared" si="60"/>
        <v>0</v>
      </c>
      <c r="BS19" s="211">
        <f t="shared" si="60"/>
        <v>1.62758120223398</v>
      </c>
      <c r="BT19" s="212">
        <f t="shared" si="60"/>
        <v>0.15737566137566136</v>
      </c>
      <c r="BU19" s="220">
        <f t="shared" si="50"/>
        <v>6955.2000000000007</v>
      </c>
      <c r="BV19" s="220">
        <f t="shared" si="51"/>
        <v>7862.4000000000015</v>
      </c>
      <c r="BW19" s="220">
        <f t="shared" si="52"/>
        <v>6955.2000000000007</v>
      </c>
      <c r="BX19" s="220">
        <f t="shared" si="53"/>
        <v>302.40000000000003</v>
      </c>
      <c r="BY19" s="224">
        <f t="shared" si="54"/>
        <v>604.80000000000007</v>
      </c>
      <c r="BZ19" s="221">
        <f t="shared" si="55"/>
        <v>7560</v>
      </c>
      <c r="CA19" s="222">
        <f>SUM($BU$18:BZ19)</f>
        <v>60480.000000000007</v>
      </c>
      <c r="CB19" s="224">
        <f t="shared" ref="CB19:CB25" si="61">AJ19+BI19</f>
        <v>6313.42</v>
      </c>
      <c r="CC19" s="220">
        <f t="shared" ref="CC19:CC25" si="62">AK19+BJ19</f>
        <v>7284.1460000000025</v>
      </c>
      <c r="CD19" s="220">
        <f t="shared" ref="CD19:CD25" si="63">AL19+BK19</f>
        <v>5819.5720000000028</v>
      </c>
      <c r="CE19" s="220">
        <f t="shared" ref="CE19:CE25" si="64">AM19+BL19</f>
        <v>604.80000000000007</v>
      </c>
      <c r="CF19" s="220">
        <f t="shared" ref="CF19:CF25" si="65">AN19+BM19</f>
        <v>-404.2949999999999</v>
      </c>
      <c r="CG19" s="221">
        <f t="shared" ref="CG19:CG25" si="66">AO19+BN19</f>
        <v>3632.134</v>
      </c>
      <c r="CH19" s="232">
        <f>(SUM(I18:I19)+SUM(C18:C19))/SUM(BU18:BU19)</f>
        <v>0.94619414251207723</v>
      </c>
      <c r="CI19" s="233">
        <f t="shared" ref="CI19:CM19" si="67">(SUM(J18:J19)+SUM(D18:D19))/SUM(BV18:BV19)</f>
        <v>0.77124980921855901</v>
      </c>
      <c r="CJ19" s="233">
        <f t="shared" si="67"/>
        <v>0.86869593972854831</v>
      </c>
      <c r="CK19" s="233">
        <f t="shared" si="67"/>
        <v>5.726190476190475E-2</v>
      </c>
      <c r="CL19" s="233">
        <f t="shared" si="67"/>
        <v>1.8033374669312168</v>
      </c>
      <c r="CM19" s="237">
        <f t="shared" si="67"/>
        <v>0.84725641534391538</v>
      </c>
    </row>
    <row r="20" spans="1:91" ht="14.25">
      <c r="A20" s="91">
        <v>44531</v>
      </c>
      <c r="B20" s="92">
        <v>3</v>
      </c>
      <c r="C20" s="79">
        <f>1909.139+2643.734+260.004+396.384+36</f>
        <v>5245.2609999999995</v>
      </c>
      <c r="D20" s="80">
        <f>5657.503+3214.46</f>
        <v>8871.9629999999997</v>
      </c>
      <c r="E20" s="80">
        <f>3581.255+1102.9+336.907+42.203</f>
        <v>5063.2650000000012</v>
      </c>
      <c r="F20" s="80">
        <f>150+250</f>
        <v>400</v>
      </c>
      <c r="G20" s="80">
        <f>545.335+493.468</f>
        <v>1038.8030000000001</v>
      </c>
      <c r="H20" s="80">
        <f>66.528+170.356+479.194+69.368+1026.12+793.13+743.464+300</f>
        <v>3648.16</v>
      </c>
      <c r="I20" s="98">
        <f>1974.64+2221.56</f>
        <v>4196.2</v>
      </c>
      <c r="J20" s="98">
        <f>10090+3709.16</f>
        <v>13799.16</v>
      </c>
      <c r="K20" s="98">
        <f>5336.2+1498.88+22.88</f>
        <v>6857.96</v>
      </c>
      <c r="L20" s="98">
        <f>150+250</f>
        <v>400</v>
      </c>
      <c r="M20" s="98">
        <f>241.56+725.52</f>
        <v>967.07999999999993</v>
      </c>
      <c r="N20" s="99">
        <f>33.28+33.28+33.28+2117.44+291.2</f>
        <v>2508.48</v>
      </c>
      <c r="O20" s="107">
        <f>SUM($C$18:N20)</f>
        <v>105396.394</v>
      </c>
      <c r="P20" s="109">
        <f t="shared" si="20"/>
        <v>151200</v>
      </c>
      <c r="Q20" s="123">
        <v>0.23</v>
      </c>
      <c r="R20" s="124">
        <v>0.26</v>
      </c>
      <c r="S20" s="124">
        <v>0.23</v>
      </c>
      <c r="T20" s="124">
        <v>0.01</v>
      </c>
      <c r="U20" s="124">
        <v>0.02</v>
      </c>
      <c r="V20" s="125">
        <v>0.25</v>
      </c>
      <c r="W20" s="138">
        <v>0.73</v>
      </c>
      <c r="X20" s="139">
        <v>0.54</v>
      </c>
      <c r="Y20" s="139">
        <v>0.43</v>
      </c>
      <c r="Z20" s="139">
        <v>0.78</v>
      </c>
      <c r="AA20" s="139">
        <v>0.28000000000000003</v>
      </c>
      <c r="AB20" s="139">
        <v>0.5</v>
      </c>
      <c r="AC20" s="152">
        <v>0.2</v>
      </c>
      <c r="AD20" s="146">
        <f t="shared" si="27"/>
        <v>5077.2960000000003</v>
      </c>
      <c r="AE20" s="147">
        <f t="shared" si="28"/>
        <v>4245.6960000000008</v>
      </c>
      <c r="AF20" s="147">
        <f t="shared" si="29"/>
        <v>2990.7360000000003</v>
      </c>
      <c r="AG20" s="147">
        <f t="shared" si="30"/>
        <v>235.87200000000004</v>
      </c>
      <c r="AH20" s="147">
        <f t="shared" si="31"/>
        <v>169.34400000000002</v>
      </c>
      <c r="AI20" s="158">
        <f t="shared" si="32"/>
        <v>3780</v>
      </c>
      <c r="AJ20" s="163">
        <f>SUM(AD18:AD20)-SUM(C18:C19)</f>
        <v>6466.2690000000002</v>
      </c>
      <c r="AK20" s="164">
        <f t="shared" ref="AK20:AO20" si="68">SUM(AE18:AE20)-SUM(D18:D19)</f>
        <v>8671.7390000000032</v>
      </c>
      <c r="AL20" s="164">
        <f t="shared" si="68"/>
        <v>3374.7800000000007</v>
      </c>
      <c r="AM20" s="164">
        <f t="shared" si="68"/>
        <v>672.98400000000015</v>
      </c>
      <c r="AN20" s="164">
        <f t="shared" si="68"/>
        <v>-255.80499999999995</v>
      </c>
      <c r="AO20" s="181">
        <f t="shared" si="68"/>
        <v>-280.75699999999961</v>
      </c>
      <c r="AP20" s="182">
        <f>SUM(C18:C20)/SUM(AD18:AD20)</f>
        <v>0.91983869629293491</v>
      </c>
      <c r="AQ20" s="183">
        <f t="shared" ref="AQ20:AU20" si="69">SUM(D18:D20)/SUM(AE18:AE20)</f>
        <v>1.0157197626333425</v>
      </c>
      <c r="AR20" s="183">
        <f t="shared" si="69"/>
        <v>1.1881905769460539</v>
      </c>
      <c r="AS20" s="183">
        <f t="shared" si="69"/>
        <v>0.61422014199791974</v>
      </c>
      <c r="AT20" s="183">
        <f t="shared" si="69"/>
        <v>3.5482804232804233</v>
      </c>
      <c r="AU20" s="184">
        <f t="shared" si="69"/>
        <v>1.3464653439153438</v>
      </c>
      <c r="AV20" s="172">
        <f t="shared" si="35"/>
        <v>0.27</v>
      </c>
      <c r="AW20" s="172">
        <f t="shared" si="36"/>
        <v>0.45999999999999996</v>
      </c>
      <c r="AX20" s="172">
        <f t="shared" si="37"/>
        <v>0.57000000000000006</v>
      </c>
      <c r="AY20" s="172">
        <f t="shared" si="38"/>
        <v>0.21999999999999997</v>
      </c>
      <c r="AZ20" s="172">
        <f t="shared" si="39"/>
        <v>0.72</v>
      </c>
      <c r="BA20" s="172">
        <f t="shared" si="40"/>
        <v>0.5</v>
      </c>
      <c r="BB20" s="191">
        <f t="shared" si="41"/>
        <v>0.8</v>
      </c>
      <c r="BC20" s="192">
        <f t="shared" si="42"/>
        <v>1877.9040000000002</v>
      </c>
      <c r="BD20" s="192">
        <f t="shared" si="43"/>
        <v>3616.7040000000002</v>
      </c>
      <c r="BE20" s="192">
        <f t="shared" si="44"/>
        <v>3964.4640000000009</v>
      </c>
      <c r="BF20" s="192">
        <f t="shared" si="45"/>
        <v>66.528000000000006</v>
      </c>
      <c r="BG20" s="192">
        <f t="shared" si="46"/>
        <v>435.45600000000002</v>
      </c>
      <c r="BH20" s="158">
        <f t="shared" si="47"/>
        <v>3780</v>
      </c>
      <c r="BI20" s="198">
        <f>SUM(BC18:BC20)-SUM(I18:I19)</f>
        <v>1237.3920000000007</v>
      </c>
      <c r="BJ20" s="199">
        <f t="shared" ref="BJ20:BN20" si="70">SUM(BD18:BD20)-SUM(J18:J19)</f>
        <v>2787.7120000000014</v>
      </c>
      <c r="BK20" s="199">
        <f t="shared" si="70"/>
        <v>5406.9120000000039</v>
      </c>
      <c r="BL20" s="199">
        <f t="shared" si="70"/>
        <v>199.584</v>
      </c>
      <c r="BM20" s="199">
        <f t="shared" si="70"/>
        <v>-111.11200000000008</v>
      </c>
      <c r="BN20" s="209">
        <f t="shared" si="70"/>
        <v>10150.24</v>
      </c>
      <c r="BO20" s="210">
        <f>SUM(I18:I20)/SUM(BC18:BC20)</f>
        <v>1.525196886173805</v>
      </c>
      <c r="BP20" s="211">
        <f t="shared" ref="BP20:BT20" si="71">SUM(J18:J20)/SUM(BD18:BD20)</f>
        <v>2.0148695239274947</v>
      </c>
      <c r="BQ20" s="211">
        <f t="shared" si="71"/>
        <v>1.1220045551344811</v>
      </c>
      <c r="BR20" s="211">
        <f t="shared" si="71"/>
        <v>2.0041686708353375</v>
      </c>
      <c r="BS20" s="211">
        <f t="shared" si="71"/>
        <v>1.825335586909661</v>
      </c>
      <c r="BT20" s="212">
        <f t="shared" si="71"/>
        <v>0.32612345679012344</v>
      </c>
      <c r="BU20" s="220">
        <f t="shared" si="50"/>
        <v>6955.2000000000007</v>
      </c>
      <c r="BV20" s="220">
        <f t="shared" si="51"/>
        <v>7862.4000000000015</v>
      </c>
      <c r="BW20" s="220">
        <f t="shared" si="52"/>
        <v>6955.2000000000007</v>
      </c>
      <c r="BX20" s="220">
        <f t="shared" si="53"/>
        <v>302.40000000000003</v>
      </c>
      <c r="BY20" s="224">
        <f t="shared" si="54"/>
        <v>604.80000000000007</v>
      </c>
      <c r="BZ20" s="221">
        <f t="shared" si="55"/>
        <v>7560</v>
      </c>
      <c r="CA20" s="222">
        <f>SUM($BU$18:BZ20)</f>
        <v>90720</v>
      </c>
      <c r="CB20" s="224">
        <f t="shared" si="61"/>
        <v>7703.661000000001</v>
      </c>
      <c r="CC20" s="220">
        <f t="shared" si="62"/>
        <v>11459.451000000005</v>
      </c>
      <c r="CD20" s="220">
        <f t="shared" si="63"/>
        <v>8781.6920000000046</v>
      </c>
      <c r="CE20" s="220">
        <f t="shared" si="64"/>
        <v>872.56800000000021</v>
      </c>
      <c r="CF20" s="220">
        <f t="shared" si="65"/>
        <v>-366.91700000000003</v>
      </c>
      <c r="CG20" s="221">
        <f t="shared" si="66"/>
        <v>9869.4830000000002</v>
      </c>
      <c r="CH20" s="232">
        <f>(SUM(I18:I20)+SUM(C18:C20))/SUM(BU18:BU20)</f>
        <v>1.0832854075607699</v>
      </c>
      <c r="CI20" s="233">
        <f t="shared" ref="CI20:CM20" si="72">(SUM(J18:J20)+SUM(D18:D20))/SUM(BV18:BV20)</f>
        <v>1.4753286528286524</v>
      </c>
      <c r="CJ20" s="233">
        <f t="shared" si="72"/>
        <v>1.1504645445134576</v>
      </c>
      <c r="CK20" s="233">
        <f t="shared" si="72"/>
        <v>0.92000881834215165</v>
      </c>
      <c r="CL20" s="233">
        <f t="shared" si="72"/>
        <v>2.3077601410934743</v>
      </c>
      <c r="CM20" s="237">
        <f t="shared" si="72"/>
        <v>0.83629440035273361</v>
      </c>
    </row>
    <row r="21" spans="1:91" ht="14.25">
      <c r="A21" s="91">
        <v>44532</v>
      </c>
      <c r="B21" s="92">
        <v>4</v>
      </c>
      <c r="C21" s="79">
        <f>1808.914+60+185.07</f>
        <v>2053.9839999999999</v>
      </c>
      <c r="D21" s="80">
        <v>337.40199999999999</v>
      </c>
      <c r="E21" s="80">
        <f>426.652+39.856</f>
        <v>466.50799999999998</v>
      </c>
      <c r="F21" s="80">
        <v>0</v>
      </c>
      <c r="G21" s="80">
        <v>372.154</v>
      </c>
      <c r="H21" s="80">
        <f>34.502+4079.32+587.612+79</f>
        <v>4780.4340000000002</v>
      </c>
      <c r="I21" s="98">
        <f>1198.08+0</f>
        <v>1198.08</v>
      </c>
      <c r="J21" s="98">
        <v>732.16</v>
      </c>
      <c r="K21" s="98">
        <f>1319.8+37.44</f>
        <v>1357.24</v>
      </c>
      <c r="L21" s="98">
        <v>0</v>
      </c>
      <c r="M21" s="98">
        <v>168.56</v>
      </c>
      <c r="N21" s="99">
        <f>1064.96+183.04+37.44</f>
        <v>1285.44</v>
      </c>
      <c r="O21" s="107">
        <f>SUM($C$18:N21)</f>
        <v>118148.356</v>
      </c>
      <c r="P21" s="109">
        <f t="shared" si="20"/>
        <v>151200</v>
      </c>
      <c r="Q21" s="123">
        <v>0.23</v>
      </c>
      <c r="R21" s="124">
        <v>0.26</v>
      </c>
      <c r="S21" s="124">
        <v>0.23</v>
      </c>
      <c r="T21" s="124">
        <v>0.01</v>
      </c>
      <c r="U21" s="124">
        <v>0.02</v>
      </c>
      <c r="V21" s="125">
        <v>0.25</v>
      </c>
      <c r="W21" s="138">
        <v>0.73</v>
      </c>
      <c r="X21" s="139">
        <v>0.54</v>
      </c>
      <c r="Y21" s="139">
        <v>0.43</v>
      </c>
      <c r="Z21" s="139">
        <v>0.78</v>
      </c>
      <c r="AA21" s="139">
        <v>0.28000000000000003</v>
      </c>
      <c r="AB21" s="139">
        <v>0.5</v>
      </c>
      <c r="AC21" s="152">
        <v>0.133333333333333</v>
      </c>
      <c r="AD21" s="146">
        <f t="shared" si="27"/>
        <v>3384.8639999999914</v>
      </c>
      <c r="AE21" s="147">
        <f t="shared" si="28"/>
        <v>2830.4639999999931</v>
      </c>
      <c r="AF21" s="147">
        <f t="shared" si="29"/>
        <v>1993.8239999999951</v>
      </c>
      <c r="AG21" s="147">
        <f t="shared" si="30"/>
        <v>157.24799999999959</v>
      </c>
      <c r="AH21" s="147">
        <f t="shared" si="31"/>
        <v>112.89599999999972</v>
      </c>
      <c r="AI21" s="158">
        <f t="shared" si="32"/>
        <v>2519.9999999999936</v>
      </c>
      <c r="AJ21" s="163">
        <f>SUM(AD18:AD21)-SUM(C18:C20)</f>
        <v>4605.8719999999921</v>
      </c>
      <c r="AK21" s="164">
        <f t="shared" ref="AK21:AO21" si="73">SUM(AE18:AE21)-SUM(D18:D20)</f>
        <v>2630.2399999999961</v>
      </c>
      <c r="AL21" s="164">
        <f t="shared" si="73"/>
        <v>305.33899999999448</v>
      </c>
      <c r="AM21" s="164">
        <f t="shared" si="73"/>
        <v>430.23199999999969</v>
      </c>
      <c r="AN21" s="164">
        <f t="shared" si="73"/>
        <v>-1181.7120000000004</v>
      </c>
      <c r="AO21" s="181">
        <f t="shared" si="73"/>
        <v>-1408.9170000000067</v>
      </c>
      <c r="AP21" s="182">
        <f>SUM(C18:C21)/SUM(AD18:AD21)</f>
        <v>0.86292517620689191</v>
      </c>
      <c r="AQ21" s="183">
        <f t="shared" ref="AQ21:AU21" si="74">SUM(D18:D21)/SUM(AE18:AE21)</f>
        <v>0.85271685618907866</v>
      </c>
      <c r="AR21" s="183">
        <f t="shared" si="74"/>
        <v>1.014697111954443</v>
      </c>
      <c r="AS21" s="183">
        <f t="shared" si="74"/>
        <v>0.50254375254375272</v>
      </c>
      <c r="AT21" s="183">
        <f t="shared" si="74"/>
        <v>3.5024898216862512</v>
      </c>
      <c r="AU21" s="184">
        <f t="shared" si="74"/>
        <v>1.4465621212121218</v>
      </c>
      <c r="AV21" s="172">
        <f t="shared" si="35"/>
        <v>0.27</v>
      </c>
      <c r="AW21" s="172">
        <f t="shared" si="36"/>
        <v>0.45999999999999996</v>
      </c>
      <c r="AX21" s="172">
        <f t="shared" si="37"/>
        <v>0.57000000000000006</v>
      </c>
      <c r="AY21" s="172">
        <f t="shared" si="38"/>
        <v>0.21999999999999997</v>
      </c>
      <c r="AZ21" s="172">
        <f t="shared" si="39"/>
        <v>0.72</v>
      </c>
      <c r="BA21" s="172">
        <f t="shared" si="40"/>
        <v>0.5</v>
      </c>
      <c r="BB21" s="191">
        <f t="shared" si="41"/>
        <v>0.86666666666666703</v>
      </c>
      <c r="BC21" s="192">
        <f t="shared" si="42"/>
        <v>1251.935999999997</v>
      </c>
      <c r="BD21" s="192">
        <f t="shared" si="43"/>
        <v>2411.1359999999936</v>
      </c>
      <c r="BE21" s="192">
        <f t="shared" si="44"/>
        <v>2642.9759999999937</v>
      </c>
      <c r="BF21" s="192">
        <f t="shared" si="45"/>
        <v>44.351999999999883</v>
      </c>
      <c r="BG21" s="192">
        <f t="shared" si="46"/>
        <v>290.30399999999923</v>
      </c>
      <c r="BH21" s="158">
        <f t="shared" si="47"/>
        <v>2519.9999999999936</v>
      </c>
      <c r="BI21" s="198">
        <f>SUM(BC18:BC21)-SUM(I18:I20)</f>
        <v>-1706.872000000003</v>
      </c>
      <c r="BJ21" s="199">
        <f t="shared" ref="BJ21:BN21" si="75">SUM(BD18:BD21)-SUM(J18:J20)</f>
        <v>-8600.3120000000035</v>
      </c>
      <c r="BK21" s="199">
        <f t="shared" si="75"/>
        <v>1191.9279999999981</v>
      </c>
      <c r="BL21" s="199">
        <f t="shared" si="75"/>
        <v>-156.06400000000011</v>
      </c>
      <c r="BM21" s="199">
        <f t="shared" si="75"/>
        <v>-787.88800000000083</v>
      </c>
      <c r="BN21" s="209">
        <f t="shared" si="75"/>
        <v>10161.759999999993</v>
      </c>
      <c r="BO21" s="210">
        <f>SUM(I18:I21)/SUM(BC18:BC21)</f>
        <v>1.4218850571507582</v>
      </c>
      <c r="BP21" s="211">
        <f t="shared" ref="BP21:BT21" si="76">SUM(J18:J21)/SUM(BD18:BD21)</f>
        <v>1.7037401004792314</v>
      </c>
      <c r="BQ21" s="211">
        <f t="shared" si="76"/>
        <v>1.0113723042784828</v>
      </c>
      <c r="BR21" s="211">
        <f t="shared" si="76"/>
        <v>1.639774367047095</v>
      </c>
      <c r="BS21" s="211">
        <f t="shared" si="76"/>
        <v>1.5990259740259749</v>
      </c>
      <c r="BT21" s="212">
        <f t="shared" si="76"/>
        <v>0.35957287157287177</v>
      </c>
      <c r="BU21" s="220">
        <f t="shared" si="50"/>
        <v>4636.7999999999884</v>
      </c>
      <c r="BV21" s="220">
        <f t="shared" si="51"/>
        <v>5241.5999999999867</v>
      </c>
      <c r="BW21" s="220">
        <f t="shared" si="52"/>
        <v>4636.7999999999884</v>
      </c>
      <c r="BX21" s="220">
        <f t="shared" si="53"/>
        <v>201.59999999999948</v>
      </c>
      <c r="BY21" s="224">
        <f t="shared" si="54"/>
        <v>403.19999999999897</v>
      </c>
      <c r="BZ21" s="221">
        <f t="shared" si="55"/>
        <v>5039.9999999999873</v>
      </c>
      <c r="CA21" s="222">
        <f>SUM($BU$18:BZ21)</f>
        <v>110879.99999999996</v>
      </c>
      <c r="CB21" s="224">
        <f t="shared" si="61"/>
        <v>2898.9999999999891</v>
      </c>
      <c r="CC21" s="220">
        <f t="shared" si="62"/>
        <v>-5970.0720000000074</v>
      </c>
      <c r="CD21" s="220">
        <f t="shared" si="63"/>
        <v>1497.2669999999925</v>
      </c>
      <c r="CE21" s="220">
        <f t="shared" si="64"/>
        <v>274.16799999999955</v>
      </c>
      <c r="CF21" s="220">
        <f t="shared" si="65"/>
        <v>-1969.6000000000013</v>
      </c>
      <c r="CG21" s="221">
        <f t="shared" si="66"/>
        <v>8752.8429999999862</v>
      </c>
      <c r="CH21" s="232">
        <f>(SUM(I18:I21)+SUM(C18:C21))/SUM(BU18:BU21)</f>
        <v>1.0138443440617357</v>
      </c>
      <c r="CI21" s="233">
        <f t="shared" ref="CI21:CM21" si="77">(SUM(J18:J21)+SUM(D18:D21))/SUM(BV18:BV21)</f>
        <v>1.2441875485625487</v>
      </c>
      <c r="CJ21" s="233">
        <f t="shared" si="77"/>
        <v>1.0128019715791459</v>
      </c>
      <c r="CK21" s="233">
        <f t="shared" si="77"/>
        <v>0.75273448773448814</v>
      </c>
      <c r="CL21" s="233">
        <f t="shared" si="77"/>
        <v>2.1319958513708523</v>
      </c>
      <c r="CM21" s="237">
        <f t="shared" si="77"/>
        <v>0.90306749639249684</v>
      </c>
    </row>
    <row r="22" spans="1:91" ht="14.25">
      <c r="A22" s="91">
        <v>44533</v>
      </c>
      <c r="B22" s="92">
        <v>5</v>
      </c>
      <c r="C22" s="79">
        <f>3161.247+66.693</f>
        <v>3227.94</v>
      </c>
      <c r="D22" s="80">
        <v>5368.4049999999997</v>
      </c>
      <c r="E22" s="80">
        <f>3515.824+1638.917</f>
        <v>5154.741</v>
      </c>
      <c r="F22" s="80">
        <v>0</v>
      </c>
      <c r="G22" s="80">
        <v>681.59100000000001</v>
      </c>
      <c r="H22" s="80">
        <f>101.64+0+569.052+708.373</f>
        <v>1379.0650000000001</v>
      </c>
      <c r="I22" s="98">
        <f>2935.56+0</f>
        <v>2935.56</v>
      </c>
      <c r="J22" s="98">
        <v>6011.48</v>
      </c>
      <c r="K22" s="98">
        <f>3810+1545.44</f>
        <v>5355.4400000000005</v>
      </c>
      <c r="L22" s="98">
        <v>0</v>
      </c>
      <c r="M22" s="98">
        <v>269.83999999999997</v>
      </c>
      <c r="N22" s="99">
        <f>33.28+33.28+18.72+74.88</f>
        <v>160.16</v>
      </c>
      <c r="O22" s="107">
        <f>SUM($C$18:N22)</f>
        <v>148692.57800000001</v>
      </c>
      <c r="P22" s="109">
        <f t="shared" si="20"/>
        <v>151200</v>
      </c>
      <c r="Q22" s="123">
        <v>0.23</v>
      </c>
      <c r="R22" s="124">
        <v>0.26</v>
      </c>
      <c r="S22" s="124">
        <v>0.23</v>
      </c>
      <c r="T22" s="124">
        <v>0.01</v>
      </c>
      <c r="U22" s="124">
        <v>0.02</v>
      </c>
      <c r="V22" s="125">
        <v>0.25</v>
      </c>
      <c r="W22" s="138">
        <v>0.73</v>
      </c>
      <c r="X22" s="139">
        <v>0.54</v>
      </c>
      <c r="Y22" s="139">
        <v>0.43</v>
      </c>
      <c r="Z22" s="139">
        <v>0.78</v>
      </c>
      <c r="AA22" s="139">
        <v>0.28000000000000003</v>
      </c>
      <c r="AB22" s="139">
        <v>0.5</v>
      </c>
      <c r="AC22" s="152">
        <v>0.133333333333333</v>
      </c>
      <c r="AD22" s="146">
        <f t="shared" si="27"/>
        <v>3384.8639999999914</v>
      </c>
      <c r="AE22" s="147">
        <f t="shared" si="28"/>
        <v>2830.4639999999931</v>
      </c>
      <c r="AF22" s="147">
        <f t="shared" si="29"/>
        <v>1993.8239999999951</v>
      </c>
      <c r="AG22" s="147">
        <f t="shared" si="30"/>
        <v>157.24799999999959</v>
      </c>
      <c r="AH22" s="147">
        <f t="shared" si="31"/>
        <v>112.89599999999972</v>
      </c>
      <c r="AI22" s="158">
        <f t="shared" si="32"/>
        <v>2519.9999999999936</v>
      </c>
      <c r="AJ22" s="163">
        <f>SUM(AD18:AD22)-SUM(C18:C21)</f>
        <v>5936.7519999999822</v>
      </c>
      <c r="AK22" s="164">
        <f t="shared" ref="AK22:AO22" si="78">SUM(AE18:AE22)-SUM(D18:D21)</f>
        <v>5123.3019999999888</v>
      </c>
      <c r="AL22" s="164">
        <f t="shared" si="78"/>
        <v>1832.6549999999897</v>
      </c>
      <c r="AM22" s="164">
        <f t="shared" si="78"/>
        <v>587.47999999999934</v>
      </c>
      <c r="AN22" s="164">
        <f t="shared" si="78"/>
        <v>-1440.9700000000003</v>
      </c>
      <c r="AO22" s="181">
        <f t="shared" si="78"/>
        <v>-3669.3510000000133</v>
      </c>
      <c r="AP22" s="182">
        <f>SUM(C18:C22)/SUM(AD18:AD22)</f>
        <v>0.8768812254518038</v>
      </c>
      <c r="AQ22" s="183">
        <f t="shared" ref="AQ22:AU22" si="79">SUM(D18:D22)/SUM(AE18:AE22)</f>
        <v>1.0133222517036624</v>
      </c>
      <c r="AR22" s="183">
        <f t="shared" si="79"/>
        <v>1.2563366444812361</v>
      </c>
      <c r="AS22" s="183">
        <f t="shared" si="79"/>
        <v>0.42522932907548322</v>
      </c>
      <c r="AT22" s="183">
        <f t="shared" si="79"/>
        <v>3.8924660409035434</v>
      </c>
      <c r="AU22" s="184">
        <f t="shared" si="79"/>
        <v>1.308206105006106</v>
      </c>
      <c r="AV22" s="172">
        <f t="shared" si="35"/>
        <v>0.27</v>
      </c>
      <c r="AW22" s="172">
        <f t="shared" si="36"/>
        <v>0.45999999999999996</v>
      </c>
      <c r="AX22" s="172">
        <f t="shared" si="37"/>
        <v>0.57000000000000006</v>
      </c>
      <c r="AY22" s="172">
        <f t="shared" si="38"/>
        <v>0.21999999999999997</v>
      </c>
      <c r="AZ22" s="172">
        <f t="shared" si="39"/>
        <v>0.72</v>
      </c>
      <c r="BA22" s="172">
        <f t="shared" si="40"/>
        <v>0.5</v>
      </c>
      <c r="BB22" s="191">
        <f t="shared" si="41"/>
        <v>0.86666666666666703</v>
      </c>
      <c r="BC22" s="192">
        <f t="shared" si="42"/>
        <v>1251.935999999997</v>
      </c>
      <c r="BD22" s="192">
        <f t="shared" si="43"/>
        <v>2411.1359999999936</v>
      </c>
      <c r="BE22" s="192">
        <f t="shared" si="44"/>
        <v>2642.9759999999937</v>
      </c>
      <c r="BF22" s="192">
        <f t="shared" si="45"/>
        <v>44.351999999999883</v>
      </c>
      <c r="BG22" s="192">
        <f t="shared" si="46"/>
        <v>290.30399999999923</v>
      </c>
      <c r="BH22" s="158">
        <f t="shared" si="47"/>
        <v>2519.9999999999936</v>
      </c>
      <c r="BI22" s="198">
        <f>SUM(BC18:BC22)-SUM(I18:I21)</f>
        <v>-1653.016000000006</v>
      </c>
      <c r="BJ22" s="199">
        <f t="shared" ref="BJ22:BN22" si="80">SUM(BD18:BD22)-SUM(J18:J21)</f>
        <v>-6921.3360000000102</v>
      </c>
      <c r="BK22" s="199">
        <f t="shared" si="80"/>
        <v>2477.6639999999916</v>
      </c>
      <c r="BL22" s="199">
        <f t="shared" si="80"/>
        <v>-111.71200000000022</v>
      </c>
      <c r="BM22" s="199">
        <f t="shared" si="80"/>
        <v>-666.1440000000016</v>
      </c>
      <c r="BN22" s="209">
        <f t="shared" si="80"/>
        <v>11396.319999999985</v>
      </c>
      <c r="BO22" s="210">
        <f>SUM(I18:I22)/SUM(BC18:BC22)</f>
        <v>1.5638744865798015</v>
      </c>
      <c r="BP22" s="211">
        <f t="shared" ref="BP22:BT22" si="81">SUM(J18:J22)/SUM(BD18:BD22)</f>
        <v>1.8251977491107938</v>
      </c>
      <c r="BQ22" s="211">
        <f t="shared" si="81"/>
        <v>1.1675137304427929</v>
      </c>
      <c r="BR22" s="211">
        <f t="shared" si="81"/>
        <v>1.3875013875013886</v>
      </c>
      <c r="BS22" s="211">
        <f t="shared" si="81"/>
        <v>1.4960232668566016</v>
      </c>
      <c r="BT22" s="212">
        <f t="shared" si="81"/>
        <v>0.31403174603174633</v>
      </c>
      <c r="BU22" s="220">
        <f t="shared" si="50"/>
        <v>4636.7999999999884</v>
      </c>
      <c r="BV22" s="220">
        <f t="shared" si="51"/>
        <v>5241.5999999999867</v>
      </c>
      <c r="BW22" s="220">
        <f t="shared" si="52"/>
        <v>4636.7999999999884</v>
      </c>
      <c r="BX22" s="220">
        <f t="shared" si="53"/>
        <v>201.59999999999948</v>
      </c>
      <c r="BY22" s="224">
        <f t="shared" si="54"/>
        <v>403.19999999999897</v>
      </c>
      <c r="BZ22" s="221">
        <f t="shared" si="55"/>
        <v>5039.9999999999873</v>
      </c>
      <c r="CA22" s="222">
        <f>SUM($BU$18:BZ22)</f>
        <v>131039.99999999991</v>
      </c>
      <c r="CB22" s="224">
        <f t="shared" si="61"/>
        <v>4283.7359999999762</v>
      </c>
      <c r="CC22" s="220">
        <f t="shared" si="62"/>
        <v>-1798.0340000000215</v>
      </c>
      <c r="CD22" s="220">
        <f t="shared" si="63"/>
        <v>4310.3189999999813</v>
      </c>
      <c r="CE22" s="220">
        <f t="shared" si="64"/>
        <v>475.76799999999912</v>
      </c>
      <c r="CF22" s="220">
        <f t="shared" si="65"/>
        <v>-2107.1140000000019</v>
      </c>
      <c r="CG22" s="221">
        <f t="shared" si="66"/>
        <v>7726.9689999999719</v>
      </c>
      <c r="CH22" s="232">
        <f>(SUM(I18:I22)+SUM(C18:C22))/SUM(BU18:BU22)</f>
        <v>1.0623694059563633</v>
      </c>
      <c r="CI22" s="233">
        <f t="shared" ref="CI22:CM22" si="82">(SUM(J18:J22)+SUM(D18:D22))/SUM(BV18:BV22)</f>
        <v>1.3867849805109427</v>
      </c>
      <c r="CJ22" s="233">
        <f t="shared" si="82"/>
        <v>1.2057075834793234</v>
      </c>
      <c r="CK22" s="233">
        <f t="shared" si="82"/>
        <v>0.63692918192918246</v>
      </c>
      <c r="CL22" s="233">
        <f t="shared" si="82"/>
        <v>2.1670272435897449</v>
      </c>
      <c r="CM22" s="237">
        <f t="shared" si="82"/>
        <v>0.81111892551892617</v>
      </c>
    </row>
    <row r="23" spans="1:91" ht="14.25">
      <c r="A23" s="91">
        <v>44534</v>
      </c>
      <c r="B23" s="92">
        <v>6</v>
      </c>
      <c r="C23" s="79">
        <f>2218.85+40.024</f>
        <v>2258.8739999999998</v>
      </c>
      <c r="D23" s="80">
        <v>1474.193</v>
      </c>
      <c r="E23" s="80">
        <f>606.558</f>
        <v>606.55799999999999</v>
      </c>
      <c r="F23" s="80">
        <v>0</v>
      </c>
      <c r="G23" s="80">
        <v>275.19</v>
      </c>
      <c r="H23" s="80">
        <f>34.947+138.802+3204.244+394.709+775.364</f>
        <v>4548.0659999999998</v>
      </c>
      <c r="I23" s="98">
        <v>2104.36</v>
      </c>
      <c r="J23" s="98">
        <v>1303</v>
      </c>
      <c r="K23" s="98">
        <f>1797.6+208</f>
        <v>2005.6</v>
      </c>
      <c r="L23" s="98">
        <v>0</v>
      </c>
      <c r="M23" s="98">
        <v>103</v>
      </c>
      <c r="N23" s="99">
        <f>1131.52+0.08</f>
        <v>1131.5999999999999</v>
      </c>
      <c r="O23" s="107">
        <f>SUM($C$18:N23)</f>
        <v>164503.019</v>
      </c>
      <c r="P23" s="109">
        <f t="shared" si="20"/>
        <v>151200</v>
      </c>
      <c r="Q23" s="123">
        <v>0.23</v>
      </c>
      <c r="R23" s="124">
        <v>0.26</v>
      </c>
      <c r="S23" s="124">
        <v>0.23</v>
      </c>
      <c r="T23" s="124">
        <v>0.01</v>
      </c>
      <c r="U23" s="124">
        <v>0.02</v>
      </c>
      <c r="V23" s="125">
        <v>0.25</v>
      </c>
      <c r="W23" s="138">
        <v>0.73</v>
      </c>
      <c r="X23" s="139">
        <v>0.54</v>
      </c>
      <c r="Y23" s="139">
        <v>0.43</v>
      </c>
      <c r="Z23" s="139">
        <v>0.78</v>
      </c>
      <c r="AA23" s="139">
        <v>0.28000000000000003</v>
      </c>
      <c r="AB23" s="139">
        <v>0.5</v>
      </c>
      <c r="AC23" s="152">
        <v>6.6666666666666693E-2</v>
      </c>
      <c r="AD23" s="146">
        <f t="shared" si="27"/>
        <v>1692.4320000000007</v>
      </c>
      <c r="AE23" s="147">
        <f t="shared" si="28"/>
        <v>1415.2320000000007</v>
      </c>
      <c r="AF23" s="147">
        <f t="shared" si="29"/>
        <v>996.91200000000038</v>
      </c>
      <c r="AG23" s="147">
        <f t="shared" si="30"/>
        <v>78.624000000000038</v>
      </c>
      <c r="AH23" s="147">
        <f t="shared" si="31"/>
        <v>56.448000000000029</v>
      </c>
      <c r="AI23" s="158">
        <f t="shared" si="32"/>
        <v>1260.0000000000005</v>
      </c>
      <c r="AJ23" s="163">
        <f>SUM(AD18:AD23)-SUM(C18:C22)</f>
        <v>4401.2439999999842</v>
      </c>
      <c r="AK23" s="164">
        <f t="shared" ref="AK23:AO23" si="83">SUM(AE18:AE23)-SUM(D18:D22)</f>
        <v>1170.1289999999899</v>
      </c>
      <c r="AL23" s="164">
        <f t="shared" si="83"/>
        <v>-2325.17400000001</v>
      </c>
      <c r="AM23" s="164">
        <f t="shared" si="83"/>
        <v>666.10399999999936</v>
      </c>
      <c r="AN23" s="164">
        <f t="shared" si="83"/>
        <v>-2066.1130000000003</v>
      </c>
      <c r="AO23" s="181">
        <f t="shared" si="83"/>
        <v>-3788.416000000012</v>
      </c>
      <c r="AP23" s="182">
        <f>SUM(C18:C23)/SUM(AD18:AD23)</f>
        <v>0.90958193382574448</v>
      </c>
      <c r="AQ23" s="183">
        <f t="shared" ref="AQ23:AU23" si="84">SUM(D18:D23)/SUM(AE18:AE23)</f>
        <v>1.015346499473484</v>
      </c>
      <c r="AR23" s="183">
        <f t="shared" si="84"/>
        <v>1.2100580879470098</v>
      </c>
      <c r="AS23" s="183">
        <f t="shared" si="84"/>
        <v>0.39485580557009148</v>
      </c>
      <c r="AT23" s="183">
        <f t="shared" si="84"/>
        <v>3.9626546303045052</v>
      </c>
      <c r="AU23" s="184">
        <f t="shared" si="84"/>
        <v>1.4725896825396836</v>
      </c>
      <c r="AV23" s="172">
        <f t="shared" si="35"/>
        <v>0.27</v>
      </c>
      <c r="AW23" s="172">
        <f t="shared" si="36"/>
        <v>0.45999999999999996</v>
      </c>
      <c r="AX23" s="172">
        <f t="shared" si="37"/>
        <v>0.57000000000000006</v>
      </c>
      <c r="AY23" s="172">
        <f t="shared" si="38"/>
        <v>0.21999999999999997</v>
      </c>
      <c r="AZ23" s="172">
        <f t="shared" si="39"/>
        <v>0.72</v>
      </c>
      <c r="BA23" s="172">
        <f t="shared" si="40"/>
        <v>0.5</v>
      </c>
      <c r="BB23" s="191">
        <f t="shared" si="41"/>
        <v>0.93333333333333335</v>
      </c>
      <c r="BC23" s="192">
        <f t="shared" si="42"/>
        <v>625.9680000000003</v>
      </c>
      <c r="BD23" s="192">
        <f t="shared" si="43"/>
        <v>1205.5680000000004</v>
      </c>
      <c r="BE23" s="192">
        <f t="shared" si="44"/>
        <v>1321.4880000000007</v>
      </c>
      <c r="BF23" s="192">
        <f t="shared" si="45"/>
        <v>22.176000000000005</v>
      </c>
      <c r="BG23" s="192">
        <f t="shared" si="46"/>
        <v>145.15200000000004</v>
      </c>
      <c r="BH23" s="158">
        <f t="shared" si="47"/>
        <v>1260.0000000000005</v>
      </c>
      <c r="BI23" s="198">
        <f>SUM(BC18:BC23)-SUM(I18:I22)</f>
        <v>-3962.6080000000056</v>
      </c>
      <c r="BJ23" s="199">
        <f t="shared" ref="BJ23:BN23" si="85">SUM(BD18:BD23)-SUM(J18:J22)</f>
        <v>-11727.248000000011</v>
      </c>
      <c r="BK23" s="199">
        <f t="shared" si="85"/>
        <v>-1556.2880000000077</v>
      </c>
      <c r="BL23" s="199">
        <f t="shared" si="85"/>
        <v>-89.536000000000229</v>
      </c>
      <c r="BM23" s="199">
        <f t="shared" si="85"/>
        <v>-790.8320000000017</v>
      </c>
      <c r="BN23" s="209">
        <f t="shared" si="85"/>
        <v>12496.159999999985</v>
      </c>
      <c r="BO23" s="210">
        <f>SUM(I18:I23)/SUM(BC18:BC23)</f>
        <v>1.6922955440898861</v>
      </c>
      <c r="BP23" s="211">
        <f t="shared" ref="BP23:BT23" si="86">SUM(J18:J23)/SUM(BD18:BD23)</f>
        <v>1.7720277910495315</v>
      </c>
      <c r="BQ23" s="211">
        <f t="shared" si="86"/>
        <v>1.1925258280276265</v>
      </c>
      <c r="BR23" s="211">
        <f t="shared" si="86"/>
        <v>1.2883941455370036</v>
      </c>
      <c r="BS23" s="211">
        <f t="shared" si="86"/>
        <v>1.4398502456538183</v>
      </c>
      <c r="BT23" s="212">
        <f t="shared" si="86"/>
        <v>0.35575056689342438</v>
      </c>
      <c r="BU23" s="220">
        <f t="shared" si="50"/>
        <v>2318.400000000001</v>
      </c>
      <c r="BV23" s="220">
        <f t="shared" si="51"/>
        <v>2620.8000000000011</v>
      </c>
      <c r="BW23" s="220">
        <f t="shared" si="52"/>
        <v>2318.400000000001</v>
      </c>
      <c r="BX23" s="220">
        <f t="shared" si="53"/>
        <v>100.80000000000004</v>
      </c>
      <c r="BY23" s="224">
        <f t="shared" si="54"/>
        <v>201.60000000000008</v>
      </c>
      <c r="BZ23" s="221">
        <f t="shared" si="55"/>
        <v>2520.0000000000009</v>
      </c>
      <c r="CA23" s="222">
        <f>SUM($BU$18:BZ23)</f>
        <v>141119.99999999988</v>
      </c>
      <c r="CB23" s="224">
        <f t="shared" si="61"/>
        <v>438.63599999997859</v>
      </c>
      <c r="CC23" s="220">
        <f t="shared" si="62"/>
        <v>-10557.119000000021</v>
      </c>
      <c r="CD23" s="220">
        <f t="shared" si="63"/>
        <v>-3881.4620000000177</v>
      </c>
      <c r="CE23" s="220">
        <f t="shared" si="64"/>
        <v>576.56799999999907</v>
      </c>
      <c r="CF23" s="220">
        <f t="shared" si="65"/>
        <v>-2856.945000000002</v>
      </c>
      <c r="CG23" s="221">
        <f t="shared" si="66"/>
        <v>8707.7439999999733</v>
      </c>
      <c r="CH23" s="232">
        <f>(SUM(I18:I23)+SUM(C18:C23))/SUM(BU18:BU23)</f>
        <v>1.1209146085970627</v>
      </c>
      <c r="CI23" s="233">
        <f t="shared" ref="CI23:CM23" si="87">(SUM(J18:J23)+SUM(D18:D23))/SUM(BV18:BV23)</f>
        <v>1.3634198935984656</v>
      </c>
      <c r="CJ23" s="233">
        <f t="shared" si="87"/>
        <v>1.2000646997929614</v>
      </c>
      <c r="CK23" s="233">
        <f t="shared" si="87"/>
        <v>0.59143424036281234</v>
      </c>
      <c r="CL23" s="233">
        <f t="shared" si="87"/>
        <v>2.1462354733560107</v>
      </c>
      <c r="CM23" s="237">
        <f t="shared" si="87"/>
        <v>0.91417012471655401</v>
      </c>
    </row>
    <row r="24" spans="1:91" ht="14.25">
      <c r="A24" s="81">
        <v>44535</v>
      </c>
      <c r="B24" s="82">
        <v>7</v>
      </c>
      <c r="C24" s="83">
        <f>1225.078+70.42</f>
        <v>1295.498</v>
      </c>
      <c r="D24" s="84">
        <v>637.95600000000002</v>
      </c>
      <c r="E24" s="84">
        <f>103.53</f>
        <v>103.53</v>
      </c>
      <c r="F24" s="84">
        <v>0</v>
      </c>
      <c r="G24" s="84">
        <v>137.30799999999999</v>
      </c>
      <c r="H24" s="84">
        <f>501+32.24+246.268</f>
        <v>779.50800000000004</v>
      </c>
      <c r="I24" s="101">
        <f>1345.28</f>
        <v>1345.28</v>
      </c>
      <c r="J24" s="101">
        <f>1398.56</f>
        <v>1398.56</v>
      </c>
      <c r="K24" s="101">
        <f>465.92</f>
        <v>465.92</v>
      </c>
      <c r="L24" s="101">
        <v>0</v>
      </c>
      <c r="M24" s="101">
        <v>0</v>
      </c>
      <c r="N24" s="102">
        <f>501+33.28+6.24</f>
        <v>540.52</v>
      </c>
      <c r="O24" s="107">
        <f>SUM($C$18:N24)</f>
        <v>171207.09899999999</v>
      </c>
      <c r="P24" s="110">
        <f t="shared" si="20"/>
        <v>151200</v>
      </c>
      <c r="Q24" s="128">
        <v>0.23</v>
      </c>
      <c r="R24" s="129">
        <v>0.26</v>
      </c>
      <c r="S24" s="129">
        <v>0.23</v>
      </c>
      <c r="T24" s="129">
        <v>0.01</v>
      </c>
      <c r="U24" s="129">
        <v>0.02</v>
      </c>
      <c r="V24" s="130">
        <v>0.25</v>
      </c>
      <c r="W24" s="140">
        <v>0.73</v>
      </c>
      <c r="X24" s="141">
        <v>0.54</v>
      </c>
      <c r="Y24" s="141">
        <v>0.43</v>
      </c>
      <c r="Z24" s="141">
        <v>0.78</v>
      </c>
      <c r="AA24" s="141">
        <v>0.28000000000000003</v>
      </c>
      <c r="AB24" s="141">
        <v>0.5</v>
      </c>
      <c r="AC24" s="153">
        <v>6.6666666666666693E-2</v>
      </c>
      <c r="AD24" s="149">
        <f t="shared" si="27"/>
        <v>1692.4320000000007</v>
      </c>
      <c r="AE24" s="150">
        <f t="shared" si="28"/>
        <v>1415.2320000000007</v>
      </c>
      <c r="AF24" s="150">
        <f t="shared" si="29"/>
        <v>996.91200000000038</v>
      </c>
      <c r="AG24" s="150">
        <f t="shared" si="30"/>
        <v>78.624000000000038</v>
      </c>
      <c r="AH24" s="150">
        <f t="shared" si="31"/>
        <v>56.448000000000029</v>
      </c>
      <c r="AI24" s="159">
        <f t="shared" si="32"/>
        <v>1260.0000000000005</v>
      </c>
      <c r="AJ24" s="165">
        <f>SUM(AD18:AD24)-SUM(C18:C23)</f>
        <v>3834.8019999999851</v>
      </c>
      <c r="AK24" s="166">
        <f t="shared" ref="AK24:AO24" si="88">SUM(AE18:AE24)-SUM(D18:D23)</f>
        <v>1111.1679999999906</v>
      </c>
      <c r="AL24" s="166">
        <f t="shared" si="88"/>
        <v>-1934.8200000000088</v>
      </c>
      <c r="AM24" s="166">
        <f t="shared" si="88"/>
        <v>744.72799999999938</v>
      </c>
      <c r="AN24" s="166">
        <f t="shared" si="88"/>
        <v>-2284.8550000000005</v>
      </c>
      <c r="AO24" s="185">
        <f t="shared" si="88"/>
        <v>-7076.4820000000109</v>
      </c>
      <c r="AP24" s="186">
        <f>SUM(C18:C24)/SUM(AD18:AD24)</f>
        <v>0.89997415947386217</v>
      </c>
      <c r="AQ24" s="187">
        <f t="shared" ref="AQ24:AU24" si="89">SUM(D18:D24)/SUM(AE18:AE24)</f>
        <v>0.97770862539381098</v>
      </c>
      <c r="AR24" s="187">
        <f t="shared" si="89"/>
        <v>1.1363109281461159</v>
      </c>
      <c r="AS24" s="187">
        <f t="shared" si="89"/>
        <v>0.36853208519875202</v>
      </c>
      <c r="AT24" s="187">
        <f t="shared" si="89"/>
        <v>3.8606422430083165</v>
      </c>
      <c r="AU24" s="188">
        <f t="shared" si="89"/>
        <v>1.4156608465608476</v>
      </c>
      <c r="AV24" s="176">
        <f t="shared" si="35"/>
        <v>0.27</v>
      </c>
      <c r="AW24" s="176">
        <f t="shared" si="36"/>
        <v>0.45999999999999996</v>
      </c>
      <c r="AX24" s="176">
        <f t="shared" si="37"/>
        <v>0.57000000000000006</v>
      </c>
      <c r="AY24" s="176">
        <f t="shared" si="38"/>
        <v>0.21999999999999997</v>
      </c>
      <c r="AZ24" s="176">
        <f t="shared" si="39"/>
        <v>0.72</v>
      </c>
      <c r="BA24" s="176">
        <f t="shared" si="40"/>
        <v>0.5</v>
      </c>
      <c r="BB24" s="193">
        <f t="shared" si="41"/>
        <v>0.93333333333333335</v>
      </c>
      <c r="BC24" s="150">
        <f t="shared" si="42"/>
        <v>625.9680000000003</v>
      </c>
      <c r="BD24" s="150">
        <f t="shared" si="43"/>
        <v>1205.5680000000004</v>
      </c>
      <c r="BE24" s="150">
        <f t="shared" si="44"/>
        <v>1321.4880000000007</v>
      </c>
      <c r="BF24" s="150">
        <f t="shared" si="45"/>
        <v>22.176000000000005</v>
      </c>
      <c r="BG24" s="150">
        <f t="shared" si="46"/>
        <v>145.15200000000004</v>
      </c>
      <c r="BH24" s="159">
        <f t="shared" si="47"/>
        <v>1260.0000000000005</v>
      </c>
      <c r="BI24" s="200">
        <f>SUM(BC18:BC24)-SUM(I18:I23)</f>
        <v>-5441.0000000000055</v>
      </c>
      <c r="BJ24" s="201">
        <f t="shared" ref="BJ24:BN24" si="90">SUM(BD18:BD24)-SUM(J18:J23)</f>
        <v>-11824.680000000011</v>
      </c>
      <c r="BK24" s="201">
        <f t="shared" si="90"/>
        <v>-2240.4000000000051</v>
      </c>
      <c r="BL24" s="201">
        <f t="shared" si="90"/>
        <v>-67.360000000000241</v>
      </c>
      <c r="BM24" s="201">
        <f t="shared" si="90"/>
        <v>-748.68000000000166</v>
      </c>
      <c r="BN24" s="213">
        <f t="shared" si="90"/>
        <v>12624.559999999985</v>
      </c>
      <c r="BO24" s="214">
        <f>SUM(I18:I24)/SUM(BC18:BC24)</f>
        <v>1.7227504707375894</v>
      </c>
      <c r="BP24" s="215">
        <f t="shared" ref="BP24:BT24" si="91">SUM(J18:J24)/SUM(BD18:BD24)</f>
        <v>1.7312315301445749</v>
      </c>
      <c r="BQ24" s="215">
        <f t="shared" si="91"/>
        <v>1.1365289229515014</v>
      </c>
      <c r="BR24" s="215">
        <f t="shared" si="91"/>
        <v>1.2025012025012034</v>
      </c>
      <c r="BS24" s="215">
        <f t="shared" si="91"/>
        <v>1.3438602292768969</v>
      </c>
      <c r="BT24" s="216">
        <f t="shared" si="91"/>
        <v>0.36063280423280458</v>
      </c>
      <c r="BU24" s="223">
        <f t="shared" si="50"/>
        <v>2318.400000000001</v>
      </c>
      <c r="BV24" s="223">
        <f t="shared" si="51"/>
        <v>2620.8000000000011</v>
      </c>
      <c r="BW24" s="223">
        <f t="shared" si="52"/>
        <v>2318.400000000001</v>
      </c>
      <c r="BX24" s="223">
        <f t="shared" si="53"/>
        <v>100.80000000000004</v>
      </c>
      <c r="BY24" s="223">
        <f t="shared" si="54"/>
        <v>201.60000000000008</v>
      </c>
      <c r="BZ24" s="228">
        <f t="shared" si="55"/>
        <v>2520.0000000000009</v>
      </c>
      <c r="CA24" s="222">
        <f>SUM($BU$18:BZ24)</f>
        <v>151199.99999999985</v>
      </c>
      <c r="CB24" s="223">
        <f t="shared" si="61"/>
        <v>-1606.1980000000203</v>
      </c>
      <c r="CC24" s="223">
        <f t="shared" si="62"/>
        <v>-10713.512000000021</v>
      </c>
      <c r="CD24" s="223">
        <f t="shared" si="63"/>
        <v>-4175.2200000000139</v>
      </c>
      <c r="CE24" s="223">
        <f t="shared" si="64"/>
        <v>677.36799999999914</v>
      </c>
      <c r="CF24" s="223">
        <f t="shared" si="65"/>
        <v>-3033.5350000000021</v>
      </c>
      <c r="CG24" s="228">
        <f t="shared" si="66"/>
        <v>5548.0779999999741</v>
      </c>
      <c r="CH24" s="234">
        <f>(SUM(I18:I24)+SUM(C18:C24))/SUM(BU18:BU24)</f>
        <v>1.1221237635150687</v>
      </c>
      <c r="CI24" s="235">
        <f t="shared" ref="CI24:CM24" si="92">(SUM(J18:J24)+SUM(D18:D24))/SUM(BV18:BV24)</f>
        <v>1.3243291615791619</v>
      </c>
      <c r="CJ24" s="235">
        <f t="shared" si="92"/>
        <v>1.1364351851851859</v>
      </c>
      <c r="CK24" s="235">
        <f t="shared" si="92"/>
        <v>0.5520052910052915</v>
      </c>
      <c r="CL24" s="235">
        <f t="shared" si="92"/>
        <v>2.0485591931216947</v>
      </c>
      <c r="CM24" s="238">
        <f t="shared" si="92"/>
        <v>0.88814682539682599</v>
      </c>
    </row>
    <row r="25" spans="1:91" ht="14.25">
      <c r="A25" s="75">
        <v>44536</v>
      </c>
      <c r="B25" s="76">
        <v>1</v>
      </c>
      <c r="C25" s="77"/>
      <c r="D25" s="78"/>
      <c r="E25" s="78"/>
      <c r="F25" s="78"/>
      <c r="G25" s="78"/>
      <c r="H25" s="78"/>
      <c r="I25" s="94"/>
      <c r="J25" s="94"/>
      <c r="K25" s="94"/>
      <c r="L25" s="94"/>
      <c r="M25" s="94"/>
      <c r="N25" s="95"/>
      <c r="O25" s="107">
        <f>SUM($C$25:N25)</f>
        <v>0</v>
      </c>
      <c r="P25" s="108">
        <f t="shared" si="20"/>
        <v>151200</v>
      </c>
      <c r="Q25" s="133">
        <v>0.23</v>
      </c>
      <c r="R25" s="134">
        <v>0.26</v>
      </c>
      <c r="S25" s="134">
        <v>0.23</v>
      </c>
      <c r="T25" s="134">
        <v>0.01</v>
      </c>
      <c r="U25" s="134">
        <v>0.02</v>
      </c>
      <c r="V25" s="135">
        <v>0.25</v>
      </c>
      <c r="W25" s="136">
        <v>0.73</v>
      </c>
      <c r="X25" s="137">
        <v>0.54</v>
      </c>
      <c r="Y25" s="137">
        <v>0.43</v>
      </c>
      <c r="Z25" s="137">
        <v>0.78</v>
      </c>
      <c r="AA25" s="137">
        <v>0.28000000000000003</v>
      </c>
      <c r="AB25" s="137">
        <v>0.5</v>
      </c>
      <c r="AC25" s="151">
        <v>0.2</v>
      </c>
      <c r="AD25" s="146">
        <f t="shared" ref="AD25:AD52" si="93">$P25*$AC25*Q25*W25</f>
        <v>5077.2960000000003</v>
      </c>
      <c r="AE25" s="147">
        <f t="shared" ref="AE25:AE52" si="94">$P25*$AC25*R25*X25</f>
        <v>4245.6960000000008</v>
      </c>
      <c r="AF25" s="147">
        <f t="shared" ref="AF25:AF52" si="95">$P25*$AC25*S25*Y25</f>
        <v>2990.7360000000003</v>
      </c>
      <c r="AG25" s="147">
        <f t="shared" ref="AG25:AG52" si="96">$P25*$AC25*T25*Z25</f>
        <v>235.87200000000004</v>
      </c>
      <c r="AH25" s="147">
        <f t="shared" ref="AH25:AH52" si="97">$P25*$AC25*U25*AA25</f>
        <v>169.34400000000002</v>
      </c>
      <c r="AI25" s="158">
        <f t="shared" ref="AI25:AI52" si="98">$P25*$AC25*V25*AB25</f>
        <v>3780</v>
      </c>
      <c r="AJ25" s="161">
        <f>AD25</f>
        <v>5077.2960000000003</v>
      </c>
      <c r="AK25" s="162">
        <f t="shared" ref="AK25" si="99">AE25</f>
        <v>4245.6960000000008</v>
      </c>
      <c r="AL25" s="162">
        <f t="shared" ref="AL25" si="100">AF25</f>
        <v>2990.7360000000003</v>
      </c>
      <c r="AM25" s="162">
        <f t="shared" ref="AM25" si="101">AG25</f>
        <v>235.87200000000004</v>
      </c>
      <c r="AN25" s="162">
        <f t="shared" ref="AN25" si="102">AH25</f>
        <v>169.34400000000002</v>
      </c>
      <c r="AO25" s="177">
        <f t="shared" ref="AO25" si="103">AI25</f>
        <v>3780</v>
      </c>
      <c r="AP25" s="178">
        <f>SUM(C25:C25)/SUM(AD25:AD25)</f>
        <v>0</v>
      </c>
      <c r="AQ25" s="179">
        <f t="shared" ref="AQ25" si="104">SUM(D25:D25)/SUM(AE25:AE25)</f>
        <v>0</v>
      </c>
      <c r="AR25" s="179">
        <f t="shared" ref="AR25" si="105">SUM(E25:E25)/SUM(AF25:AF25)</f>
        <v>0</v>
      </c>
      <c r="AS25" s="179">
        <f t="shared" ref="AS25" si="106">SUM(F25:F25)/SUM(AG25:AG25)</f>
        <v>0</v>
      </c>
      <c r="AT25" s="179">
        <f t="shared" ref="AT25" si="107">SUM(G25:G25)/SUM(AH25:AH25)</f>
        <v>0</v>
      </c>
      <c r="AU25" s="180">
        <f t="shared" ref="AU25" si="108">SUM(H25:H25)/SUM(AI25:AI25)</f>
        <v>0</v>
      </c>
      <c r="AV25" s="172">
        <f t="shared" ref="AV25:AV52" si="109">1-W25</f>
        <v>0.27</v>
      </c>
      <c r="AW25" s="172">
        <f t="shared" ref="AW25:AW52" si="110">1-X25</f>
        <v>0.45999999999999996</v>
      </c>
      <c r="AX25" s="172">
        <f t="shared" ref="AX25:AX52" si="111">1-Y25</f>
        <v>0.57000000000000006</v>
      </c>
      <c r="AY25" s="172">
        <f t="shared" ref="AY25:AY52" si="112">1-Z25</f>
        <v>0.21999999999999997</v>
      </c>
      <c r="AZ25" s="172">
        <f t="shared" ref="AZ25:AZ52" si="113">1-AA25</f>
        <v>0.72</v>
      </c>
      <c r="BA25" s="172">
        <f t="shared" ref="BA25:BA52" si="114">1-AB25</f>
        <v>0.5</v>
      </c>
      <c r="BB25" s="191">
        <f t="shared" ref="BB25:BB52" si="115">1-AC25</f>
        <v>0.8</v>
      </c>
      <c r="BC25" s="192">
        <f t="shared" ref="BC25:BC52" si="116">$P25*$AC25*Q25*AV25</f>
        <v>1877.9040000000002</v>
      </c>
      <c r="BD25" s="192">
        <f t="shared" ref="BD25:BD52" si="117">$P25*$AC25*R25*AW25</f>
        <v>3616.7040000000002</v>
      </c>
      <c r="BE25" s="192">
        <f t="shared" ref="BE25:BE52" si="118">$P25*$AC25*S25*AX25</f>
        <v>3964.4640000000009</v>
      </c>
      <c r="BF25" s="192">
        <f t="shared" ref="BF25:BF52" si="119">$P25*$AC25*T25*AY25</f>
        <v>66.528000000000006</v>
      </c>
      <c r="BG25" s="192">
        <f t="shared" ref="BG25:BG52" si="120">$P25*$AC25*U25*AZ25</f>
        <v>435.45600000000002</v>
      </c>
      <c r="BH25" s="158">
        <f t="shared" ref="BH25:BH52" si="121">$P25*$AC25*V25*BA25</f>
        <v>3780</v>
      </c>
      <c r="BI25" s="196">
        <f>BC25</f>
        <v>1877.9040000000002</v>
      </c>
      <c r="BJ25" s="197">
        <f t="shared" ref="BJ25" si="122">BD25</f>
        <v>3616.7040000000002</v>
      </c>
      <c r="BK25" s="197">
        <f t="shared" ref="BK25" si="123">BE25</f>
        <v>3964.4640000000009</v>
      </c>
      <c r="BL25" s="197">
        <f t="shared" ref="BL25" si="124">BF25</f>
        <v>66.528000000000006</v>
      </c>
      <c r="BM25" s="197">
        <f t="shared" ref="BM25" si="125">BG25</f>
        <v>435.45600000000002</v>
      </c>
      <c r="BN25" s="205">
        <f t="shared" ref="BN25" si="126">BH25</f>
        <v>3780</v>
      </c>
      <c r="BO25" s="206">
        <f>SUM(I25:I25)/SUM(BC25:BC25)</f>
        <v>0</v>
      </c>
      <c r="BP25" s="207">
        <f t="shared" ref="BP25" si="127">SUM(J25:J25)/SUM(BD25:BD25)</f>
        <v>0</v>
      </c>
      <c r="BQ25" s="207">
        <f t="shared" ref="BQ25" si="128">SUM(K25:K25)/SUM(BE25:BE25)</f>
        <v>0</v>
      </c>
      <c r="BR25" s="207">
        <f t="shared" ref="BR25" si="129">SUM(L25:L25)/SUM(BF25:BF25)</f>
        <v>0</v>
      </c>
      <c r="BS25" s="207">
        <f t="shared" ref="BS25" si="130">SUM(M25:M25)/SUM(BG25:BG25)</f>
        <v>0</v>
      </c>
      <c r="BT25" s="208">
        <f t="shared" ref="BT25" si="131">SUM(N25:N25)/SUM(BH25:BH25)</f>
        <v>0</v>
      </c>
      <c r="BU25" s="220">
        <f t="shared" ref="BU25:BU52" si="132">BC25+AD25</f>
        <v>6955.2000000000007</v>
      </c>
      <c r="BV25" s="220">
        <f t="shared" ref="BV25:BV52" si="133">BD25+AE25</f>
        <v>7862.4000000000015</v>
      </c>
      <c r="BW25" s="220">
        <f t="shared" ref="BW25:BW52" si="134">BE25+AF25</f>
        <v>6955.2000000000007</v>
      </c>
      <c r="BX25" s="220">
        <f t="shared" ref="BX25:BX52" si="135">BF25+AG25</f>
        <v>302.40000000000003</v>
      </c>
      <c r="BY25" s="225">
        <f t="shared" ref="BY25:BY52" si="136">BG25+AH25</f>
        <v>604.80000000000007</v>
      </c>
      <c r="BZ25" s="226">
        <f t="shared" ref="BZ25:BZ52" si="137">BH25+AI25</f>
        <v>7560</v>
      </c>
      <c r="CA25" s="227">
        <f>SUM($BU$25:BZ25)</f>
        <v>30240.000000000004</v>
      </c>
      <c r="CB25" s="225">
        <f t="shared" si="61"/>
        <v>6955.2000000000007</v>
      </c>
      <c r="CC25" s="220">
        <f t="shared" si="62"/>
        <v>7862.4000000000015</v>
      </c>
      <c r="CD25" s="220">
        <f t="shared" si="63"/>
        <v>6955.2000000000007</v>
      </c>
      <c r="CE25" s="220">
        <f t="shared" si="64"/>
        <v>302.40000000000003</v>
      </c>
      <c r="CF25" s="220">
        <f t="shared" si="65"/>
        <v>604.80000000000007</v>
      </c>
      <c r="CG25" s="221">
        <f t="shared" si="66"/>
        <v>7560</v>
      </c>
      <c r="CH25" s="230">
        <f>(SUM(I25:I25)+SUM(C25:C25))/SUM(BU25:BU25)</f>
        <v>0</v>
      </c>
      <c r="CI25" s="231">
        <f t="shared" ref="CI25" si="138">(SUM(J25:J25)+SUM(D25:D25))/SUM(BV25:BV25)</f>
        <v>0</v>
      </c>
      <c r="CJ25" s="231">
        <f t="shared" ref="CJ25" si="139">(SUM(K25:K25)+SUM(E25:E25))/SUM(BW25:BW25)</f>
        <v>0</v>
      </c>
      <c r="CK25" s="231">
        <f t="shared" ref="CK25" si="140">(SUM(L25:L25)+SUM(F25:F25))/SUM(BX25:BX25)</f>
        <v>0</v>
      </c>
      <c r="CL25" s="231">
        <f t="shared" ref="CL25" si="141">(SUM(M25:M25)+SUM(G25:G25))/SUM(BY25:BY25)</f>
        <v>0</v>
      </c>
      <c r="CM25" s="236">
        <f t="shared" ref="CM25" si="142">(SUM(N25:N25)+SUM(H25:H25))/SUM(BZ25:BZ25)</f>
        <v>0</v>
      </c>
    </row>
    <row r="26" spans="1:91" ht="14.25">
      <c r="A26" s="75">
        <v>44537</v>
      </c>
      <c r="B26" s="76">
        <v>2</v>
      </c>
      <c r="C26" s="79"/>
      <c r="D26" s="80"/>
      <c r="E26" s="80"/>
      <c r="F26" s="80"/>
      <c r="G26" s="80"/>
      <c r="H26" s="80"/>
      <c r="I26" s="98"/>
      <c r="J26" s="98"/>
      <c r="K26" s="98"/>
      <c r="L26" s="98"/>
      <c r="M26" s="98"/>
      <c r="N26" s="99"/>
      <c r="O26" s="107">
        <f>SUM($C$25:N26)</f>
        <v>0</v>
      </c>
      <c r="P26" s="109">
        <f t="shared" si="20"/>
        <v>151200</v>
      </c>
      <c r="Q26" s="123">
        <v>0.23</v>
      </c>
      <c r="R26" s="124">
        <v>0.26</v>
      </c>
      <c r="S26" s="124">
        <v>0.23</v>
      </c>
      <c r="T26" s="124">
        <v>0.01</v>
      </c>
      <c r="U26" s="124">
        <v>0.02</v>
      </c>
      <c r="V26" s="125">
        <v>0.25</v>
      </c>
      <c r="W26" s="138">
        <v>0.73</v>
      </c>
      <c r="X26" s="139">
        <v>0.54</v>
      </c>
      <c r="Y26" s="139">
        <v>0.43</v>
      </c>
      <c r="Z26" s="139">
        <v>0.78</v>
      </c>
      <c r="AA26" s="139">
        <v>0.28000000000000003</v>
      </c>
      <c r="AB26" s="139">
        <v>0.5</v>
      </c>
      <c r="AC26" s="152">
        <v>0.2</v>
      </c>
      <c r="AD26" s="146">
        <f t="shared" si="93"/>
        <v>5077.2960000000003</v>
      </c>
      <c r="AE26" s="147">
        <f t="shared" si="94"/>
        <v>4245.6960000000008</v>
      </c>
      <c r="AF26" s="147">
        <f t="shared" si="95"/>
        <v>2990.7360000000003</v>
      </c>
      <c r="AG26" s="147">
        <f t="shared" si="96"/>
        <v>235.87200000000004</v>
      </c>
      <c r="AH26" s="147">
        <f t="shared" si="97"/>
        <v>169.34400000000002</v>
      </c>
      <c r="AI26" s="158">
        <f t="shared" si="98"/>
        <v>3780</v>
      </c>
      <c r="AJ26" s="163">
        <f>SUM(AD25:AD26)-SUM(C25:C25)</f>
        <v>10154.592000000001</v>
      </c>
      <c r="AK26" s="164">
        <f t="shared" ref="AK26" si="143">SUM(AE25:AE26)-SUM(D25:D25)</f>
        <v>8491.3920000000016</v>
      </c>
      <c r="AL26" s="164">
        <f t="shared" ref="AL26" si="144">SUM(AF25:AF26)-SUM(E25:E25)</f>
        <v>5981.4720000000007</v>
      </c>
      <c r="AM26" s="164">
        <f t="shared" ref="AM26" si="145">SUM(AG25:AG26)-SUM(F25:F25)</f>
        <v>471.74400000000009</v>
      </c>
      <c r="AN26" s="164">
        <f t="shared" ref="AN26" si="146">SUM(AH25:AH26)-SUM(G25:G25)</f>
        <v>338.68800000000005</v>
      </c>
      <c r="AO26" s="181">
        <f t="shared" ref="AO26" si="147">SUM(AI25:AI26)-SUM(H25:H25)</f>
        <v>7560</v>
      </c>
      <c r="AP26" s="182">
        <f>SUM(C25:C26)/SUM(AD25:AD26)</f>
        <v>0</v>
      </c>
      <c r="AQ26" s="183">
        <f t="shared" ref="AQ26" si="148">SUM(D25:D26)/SUM(AE25:AE26)</f>
        <v>0</v>
      </c>
      <c r="AR26" s="183">
        <f t="shared" ref="AR26" si="149">SUM(E25:E26)/SUM(AF25:AF26)</f>
        <v>0</v>
      </c>
      <c r="AS26" s="183">
        <f t="shared" ref="AS26" si="150">SUM(F25:F26)/SUM(AG25:AG26)</f>
        <v>0</v>
      </c>
      <c r="AT26" s="183">
        <f t="shared" ref="AT26" si="151">SUM(G25:G26)/SUM(AH25:AH26)</f>
        <v>0</v>
      </c>
      <c r="AU26" s="184">
        <f t="shared" ref="AU26" si="152">SUM(H25:H26)/SUM(AI25:AI26)</f>
        <v>0</v>
      </c>
      <c r="AV26" s="172">
        <f t="shared" si="109"/>
        <v>0.27</v>
      </c>
      <c r="AW26" s="172">
        <f t="shared" si="110"/>
        <v>0.45999999999999996</v>
      </c>
      <c r="AX26" s="172">
        <f t="shared" si="111"/>
        <v>0.57000000000000006</v>
      </c>
      <c r="AY26" s="172">
        <f t="shared" si="112"/>
        <v>0.21999999999999997</v>
      </c>
      <c r="AZ26" s="172">
        <f t="shared" si="113"/>
        <v>0.72</v>
      </c>
      <c r="BA26" s="172">
        <f t="shared" si="114"/>
        <v>0.5</v>
      </c>
      <c r="BB26" s="191">
        <f t="shared" si="115"/>
        <v>0.8</v>
      </c>
      <c r="BC26" s="192">
        <f t="shared" si="116"/>
        <v>1877.9040000000002</v>
      </c>
      <c r="BD26" s="192">
        <f t="shared" si="117"/>
        <v>3616.7040000000002</v>
      </c>
      <c r="BE26" s="192">
        <f t="shared" si="118"/>
        <v>3964.4640000000009</v>
      </c>
      <c r="BF26" s="192">
        <f t="shared" si="119"/>
        <v>66.528000000000006</v>
      </c>
      <c r="BG26" s="192">
        <f t="shared" si="120"/>
        <v>435.45600000000002</v>
      </c>
      <c r="BH26" s="158">
        <f t="shared" si="121"/>
        <v>3780</v>
      </c>
      <c r="BI26" s="198">
        <f>SUM(BC25:BC26)-SUM(I25:I25)</f>
        <v>3755.8080000000004</v>
      </c>
      <c r="BJ26" s="199">
        <f t="shared" ref="BJ26" si="153">SUM(BD25:BD26)-SUM(J25:J25)</f>
        <v>7233.4080000000004</v>
      </c>
      <c r="BK26" s="199">
        <f t="shared" ref="BK26" si="154">SUM(BE25:BE26)-SUM(K25:K25)</f>
        <v>7928.9280000000017</v>
      </c>
      <c r="BL26" s="199">
        <f t="shared" ref="BL26" si="155">SUM(BF25:BF26)-SUM(L25:L25)</f>
        <v>133.05600000000001</v>
      </c>
      <c r="BM26" s="199">
        <f t="shared" ref="BM26" si="156">SUM(BG25:BG26)-SUM(M25:M25)</f>
        <v>870.91200000000003</v>
      </c>
      <c r="BN26" s="209">
        <f t="shared" ref="BN26" si="157">SUM(BH25:BH26)-SUM(N25:N25)</f>
        <v>7560</v>
      </c>
      <c r="BO26" s="210">
        <f>SUM(I25:I26)/SUM(BC25:BC26)</f>
        <v>0</v>
      </c>
      <c r="BP26" s="211">
        <f t="shared" ref="BP26" si="158">SUM(J25:J26)/SUM(BD25:BD26)</f>
        <v>0</v>
      </c>
      <c r="BQ26" s="211">
        <f t="shared" ref="BQ26" si="159">SUM(K25:K26)/SUM(BE25:BE26)</f>
        <v>0</v>
      </c>
      <c r="BR26" s="211">
        <f t="shared" ref="BR26" si="160">SUM(L25:L26)/SUM(BF25:BF26)</f>
        <v>0</v>
      </c>
      <c r="BS26" s="211">
        <f t="shared" ref="BS26" si="161">SUM(M25:M26)/SUM(BG25:BG26)</f>
        <v>0</v>
      </c>
      <c r="BT26" s="212">
        <f t="shared" ref="BT26" si="162">SUM(N25:N26)/SUM(BH25:BH26)</f>
        <v>0</v>
      </c>
      <c r="BU26" s="220">
        <f t="shared" si="132"/>
        <v>6955.2000000000007</v>
      </c>
      <c r="BV26" s="220">
        <f t="shared" si="133"/>
        <v>7862.4000000000015</v>
      </c>
      <c r="BW26" s="220">
        <f t="shared" si="134"/>
        <v>6955.2000000000007</v>
      </c>
      <c r="BX26" s="220">
        <f t="shared" si="135"/>
        <v>302.40000000000003</v>
      </c>
      <c r="BY26" s="224">
        <f t="shared" si="136"/>
        <v>604.80000000000007</v>
      </c>
      <c r="BZ26" s="221">
        <f t="shared" si="137"/>
        <v>7560</v>
      </c>
      <c r="CA26" s="222">
        <f>SUM($BU$25:BZ26)</f>
        <v>60480.000000000007</v>
      </c>
      <c r="CB26" s="224">
        <f t="shared" ref="CB26:CB52" si="163">AJ26+BI26</f>
        <v>13910.400000000001</v>
      </c>
      <c r="CC26" s="220">
        <f t="shared" ref="CC26:CC52" si="164">AK26+BJ26</f>
        <v>15724.800000000003</v>
      </c>
      <c r="CD26" s="220">
        <f t="shared" ref="CD26:CD52" si="165">AL26+BK26</f>
        <v>13910.400000000001</v>
      </c>
      <c r="CE26" s="220">
        <f t="shared" ref="CE26:CE52" si="166">AM26+BL26</f>
        <v>604.80000000000007</v>
      </c>
      <c r="CF26" s="220">
        <f t="shared" ref="CF26:CF52" si="167">AN26+BM26</f>
        <v>1209.6000000000001</v>
      </c>
      <c r="CG26" s="221">
        <f t="shared" ref="CG26:CG52" si="168">AO26+BN26</f>
        <v>15120</v>
      </c>
      <c r="CH26" s="232">
        <f>(SUM(I25:I26)+SUM(C25:C26))/SUM(BU25:BU26)</f>
        <v>0</v>
      </c>
      <c r="CI26" s="233">
        <f t="shared" ref="CI26" si="169">(SUM(J25:J26)+SUM(D25:D26))/SUM(BV25:BV26)</f>
        <v>0</v>
      </c>
      <c r="CJ26" s="233">
        <f t="shared" ref="CJ26" si="170">(SUM(K25:K26)+SUM(E25:E26))/SUM(BW25:BW26)</f>
        <v>0</v>
      </c>
      <c r="CK26" s="233">
        <f t="shared" ref="CK26" si="171">(SUM(L25:L26)+SUM(F25:F26))/SUM(BX25:BX26)</f>
        <v>0</v>
      </c>
      <c r="CL26" s="233">
        <f t="shared" ref="CL26" si="172">(SUM(M25:M26)+SUM(G25:G26))/SUM(BY25:BY26)</f>
        <v>0</v>
      </c>
      <c r="CM26" s="237">
        <f t="shared" ref="CM26" si="173">(SUM(N25:N26)+SUM(H25:H26))/SUM(BZ25:BZ26)</f>
        <v>0</v>
      </c>
    </row>
    <row r="27" spans="1:91" ht="14.25">
      <c r="A27" s="75">
        <v>44538</v>
      </c>
      <c r="B27" s="76">
        <v>3</v>
      </c>
      <c r="C27" s="79"/>
      <c r="D27" s="80"/>
      <c r="E27" s="80"/>
      <c r="F27" s="80"/>
      <c r="G27" s="80"/>
      <c r="H27" s="80"/>
      <c r="I27" s="98"/>
      <c r="J27" s="98"/>
      <c r="K27" s="98"/>
      <c r="L27" s="98"/>
      <c r="M27" s="98"/>
      <c r="N27" s="99"/>
      <c r="O27" s="107">
        <f>SUM($C$25:N27)</f>
        <v>0</v>
      </c>
      <c r="P27" s="109">
        <f t="shared" si="20"/>
        <v>151200</v>
      </c>
      <c r="Q27" s="123">
        <v>0.23</v>
      </c>
      <c r="R27" s="124">
        <v>0.26</v>
      </c>
      <c r="S27" s="124">
        <v>0.23</v>
      </c>
      <c r="T27" s="124">
        <v>0.01</v>
      </c>
      <c r="U27" s="124">
        <v>0.02</v>
      </c>
      <c r="V27" s="125">
        <v>0.25</v>
      </c>
      <c r="W27" s="138">
        <v>0.73</v>
      </c>
      <c r="X27" s="139">
        <v>0.54</v>
      </c>
      <c r="Y27" s="139">
        <v>0.43</v>
      </c>
      <c r="Z27" s="139">
        <v>0.78</v>
      </c>
      <c r="AA27" s="139">
        <v>0.28000000000000003</v>
      </c>
      <c r="AB27" s="139">
        <v>0.5</v>
      </c>
      <c r="AC27" s="152">
        <v>0.2</v>
      </c>
      <c r="AD27" s="146">
        <f t="shared" si="93"/>
        <v>5077.2960000000003</v>
      </c>
      <c r="AE27" s="147">
        <f t="shared" si="94"/>
        <v>4245.6960000000008</v>
      </c>
      <c r="AF27" s="147">
        <f t="shared" si="95"/>
        <v>2990.7360000000003</v>
      </c>
      <c r="AG27" s="147">
        <f t="shared" si="96"/>
        <v>235.87200000000004</v>
      </c>
      <c r="AH27" s="147">
        <f t="shared" si="97"/>
        <v>169.34400000000002</v>
      </c>
      <c r="AI27" s="158">
        <f t="shared" si="98"/>
        <v>3780</v>
      </c>
      <c r="AJ27" s="163">
        <f>SUM(AD25:AD27)-SUM(C25:C26)</f>
        <v>15231.888000000001</v>
      </c>
      <c r="AK27" s="164">
        <f t="shared" ref="AK27" si="174">SUM(AE25:AE27)-SUM(D25:D26)</f>
        <v>12737.088000000003</v>
      </c>
      <c r="AL27" s="164">
        <f t="shared" ref="AL27" si="175">SUM(AF25:AF27)-SUM(E25:E26)</f>
        <v>8972.2080000000005</v>
      </c>
      <c r="AM27" s="164">
        <f t="shared" ref="AM27" si="176">SUM(AG25:AG27)-SUM(F25:F26)</f>
        <v>707.6160000000001</v>
      </c>
      <c r="AN27" s="164">
        <f t="shared" ref="AN27" si="177">SUM(AH25:AH27)-SUM(G25:G26)</f>
        <v>508.03200000000004</v>
      </c>
      <c r="AO27" s="181">
        <f t="shared" ref="AO27" si="178">SUM(AI25:AI27)-SUM(H25:H26)</f>
        <v>11340</v>
      </c>
      <c r="AP27" s="182">
        <f>SUM(C25:C27)/SUM(AD25:AD27)</f>
        <v>0</v>
      </c>
      <c r="AQ27" s="183">
        <f t="shared" ref="AQ27" si="179">SUM(D25:D27)/SUM(AE25:AE27)</f>
        <v>0</v>
      </c>
      <c r="AR27" s="183">
        <f t="shared" ref="AR27" si="180">SUM(E25:E27)/SUM(AF25:AF27)</f>
        <v>0</v>
      </c>
      <c r="AS27" s="183">
        <f t="shared" ref="AS27" si="181">SUM(F25:F27)/SUM(AG25:AG27)</f>
        <v>0</v>
      </c>
      <c r="AT27" s="183">
        <f t="shared" ref="AT27" si="182">SUM(G25:G27)/SUM(AH25:AH27)</f>
        <v>0</v>
      </c>
      <c r="AU27" s="184">
        <f t="shared" ref="AU27" si="183">SUM(H25:H27)/SUM(AI25:AI27)</f>
        <v>0</v>
      </c>
      <c r="AV27" s="172">
        <f t="shared" si="109"/>
        <v>0.27</v>
      </c>
      <c r="AW27" s="172">
        <f t="shared" si="110"/>
        <v>0.45999999999999996</v>
      </c>
      <c r="AX27" s="172">
        <f t="shared" si="111"/>
        <v>0.57000000000000006</v>
      </c>
      <c r="AY27" s="172">
        <f t="shared" si="112"/>
        <v>0.21999999999999997</v>
      </c>
      <c r="AZ27" s="172">
        <f t="shared" si="113"/>
        <v>0.72</v>
      </c>
      <c r="BA27" s="172">
        <f t="shared" si="114"/>
        <v>0.5</v>
      </c>
      <c r="BB27" s="191">
        <f t="shared" si="115"/>
        <v>0.8</v>
      </c>
      <c r="BC27" s="192">
        <f t="shared" si="116"/>
        <v>1877.9040000000002</v>
      </c>
      <c r="BD27" s="192">
        <f t="shared" si="117"/>
        <v>3616.7040000000002</v>
      </c>
      <c r="BE27" s="192">
        <f t="shared" si="118"/>
        <v>3964.4640000000009</v>
      </c>
      <c r="BF27" s="192">
        <f t="shared" si="119"/>
        <v>66.528000000000006</v>
      </c>
      <c r="BG27" s="192">
        <f t="shared" si="120"/>
        <v>435.45600000000002</v>
      </c>
      <c r="BH27" s="158">
        <f t="shared" si="121"/>
        <v>3780</v>
      </c>
      <c r="BI27" s="198">
        <f>SUM(BC25:BC27)-SUM(I25:I26)</f>
        <v>5633.7120000000004</v>
      </c>
      <c r="BJ27" s="199">
        <f t="shared" ref="BJ27" si="184">SUM(BD25:BD27)-SUM(J25:J26)</f>
        <v>10850.112000000001</v>
      </c>
      <c r="BK27" s="199">
        <f t="shared" ref="BK27" si="185">SUM(BE25:BE27)-SUM(K25:K26)</f>
        <v>11893.392000000003</v>
      </c>
      <c r="BL27" s="199">
        <f t="shared" ref="BL27" si="186">SUM(BF25:BF27)-SUM(L25:L26)</f>
        <v>199.584</v>
      </c>
      <c r="BM27" s="199">
        <f t="shared" ref="BM27" si="187">SUM(BG25:BG27)-SUM(M25:M26)</f>
        <v>1306.3679999999999</v>
      </c>
      <c r="BN27" s="209">
        <f t="shared" ref="BN27" si="188">SUM(BH25:BH27)-SUM(N25:N26)</f>
        <v>11340</v>
      </c>
      <c r="BO27" s="210">
        <f>SUM(I25:I27)/SUM(BC25:BC27)</f>
        <v>0</v>
      </c>
      <c r="BP27" s="211">
        <f t="shared" ref="BP27" si="189">SUM(J25:J27)/SUM(BD25:BD27)</f>
        <v>0</v>
      </c>
      <c r="BQ27" s="211">
        <f t="shared" ref="BQ27" si="190">SUM(K25:K27)/SUM(BE25:BE27)</f>
        <v>0</v>
      </c>
      <c r="BR27" s="211">
        <f t="shared" ref="BR27" si="191">SUM(L25:L27)/SUM(BF25:BF27)</f>
        <v>0</v>
      </c>
      <c r="BS27" s="211">
        <f t="shared" ref="BS27" si="192">SUM(M25:M27)/SUM(BG25:BG27)</f>
        <v>0</v>
      </c>
      <c r="BT27" s="212">
        <f t="shared" ref="BT27" si="193">SUM(N25:N27)/SUM(BH25:BH27)</f>
        <v>0</v>
      </c>
      <c r="BU27" s="220">
        <f t="shared" si="132"/>
        <v>6955.2000000000007</v>
      </c>
      <c r="BV27" s="220">
        <f t="shared" si="133"/>
        <v>7862.4000000000015</v>
      </c>
      <c r="BW27" s="220">
        <f t="shared" si="134"/>
        <v>6955.2000000000007</v>
      </c>
      <c r="BX27" s="220">
        <f t="shared" si="135"/>
        <v>302.40000000000003</v>
      </c>
      <c r="BY27" s="224">
        <f t="shared" si="136"/>
        <v>604.80000000000007</v>
      </c>
      <c r="BZ27" s="221">
        <f t="shared" si="137"/>
        <v>7560</v>
      </c>
      <c r="CA27" s="222">
        <f>SUM($BU$25:BZ27)</f>
        <v>90720</v>
      </c>
      <c r="CB27" s="224">
        <f t="shared" si="163"/>
        <v>20865.600000000002</v>
      </c>
      <c r="CC27" s="220">
        <f t="shared" si="164"/>
        <v>23587.200000000004</v>
      </c>
      <c r="CD27" s="220">
        <f t="shared" si="165"/>
        <v>20865.600000000006</v>
      </c>
      <c r="CE27" s="220">
        <f t="shared" si="166"/>
        <v>907.2</v>
      </c>
      <c r="CF27" s="220">
        <f t="shared" si="167"/>
        <v>1814.4</v>
      </c>
      <c r="CG27" s="221">
        <f t="shared" si="168"/>
        <v>22680</v>
      </c>
      <c r="CH27" s="232">
        <f>(SUM(I25:I27)+SUM(C25:C27))/SUM(BU25:BU27)</f>
        <v>0</v>
      </c>
      <c r="CI27" s="233">
        <f t="shared" ref="CI27" si="194">(SUM(J25:J27)+SUM(D25:D27))/SUM(BV25:BV27)</f>
        <v>0</v>
      </c>
      <c r="CJ27" s="233">
        <f t="shared" ref="CJ27" si="195">(SUM(K25:K27)+SUM(E25:E27))/SUM(BW25:BW27)</f>
        <v>0</v>
      </c>
      <c r="CK27" s="233">
        <f t="shared" ref="CK27" si="196">(SUM(L25:L27)+SUM(F25:F27))/SUM(BX25:BX27)</f>
        <v>0</v>
      </c>
      <c r="CL27" s="233">
        <f t="shared" ref="CL27" si="197">(SUM(M25:M27)+SUM(G25:G27))/SUM(BY25:BY27)</f>
        <v>0</v>
      </c>
      <c r="CM27" s="237">
        <f t="shared" ref="CM27" si="198">(SUM(N25:N27)+SUM(H25:H27))/SUM(BZ25:BZ27)</f>
        <v>0</v>
      </c>
    </row>
    <row r="28" spans="1:91" ht="14.25">
      <c r="A28" s="75">
        <v>44539</v>
      </c>
      <c r="B28" s="76">
        <v>4</v>
      </c>
      <c r="C28" s="79"/>
      <c r="D28" s="80"/>
      <c r="E28" s="80"/>
      <c r="F28" s="80"/>
      <c r="G28" s="80"/>
      <c r="H28" s="80"/>
      <c r="I28" s="98"/>
      <c r="J28" s="98"/>
      <c r="K28" s="98"/>
      <c r="L28" s="98"/>
      <c r="M28" s="98"/>
      <c r="N28" s="99"/>
      <c r="O28" s="107">
        <f>SUM($C$25:N28)</f>
        <v>0</v>
      </c>
      <c r="P28" s="109">
        <f t="shared" si="20"/>
        <v>151200</v>
      </c>
      <c r="Q28" s="123">
        <v>0.23</v>
      </c>
      <c r="R28" s="124">
        <v>0.26</v>
      </c>
      <c r="S28" s="124">
        <v>0.23</v>
      </c>
      <c r="T28" s="124">
        <v>0.01</v>
      </c>
      <c r="U28" s="124">
        <v>0.02</v>
      </c>
      <c r="V28" s="125">
        <v>0.25</v>
      </c>
      <c r="W28" s="138">
        <v>0.73</v>
      </c>
      <c r="X28" s="139">
        <v>0.54</v>
      </c>
      <c r="Y28" s="139">
        <v>0.43</v>
      </c>
      <c r="Z28" s="139">
        <v>0.78</v>
      </c>
      <c r="AA28" s="139">
        <v>0.28000000000000003</v>
      </c>
      <c r="AB28" s="139">
        <v>0.5</v>
      </c>
      <c r="AC28" s="152">
        <v>0.133333333333333</v>
      </c>
      <c r="AD28" s="146">
        <f t="shared" si="93"/>
        <v>3384.8639999999914</v>
      </c>
      <c r="AE28" s="147">
        <f t="shared" si="94"/>
        <v>2830.4639999999931</v>
      </c>
      <c r="AF28" s="147">
        <f t="shared" si="95"/>
        <v>1993.8239999999951</v>
      </c>
      <c r="AG28" s="147">
        <f t="shared" si="96"/>
        <v>157.24799999999959</v>
      </c>
      <c r="AH28" s="147">
        <f t="shared" si="97"/>
        <v>112.89599999999972</v>
      </c>
      <c r="AI28" s="158">
        <f t="shared" si="98"/>
        <v>2519.9999999999936</v>
      </c>
      <c r="AJ28" s="163">
        <f>SUM(AD25:AD28)-SUM(C25:C27)</f>
        <v>18616.751999999993</v>
      </c>
      <c r="AK28" s="164">
        <f t="shared" ref="AK28" si="199">SUM(AE25:AE28)-SUM(D25:D27)</f>
        <v>15567.551999999996</v>
      </c>
      <c r="AL28" s="164">
        <f t="shared" ref="AL28" si="200">SUM(AF25:AF28)-SUM(E25:E27)</f>
        <v>10966.031999999996</v>
      </c>
      <c r="AM28" s="164">
        <f t="shared" ref="AM28" si="201">SUM(AG25:AG28)-SUM(F25:F27)</f>
        <v>864.86399999999969</v>
      </c>
      <c r="AN28" s="164">
        <f t="shared" ref="AN28" si="202">SUM(AH25:AH28)-SUM(G25:G27)</f>
        <v>620.92799999999977</v>
      </c>
      <c r="AO28" s="181">
        <f t="shared" ref="AO28" si="203">SUM(AI25:AI28)-SUM(H25:H27)</f>
        <v>13859.999999999993</v>
      </c>
      <c r="AP28" s="182">
        <f>SUM(C25:C28)/SUM(AD25:AD28)</f>
        <v>0</v>
      </c>
      <c r="AQ28" s="183">
        <f t="shared" ref="AQ28" si="204">SUM(D25:D28)/SUM(AE25:AE28)</f>
        <v>0</v>
      </c>
      <c r="AR28" s="183">
        <f t="shared" ref="AR28" si="205">SUM(E25:E28)/SUM(AF25:AF28)</f>
        <v>0</v>
      </c>
      <c r="AS28" s="183">
        <f t="shared" ref="AS28" si="206">SUM(F25:F28)/SUM(AG25:AG28)</f>
        <v>0</v>
      </c>
      <c r="AT28" s="183">
        <f t="shared" ref="AT28" si="207">SUM(G25:G28)/SUM(AH25:AH28)</f>
        <v>0</v>
      </c>
      <c r="AU28" s="184">
        <f t="shared" ref="AU28" si="208">SUM(H25:H28)/SUM(AI25:AI28)</f>
        <v>0</v>
      </c>
      <c r="AV28" s="172">
        <f t="shared" si="109"/>
        <v>0.27</v>
      </c>
      <c r="AW28" s="172">
        <f t="shared" si="110"/>
        <v>0.45999999999999996</v>
      </c>
      <c r="AX28" s="172">
        <f t="shared" si="111"/>
        <v>0.57000000000000006</v>
      </c>
      <c r="AY28" s="172">
        <f t="shared" si="112"/>
        <v>0.21999999999999997</v>
      </c>
      <c r="AZ28" s="172">
        <f t="shared" si="113"/>
        <v>0.72</v>
      </c>
      <c r="BA28" s="172">
        <f t="shared" si="114"/>
        <v>0.5</v>
      </c>
      <c r="BB28" s="191">
        <f t="shared" si="115"/>
        <v>0.86666666666666703</v>
      </c>
      <c r="BC28" s="192">
        <f t="shared" si="116"/>
        <v>1251.935999999997</v>
      </c>
      <c r="BD28" s="192">
        <f t="shared" si="117"/>
        <v>2411.1359999999936</v>
      </c>
      <c r="BE28" s="192">
        <f t="shared" si="118"/>
        <v>2642.9759999999937</v>
      </c>
      <c r="BF28" s="192">
        <f t="shared" si="119"/>
        <v>44.351999999999883</v>
      </c>
      <c r="BG28" s="192">
        <f t="shared" si="120"/>
        <v>290.30399999999923</v>
      </c>
      <c r="BH28" s="158">
        <f t="shared" si="121"/>
        <v>2519.9999999999936</v>
      </c>
      <c r="BI28" s="198">
        <f>SUM(BC25:BC28)-SUM(I25:I27)</f>
        <v>6885.6479999999974</v>
      </c>
      <c r="BJ28" s="199">
        <f t="shared" ref="BJ28" si="209">SUM(BD25:BD28)-SUM(J25:J27)</f>
        <v>13261.247999999994</v>
      </c>
      <c r="BK28" s="199">
        <f t="shared" ref="BK28" si="210">SUM(BE25:BE28)-SUM(K25:K27)</f>
        <v>14536.367999999997</v>
      </c>
      <c r="BL28" s="199">
        <f t="shared" ref="BL28" si="211">SUM(BF25:BF28)-SUM(L25:L27)</f>
        <v>243.93599999999989</v>
      </c>
      <c r="BM28" s="199">
        <f t="shared" ref="BM28" si="212">SUM(BG25:BG28)-SUM(M25:M27)</f>
        <v>1596.6719999999991</v>
      </c>
      <c r="BN28" s="209">
        <f t="shared" ref="BN28" si="213">SUM(BH25:BH28)-SUM(N25:N27)</f>
        <v>13859.999999999993</v>
      </c>
      <c r="BO28" s="210">
        <f>SUM(I25:I28)/SUM(BC25:BC28)</f>
        <v>0</v>
      </c>
      <c r="BP28" s="211">
        <f t="shared" ref="BP28" si="214">SUM(J25:J28)/SUM(BD25:BD28)</f>
        <v>0</v>
      </c>
      <c r="BQ28" s="211">
        <f t="shared" ref="BQ28" si="215">SUM(K25:K28)/SUM(BE25:BE28)</f>
        <v>0</v>
      </c>
      <c r="BR28" s="211">
        <f t="shared" ref="BR28" si="216">SUM(L25:L28)/SUM(BF25:BF28)</f>
        <v>0</v>
      </c>
      <c r="BS28" s="211">
        <f t="shared" ref="BS28" si="217">SUM(M25:M28)/SUM(BG25:BG28)</f>
        <v>0</v>
      </c>
      <c r="BT28" s="212">
        <f t="shared" ref="BT28" si="218">SUM(N25:N28)/SUM(BH25:BH28)</f>
        <v>0</v>
      </c>
      <c r="BU28" s="220">
        <f t="shared" si="132"/>
        <v>4636.7999999999884</v>
      </c>
      <c r="BV28" s="220">
        <f t="shared" si="133"/>
        <v>5241.5999999999867</v>
      </c>
      <c r="BW28" s="220">
        <f t="shared" si="134"/>
        <v>4636.7999999999884</v>
      </c>
      <c r="BX28" s="220">
        <f t="shared" si="135"/>
        <v>201.59999999999948</v>
      </c>
      <c r="BY28" s="224">
        <f t="shared" si="136"/>
        <v>403.19999999999897</v>
      </c>
      <c r="BZ28" s="221">
        <f t="shared" si="137"/>
        <v>5039.9999999999873</v>
      </c>
      <c r="CA28" s="222">
        <f>SUM($BU$25:BZ28)</f>
        <v>110879.99999999996</v>
      </c>
      <c r="CB28" s="224">
        <f t="shared" si="163"/>
        <v>25502.399999999991</v>
      </c>
      <c r="CC28" s="220">
        <f t="shared" si="164"/>
        <v>28828.799999999988</v>
      </c>
      <c r="CD28" s="220">
        <f t="shared" si="165"/>
        <v>25502.399999999994</v>
      </c>
      <c r="CE28" s="220">
        <f t="shared" si="166"/>
        <v>1108.7999999999995</v>
      </c>
      <c r="CF28" s="220">
        <f t="shared" si="167"/>
        <v>2217.599999999999</v>
      </c>
      <c r="CG28" s="221">
        <f t="shared" si="168"/>
        <v>27719.999999999985</v>
      </c>
      <c r="CH28" s="232">
        <f>(SUM(I25:I28)+SUM(C25:C28))/SUM(BU25:BU28)</f>
        <v>0</v>
      </c>
      <c r="CI28" s="233">
        <f t="shared" ref="CI28" si="219">(SUM(J25:J28)+SUM(D25:D28))/SUM(BV25:BV28)</f>
        <v>0</v>
      </c>
      <c r="CJ28" s="233">
        <f t="shared" ref="CJ28" si="220">(SUM(K25:K28)+SUM(E25:E28))/SUM(BW25:BW28)</f>
        <v>0</v>
      </c>
      <c r="CK28" s="233">
        <f t="shared" ref="CK28" si="221">(SUM(L25:L28)+SUM(F25:F28))/SUM(BX25:BX28)</f>
        <v>0</v>
      </c>
      <c r="CL28" s="233">
        <f t="shared" ref="CL28" si="222">(SUM(M25:M28)+SUM(G25:G28))/SUM(BY25:BY28)</f>
        <v>0</v>
      </c>
      <c r="CM28" s="237">
        <f t="shared" ref="CM28" si="223">(SUM(N25:N28)+SUM(H25:H28))/SUM(BZ25:BZ28)</f>
        <v>0</v>
      </c>
    </row>
    <row r="29" spans="1:91" ht="14.25">
      <c r="A29" s="75">
        <v>44540</v>
      </c>
      <c r="B29" s="76">
        <v>5</v>
      </c>
      <c r="C29" s="79"/>
      <c r="D29" s="80"/>
      <c r="E29" s="80"/>
      <c r="F29" s="80"/>
      <c r="G29" s="80"/>
      <c r="H29" s="80"/>
      <c r="I29" s="98"/>
      <c r="J29" s="98"/>
      <c r="K29" s="98"/>
      <c r="L29" s="98"/>
      <c r="M29" s="98"/>
      <c r="N29" s="99"/>
      <c r="O29" s="107">
        <f>SUM($C$25:N29)</f>
        <v>0</v>
      </c>
      <c r="P29" s="109">
        <f t="shared" si="20"/>
        <v>151200</v>
      </c>
      <c r="Q29" s="123">
        <v>0.23</v>
      </c>
      <c r="R29" s="124">
        <v>0.26</v>
      </c>
      <c r="S29" s="124">
        <v>0.23</v>
      </c>
      <c r="T29" s="124">
        <v>0.01</v>
      </c>
      <c r="U29" s="124">
        <v>0.02</v>
      </c>
      <c r="V29" s="125">
        <v>0.25</v>
      </c>
      <c r="W29" s="138">
        <v>0.73</v>
      </c>
      <c r="X29" s="139">
        <v>0.54</v>
      </c>
      <c r="Y29" s="139">
        <v>0.43</v>
      </c>
      <c r="Z29" s="139">
        <v>0.78</v>
      </c>
      <c r="AA29" s="139">
        <v>0.28000000000000003</v>
      </c>
      <c r="AB29" s="139">
        <v>0.5</v>
      </c>
      <c r="AC29" s="152">
        <v>0.133333333333333</v>
      </c>
      <c r="AD29" s="146">
        <f t="shared" si="93"/>
        <v>3384.8639999999914</v>
      </c>
      <c r="AE29" s="147">
        <f t="shared" si="94"/>
        <v>2830.4639999999931</v>
      </c>
      <c r="AF29" s="147">
        <f t="shared" si="95"/>
        <v>1993.8239999999951</v>
      </c>
      <c r="AG29" s="147">
        <f t="shared" si="96"/>
        <v>157.24799999999959</v>
      </c>
      <c r="AH29" s="147">
        <f t="shared" si="97"/>
        <v>112.89599999999972</v>
      </c>
      <c r="AI29" s="158">
        <f t="shared" si="98"/>
        <v>2519.9999999999936</v>
      </c>
      <c r="AJ29" s="163">
        <f>SUM(AD25:AD29)-SUM(C25:C28)</f>
        <v>22001.615999999984</v>
      </c>
      <c r="AK29" s="164">
        <f t="shared" ref="AK29" si="224">SUM(AE25:AE29)-SUM(D25:D28)</f>
        <v>18398.015999999989</v>
      </c>
      <c r="AL29" s="164">
        <f t="shared" ref="AL29" si="225">SUM(AF25:AF29)-SUM(E25:E28)</f>
        <v>12959.855999999991</v>
      </c>
      <c r="AM29" s="164">
        <f t="shared" ref="AM29" si="226">SUM(AG25:AG29)-SUM(F25:F28)</f>
        <v>1022.1119999999993</v>
      </c>
      <c r="AN29" s="164">
        <f t="shared" ref="AN29" si="227">SUM(AH25:AH29)-SUM(G25:G28)</f>
        <v>733.8239999999995</v>
      </c>
      <c r="AO29" s="181">
        <f t="shared" ref="AO29" si="228">SUM(AI25:AI29)-SUM(H25:H28)</f>
        <v>16379.999999999985</v>
      </c>
      <c r="AP29" s="182">
        <f>SUM(C25:C29)/SUM(AD25:AD29)</f>
        <v>0</v>
      </c>
      <c r="AQ29" s="183">
        <f t="shared" ref="AQ29" si="229">SUM(D25:D29)/SUM(AE25:AE29)</f>
        <v>0</v>
      </c>
      <c r="AR29" s="183">
        <f t="shared" ref="AR29" si="230">SUM(E25:E29)/SUM(AF25:AF29)</f>
        <v>0</v>
      </c>
      <c r="AS29" s="183">
        <f t="shared" ref="AS29" si="231">SUM(F25:F29)/SUM(AG25:AG29)</f>
        <v>0</v>
      </c>
      <c r="AT29" s="183">
        <f t="shared" ref="AT29" si="232">SUM(G25:G29)/SUM(AH25:AH29)</f>
        <v>0</v>
      </c>
      <c r="AU29" s="184">
        <f t="shared" ref="AU29" si="233">SUM(H25:H29)/SUM(AI25:AI29)</f>
        <v>0</v>
      </c>
      <c r="AV29" s="172">
        <f t="shared" si="109"/>
        <v>0.27</v>
      </c>
      <c r="AW29" s="172">
        <f t="shared" si="110"/>
        <v>0.45999999999999996</v>
      </c>
      <c r="AX29" s="172">
        <f t="shared" si="111"/>
        <v>0.57000000000000006</v>
      </c>
      <c r="AY29" s="172">
        <f t="shared" si="112"/>
        <v>0.21999999999999997</v>
      </c>
      <c r="AZ29" s="172">
        <f t="shared" si="113"/>
        <v>0.72</v>
      </c>
      <c r="BA29" s="172">
        <f t="shared" si="114"/>
        <v>0.5</v>
      </c>
      <c r="BB29" s="191">
        <f t="shared" si="115"/>
        <v>0.86666666666666703</v>
      </c>
      <c r="BC29" s="192">
        <f t="shared" si="116"/>
        <v>1251.935999999997</v>
      </c>
      <c r="BD29" s="192">
        <f t="shared" si="117"/>
        <v>2411.1359999999936</v>
      </c>
      <c r="BE29" s="192">
        <f t="shared" si="118"/>
        <v>2642.9759999999937</v>
      </c>
      <c r="BF29" s="192">
        <f t="shared" si="119"/>
        <v>44.351999999999883</v>
      </c>
      <c r="BG29" s="192">
        <f t="shared" si="120"/>
        <v>290.30399999999923</v>
      </c>
      <c r="BH29" s="158">
        <f t="shared" si="121"/>
        <v>2519.9999999999936</v>
      </c>
      <c r="BI29" s="198">
        <f>SUM(BC25:BC29)-SUM(I25:I28)</f>
        <v>8137.5839999999944</v>
      </c>
      <c r="BJ29" s="199">
        <f t="shared" ref="BJ29" si="234">SUM(BD25:BD29)-SUM(J25:J28)</f>
        <v>15672.383999999987</v>
      </c>
      <c r="BK29" s="199">
        <f t="shared" ref="BK29" si="235">SUM(BE25:BE29)-SUM(K25:K28)</f>
        <v>17179.34399999999</v>
      </c>
      <c r="BL29" s="199">
        <f t="shared" ref="BL29" si="236">SUM(BF25:BF29)-SUM(L25:L28)</f>
        <v>288.28799999999978</v>
      </c>
      <c r="BM29" s="199">
        <f t="shared" ref="BM29" si="237">SUM(BG25:BG29)-SUM(M25:M28)</f>
        <v>1886.9759999999983</v>
      </c>
      <c r="BN29" s="209">
        <f t="shared" ref="BN29" si="238">SUM(BH25:BH29)-SUM(N25:N28)</f>
        <v>16379.999999999985</v>
      </c>
      <c r="BO29" s="210">
        <f>SUM(I25:I29)/SUM(BC25:BC29)</f>
        <v>0</v>
      </c>
      <c r="BP29" s="211">
        <f t="shared" ref="BP29" si="239">SUM(J25:J29)/SUM(BD25:BD29)</f>
        <v>0</v>
      </c>
      <c r="BQ29" s="211">
        <f t="shared" ref="BQ29" si="240">SUM(K25:K29)/SUM(BE25:BE29)</f>
        <v>0</v>
      </c>
      <c r="BR29" s="211">
        <f t="shared" ref="BR29" si="241">SUM(L25:L29)/SUM(BF25:BF29)</f>
        <v>0</v>
      </c>
      <c r="BS29" s="211">
        <f t="shared" ref="BS29" si="242">SUM(M25:M29)/SUM(BG25:BG29)</f>
        <v>0</v>
      </c>
      <c r="BT29" s="212">
        <f t="shared" ref="BT29" si="243">SUM(N25:N29)/SUM(BH25:BH29)</f>
        <v>0</v>
      </c>
      <c r="BU29" s="220">
        <f t="shared" si="132"/>
        <v>4636.7999999999884</v>
      </c>
      <c r="BV29" s="220">
        <f t="shared" si="133"/>
        <v>5241.5999999999867</v>
      </c>
      <c r="BW29" s="220">
        <f t="shared" si="134"/>
        <v>4636.7999999999884</v>
      </c>
      <c r="BX29" s="220">
        <f t="shared" si="135"/>
        <v>201.59999999999948</v>
      </c>
      <c r="BY29" s="224">
        <f t="shared" si="136"/>
        <v>403.19999999999897</v>
      </c>
      <c r="BZ29" s="221">
        <f t="shared" si="137"/>
        <v>5039.9999999999873</v>
      </c>
      <c r="CA29" s="222">
        <f>SUM($BU$25:BZ29)</f>
        <v>131039.99999999991</v>
      </c>
      <c r="CB29" s="224">
        <f t="shared" si="163"/>
        <v>30139.199999999979</v>
      </c>
      <c r="CC29" s="220">
        <f t="shared" si="164"/>
        <v>34070.39999999998</v>
      </c>
      <c r="CD29" s="220">
        <f t="shared" si="165"/>
        <v>30139.199999999983</v>
      </c>
      <c r="CE29" s="220">
        <f t="shared" si="166"/>
        <v>1310.3999999999992</v>
      </c>
      <c r="CF29" s="220">
        <f t="shared" si="167"/>
        <v>2620.7999999999979</v>
      </c>
      <c r="CG29" s="221">
        <f t="shared" si="168"/>
        <v>32759.999999999971</v>
      </c>
      <c r="CH29" s="232">
        <f>(SUM(I25:I29)+SUM(C25:C29))/SUM(BU25:BU29)</f>
        <v>0</v>
      </c>
      <c r="CI29" s="233">
        <f t="shared" ref="CI29" si="244">(SUM(J25:J29)+SUM(D25:D29))/SUM(BV25:BV29)</f>
        <v>0</v>
      </c>
      <c r="CJ29" s="233">
        <f t="shared" ref="CJ29" si="245">(SUM(K25:K29)+SUM(E25:E29))/SUM(BW25:BW29)</f>
        <v>0</v>
      </c>
      <c r="CK29" s="233">
        <f t="shared" ref="CK29" si="246">(SUM(L25:L29)+SUM(F25:F29))/SUM(BX25:BX29)</f>
        <v>0</v>
      </c>
      <c r="CL29" s="233">
        <f t="shared" ref="CL29" si="247">(SUM(M25:M29)+SUM(G25:G29))/SUM(BY25:BY29)</f>
        <v>0</v>
      </c>
      <c r="CM29" s="237">
        <f t="shared" ref="CM29" si="248">(SUM(N25:N29)+SUM(H25:H29))/SUM(BZ25:BZ29)</f>
        <v>0</v>
      </c>
    </row>
    <row r="30" spans="1:91" ht="14.25">
      <c r="A30" s="75">
        <v>44541</v>
      </c>
      <c r="B30" s="76">
        <v>6</v>
      </c>
      <c r="C30" s="79"/>
      <c r="D30" s="80"/>
      <c r="E30" s="80"/>
      <c r="F30" s="80"/>
      <c r="G30" s="80"/>
      <c r="H30" s="80"/>
      <c r="I30" s="98"/>
      <c r="J30" s="98"/>
      <c r="K30" s="98"/>
      <c r="L30" s="98"/>
      <c r="M30" s="98"/>
      <c r="N30" s="99"/>
      <c r="O30" s="107">
        <f>SUM($C$25:N30)</f>
        <v>0</v>
      </c>
      <c r="P30" s="109">
        <f t="shared" si="20"/>
        <v>151200</v>
      </c>
      <c r="Q30" s="123">
        <v>0.23</v>
      </c>
      <c r="R30" s="124">
        <v>0.26</v>
      </c>
      <c r="S30" s="124">
        <v>0.23</v>
      </c>
      <c r="T30" s="124">
        <v>0.01</v>
      </c>
      <c r="U30" s="124">
        <v>0.02</v>
      </c>
      <c r="V30" s="125">
        <v>0.25</v>
      </c>
      <c r="W30" s="138">
        <v>0.73</v>
      </c>
      <c r="X30" s="139">
        <v>0.54</v>
      </c>
      <c r="Y30" s="139">
        <v>0.43</v>
      </c>
      <c r="Z30" s="139">
        <v>0.78</v>
      </c>
      <c r="AA30" s="139">
        <v>0.28000000000000003</v>
      </c>
      <c r="AB30" s="139">
        <v>0.5</v>
      </c>
      <c r="AC30" s="152">
        <v>6.6666666666666693E-2</v>
      </c>
      <c r="AD30" s="146">
        <f t="shared" si="93"/>
        <v>1692.4320000000007</v>
      </c>
      <c r="AE30" s="147">
        <f t="shared" si="94"/>
        <v>1415.2320000000007</v>
      </c>
      <c r="AF30" s="147">
        <f t="shared" si="95"/>
        <v>996.91200000000038</v>
      </c>
      <c r="AG30" s="147">
        <f t="shared" si="96"/>
        <v>78.624000000000038</v>
      </c>
      <c r="AH30" s="147">
        <f t="shared" si="97"/>
        <v>56.448000000000029</v>
      </c>
      <c r="AI30" s="158">
        <f t="shared" si="98"/>
        <v>1260.0000000000005</v>
      </c>
      <c r="AJ30" s="163">
        <f>SUM(AD25:AD30)-SUM(C25:C29)</f>
        <v>23694.047999999984</v>
      </c>
      <c r="AK30" s="164">
        <f t="shared" ref="AK30" si="249">SUM(AE25:AE30)-SUM(D25:D29)</f>
        <v>19813.247999999989</v>
      </c>
      <c r="AL30" s="164">
        <f t="shared" ref="AL30" si="250">SUM(AF25:AF30)-SUM(E25:E29)</f>
        <v>13956.767999999991</v>
      </c>
      <c r="AM30" s="164">
        <f t="shared" ref="AM30" si="251">SUM(AG25:AG30)-SUM(F25:F29)</f>
        <v>1100.7359999999994</v>
      </c>
      <c r="AN30" s="164">
        <f t="shared" ref="AN30" si="252">SUM(AH25:AH30)-SUM(G25:G29)</f>
        <v>790.27199999999948</v>
      </c>
      <c r="AO30" s="181">
        <f t="shared" ref="AO30" si="253">SUM(AI25:AI30)-SUM(H25:H29)</f>
        <v>17639.999999999985</v>
      </c>
      <c r="AP30" s="182">
        <f>SUM(C25:C30)/SUM(AD25:AD30)</f>
        <v>0</v>
      </c>
      <c r="AQ30" s="183">
        <f t="shared" ref="AQ30" si="254">SUM(D25:D30)/SUM(AE25:AE30)</f>
        <v>0</v>
      </c>
      <c r="AR30" s="183">
        <f t="shared" ref="AR30" si="255">SUM(E25:E30)/SUM(AF25:AF30)</f>
        <v>0</v>
      </c>
      <c r="AS30" s="183">
        <f t="shared" ref="AS30" si="256">SUM(F25:F30)/SUM(AG25:AG30)</f>
        <v>0</v>
      </c>
      <c r="AT30" s="183">
        <f t="shared" ref="AT30" si="257">SUM(G25:G30)/SUM(AH25:AH30)</f>
        <v>0</v>
      </c>
      <c r="AU30" s="184">
        <f t="shared" ref="AU30" si="258">SUM(H25:H30)/SUM(AI25:AI30)</f>
        <v>0</v>
      </c>
      <c r="AV30" s="172">
        <f t="shared" si="109"/>
        <v>0.27</v>
      </c>
      <c r="AW30" s="172">
        <f t="shared" si="110"/>
        <v>0.45999999999999996</v>
      </c>
      <c r="AX30" s="172">
        <f t="shared" si="111"/>
        <v>0.57000000000000006</v>
      </c>
      <c r="AY30" s="172">
        <f t="shared" si="112"/>
        <v>0.21999999999999997</v>
      </c>
      <c r="AZ30" s="172">
        <f t="shared" si="113"/>
        <v>0.72</v>
      </c>
      <c r="BA30" s="172">
        <f t="shared" si="114"/>
        <v>0.5</v>
      </c>
      <c r="BB30" s="191">
        <f t="shared" si="115"/>
        <v>0.93333333333333335</v>
      </c>
      <c r="BC30" s="192">
        <f t="shared" si="116"/>
        <v>625.9680000000003</v>
      </c>
      <c r="BD30" s="192">
        <f t="shared" si="117"/>
        <v>1205.5680000000004</v>
      </c>
      <c r="BE30" s="192">
        <f t="shared" si="118"/>
        <v>1321.4880000000007</v>
      </c>
      <c r="BF30" s="192">
        <f t="shared" si="119"/>
        <v>22.176000000000005</v>
      </c>
      <c r="BG30" s="192">
        <f t="shared" si="120"/>
        <v>145.15200000000004</v>
      </c>
      <c r="BH30" s="158">
        <f t="shared" si="121"/>
        <v>1260.0000000000005</v>
      </c>
      <c r="BI30" s="198">
        <f>SUM(BC25:BC30)-SUM(I25:I29)</f>
        <v>8763.5519999999942</v>
      </c>
      <c r="BJ30" s="199">
        <f t="shared" ref="BJ30" si="259">SUM(BD25:BD30)-SUM(J25:J29)</f>
        <v>16877.951999999987</v>
      </c>
      <c r="BK30" s="199">
        <f t="shared" ref="BK30" si="260">SUM(BE25:BE30)-SUM(K25:K29)</f>
        <v>18500.831999999991</v>
      </c>
      <c r="BL30" s="199">
        <f t="shared" ref="BL30" si="261">SUM(BF25:BF30)-SUM(L25:L29)</f>
        <v>310.46399999999977</v>
      </c>
      <c r="BM30" s="199">
        <f t="shared" ref="BM30" si="262">SUM(BG25:BG30)-SUM(M25:M29)</f>
        <v>2032.1279999999983</v>
      </c>
      <c r="BN30" s="209">
        <f t="shared" ref="BN30" si="263">SUM(BH25:BH30)-SUM(N25:N29)</f>
        <v>17639.999999999985</v>
      </c>
      <c r="BO30" s="210">
        <f>SUM(I25:I30)/SUM(BC25:BC30)</f>
        <v>0</v>
      </c>
      <c r="BP30" s="211">
        <f t="shared" ref="BP30" si="264">SUM(J25:J30)/SUM(BD25:BD30)</f>
        <v>0</v>
      </c>
      <c r="BQ30" s="211">
        <f t="shared" ref="BQ30" si="265">SUM(K25:K30)/SUM(BE25:BE30)</f>
        <v>0</v>
      </c>
      <c r="BR30" s="211">
        <f t="shared" ref="BR30" si="266">SUM(L25:L30)/SUM(BF25:BF30)</f>
        <v>0</v>
      </c>
      <c r="BS30" s="211">
        <f t="shared" ref="BS30" si="267">SUM(M25:M30)/SUM(BG25:BG30)</f>
        <v>0</v>
      </c>
      <c r="BT30" s="212">
        <f t="shared" ref="BT30" si="268">SUM(N25:N30)/SUM(BH25:BH30)</f>
        <v>0</v>
      </c>
      <c r="BU30" s="220">
        <f t="shared" si="132"/>
        <v>2318.400000000001</v>
      </c>
      <c r="BV30" s="220">
        <f t="shared" si="133"/>
        <v>2620.8000000000011</v>
      </c>
      <c r="BW30" s="220">
        <f t="shared" si="134"/>
        <v>2318.400000000001</v>
      </c>
      <c r="BX30" s="220">
        <f t="shared" si="135"/>
        <v>100.80000000000004</v>
      </c>
      <c r="BY30" s="224">
        <f t="shared" si="136"/>
        <v>201.60000000000008</v>
      </c>
      <c r="BZ30" s="221">
        <f t="shared" si="137"/>
        <v>2520.0000000000009</v>
      </c>
      <c r="CA30" s="222">
        <f>SUM($BU$25:BZ30)</f>
        <v>141119.99999999988</v>
      </c>
      <c r="CB30" s="224">
        <f t="shared" si="163"/>
        <v>32457.599999999977</v>
      </c>
      <c r="CC30" s="220">
        <f t="shared" si="164"/>
        <v>36691.199999999975</v>
      </c>
      <c r="CD30" s="220">
        <f t="shared" si="165"/>
        <v>32457.599999999984</v>
      </c>
      <c r="CE30" s="220">
        <f t="shared" si="166"/>
        <v>1411.1999999999991</v>
      </c>
      <c r="CF30" s="220">
        <f t="shared" si="167"/>
        <v>2822.3999999999978</v>
      </c>
      <c r="CG30" s="221">
        <f t="shared" si="168"/>
        <v>35279.999999999971</v>
      </c>
      <c r="CH30" s="232">
        <f>(SUM(I25:I30)+SUM(C25:C30))/SUM(BU25:BU30)</f>
        <v>0</v>
      </c>
      <c r="CI30" s="233">
        <f t="shared" ref="CI30" si="269">(SUM(J25:J30)+SUM(D25:D30))/SUM(BV25:BV30)</f>
        <v>0</v>
      </c>
      <c r="CJ30" s="233">
        <f t="shared" ref="CJ30" si="270">(SUM(K25:K30)+SUM(E25:E30))/SUM(BW25:BW30)</f>
        <v>0</v>
      </c>
      <c r="CK30" s="233">
        <f t="shared" ref="CK30" si="271">(SUM(L25:L30)+SUM(F25:F30))/SUM(BX25:BX30)</f>
        <v>0</v>
      </c>
      <c r="CL30" s="233">
        <f t="shared" ref="CL30" si="272">(SUM(M25:M30)+SUM(G25:G30))/SUM(BY25:BY30)</f>
        <v>0</v>
      </c>
      <c r="CM30" s="237">
        <f t="shared" ref="CM30" si="273">(SUM(N25:N30)+SUM(H25:H30))/SUM(BZ25:BZ30)</f>
        <v>0</v>
      </c>
    </row>
    <row r="31" spans="1:91" ht="14.25">
      <c r="A31" s="75">
        <v>44542</v>
      </c>
      <c r="B31" s="76">
        <v>7</v>
      </c>
      <c r="C31" s="83"/>
      <c r="D31" s="84"/>
      <c r="E31" s="84"/>
      <c r="F31" s="84"/>
      <c r="G31" s="84"/>
      <c r="H31" s="84"/>
      <c r="I31" s="101"/>
      <c r="J31" s="101"/>
      <c r="K31" s="101"/>
      <c r="L31" s="101"/>
      <c r="M31" s="101"/>
      <c r="N31" s="102"/>
      <c r="O31" s="107">
        <f>SUM($C$25:N31)</f>
        <v>0</v>
      </c>
      <c r="P31" s="110">
        <f t="shared" si="20"/>
        <v>151200</v>
      </c>
      <c r="Q31" s="128">
        <v>0.23</v>
      </c>
      <c r="R31" s="129">
        <v>0.26</v>
      </c>
      <c r="S31" s="129">
        <v>0.23</v>
      </c>
      <c r="T31" s="129">
        <v>0.01</v>
      </c>
      <c r="U31" s="129">
        <v>0.02</v>
      </c>
      <c r="V31" s="130">
        <v>0.25</v>
      </c>
      <c r="W31" s="140">
        <v>0.73</v>
      </c>
      <c r="X31" s="141">
        <v>0.54</v>
      </c>
      <c r="Y31" s="141">
        <v>0.43</v>
      </c>
      <c r="Z31" s="141">
        <v>0.78</v>
      </c>
      <c r="AA31" s="141">
        <v>0.28000000000000003</v>
      </c>
      <c r="AB31" s="141">
        <v>0.5</v>
      </c>
      <c r="AC31" s="153">
        <v>6.6666666666666693E-2</v>
      </c>
      <c r="AD31" s="149">
        <f t="shared" si="93"/>
        <v>1692.4320000000007</v>
      </c>
      <c r="AE31" s="150">
        <f t="shared" si="94"/>
        <v>1415.2320000000007</v>
      </c>
      <c r="AF31" s="150">
        <f t="shared" si="95"/>
        <v>996.91200000000038</v>
      </c>
      <c r="AG31" s="150">
        <f t="shared" si="96"/>
        <v>78.624000000000038</v>
      </c>
      <c r="AH31" s="150">
        <f t="shared" si="97"/>
        <v>56.448000000000029</v>
      </c>
      <c r="AI31" s="159">
        <f t="shared" si="98"/>
        <v>1260.0000000000005</v>
      </c>
      <c r="AJ31" s="165">
        <f>SUM(AD25:AD31)-SUM(C25:C30)</f>
        <v>25386.479999999985</v>
      </c>
      <c r="AK31" s="166">
        <f t="shared" ref="AK31" si="274">SUM(AE25:AE31)-SUM(D25:D30)</f>
        <v>21228.479999999989</v>
      </c>
      <c r="AL31" s="166">
        <f t="shared" ref="AL31" si="275">SUM(AF25:AF31)-SUM(E25:E30)</f>
        <v>14953.679999999991</v>
      </c>
      <c r="AM31" s="166">
        <f t="shared" ref="AM31" si="276">SUM(AG25:AG31)-SUM(F25:F30)</f>
        <v>1179.3599999999994</v>
      </c>
      <c r="AN31" s="166">
        <f t="shared" ref="AN31" si="277">SUM(AH25:AH31)-SUM(G25:G30)</f>
        <v>846.71999999999946</v>
      </c>
      <c r="AO31" s="185">
        <f t="shared" ref="AO31" si="278">SUM(AI25:AI31)-SUM(H25:H30)</f>
        <v>18899.999999999985</v>
      </c>
      <c r="AP31" s="186">
        <f>SUM(C25:C31)/SUM(AD25:AD31)</f>
        <v>0</v>
      </c>
      <c r="AQ31" s="187">
        <f t="shared" ref="AQ31" si="279">SUM(D25:D31)/SUM(AE25:AE31)</f>
        <v>0</v>
      </c>
      <c r="AR31" s="187">
        <f t="shared" ref="AR31" si="280">SUM(E25:E31)/SUM(AF25:AF31)</f>
        <v>0</v>
      </c>
      <c r="AS31" s="187">
        <f t="shared" ref="AS31" si="281">SUM(F25:F31)/SUM(AG25:AG31)</f>
        <v>0</v>
      </c>
      <c r="AT31" s="187">
        <f t="shared" ref="AT31" si="282">SUM(G25:G31)/SUM(AH25:AH31)</f>
        <v>0</v>
      </c>
      <c r="AU31" s="188">
        <f t="shared" ref="AU31" si="283">SUM(H25:H31)/SUM(AI25:AI31)</f>
        <v>0</v>
      </c>
      <c r="AV31" s="176">
        <f t="shared" si="109"/>
        <v>0.27</v>
      </c>
      <c r="AW31" s="176">
        <f t="shared" si="110"/>
        <v>0.45999999999999996</v>
      </c>
      <c r="AX31" s="176">
        <f t="shared" si="111"/>
        <v>0.57000000000000006</v>
      </c>
      <c r="AY31" s="176">
        <f t="shared" si="112"/>
        <v>0.21999999999999997</v>
      </c>
      <c r="AZ31" s="176">
        <f t="shared" si="113"/>
        <v>0.72</v>
      </c>
      <c r="BA31" s="176">
        <f t="shared" si="114"/>
        <v>0.5</v>
      </c>
      <c r="BB31" s="193">
        <f t="shared" si="115"/>
        <v>0.93333333333333335</v>
      </c>
      <c r="BC31" s="150">
        <f t="shared" si="116"/>
        <v>625.9680000000003</v>
      </c>
      <c r="BD31" s="150">
        <f t="shared" si="117"/>
        <v>1205.5680000000004</v>
      </c>
      <c r="BE31" s="150">
        <f t="shared" si="118"/>
        <v>1321.4880000000007</v>
      </c>
      <c r="BF31" s="150">
        <f t="shared" si="119"/>
        <v>22.176000000000005</v>
      </c>
      <c r="BG31" s="150">
        <f t="shared" si="120"/>
        <v>145.15200000000004</v>
      </c>
      <c r="BH31" s="159">
        <f t="shared" si="121"/>
        <v>1260.0000000000005</v>
      </c>
      <c r="BI31" s="200">
        <f>SUM(BC25:BC31)-SUM(I25:I30)</f>
        <v>9389.519999999995</v>
      </c>
      <c r="BJ31" s="201">
        <f t="shared" ref="BJ31" si="284">SUM(BD25:BD31)-SUM(J25:J30)</f>
        <v>18083.519999999986</v>
      </c>
      <c r="BK31" s="201">
        <f t="shared" ref="BK31" si="285">SUM(BE25:BE31)-SUM(K25:K30)</f>
        <v>19822.319999999992</v>
      </c>
      <c r="BL31" s="201">
        <f t="shared" ref="BL31" si="286">SUM(BF25:BF31)-SUM(L25:L30)</f>
        <v>332.63999999999976</v>
      </c>
      <c r="BM31" s="201">
        <f t="shared" ref="BM31" si="287">SUM(BG25:BG31)-SUM(M25:M30)</f>
        <v>2177.2799999999984</v>
      </c>
      <c r="BN31" s="213">
        <f t="shared" ref="BN31" si="288">SUM(BH25:BH31)-SUM(N25:N30)</f>
        <v>18899.999999999985</v>
      </c>
      <c r="BO31" s="214">
        <f>SUM(I25:I31)/SUM(BC25:BC31)</f>
        <v>0</v>
      </c>
      <c r="BP31" s="215">
        <f t="shared" ref="BP31" si="289">SUM(J25:J31)/SUM(BD25:BD31)</f>
        <v>0</v>
      </c>
      <c r="BQ31" s="215">
        <f t="shared" ref="BQ31" si="290">SUM(K25:K31)/SUM(BE25:BE31)</f>
        <v>0</v>
      </c>
      <c r="BR31" s="215">
        <f t="shared" ref="BR31" si="291">SUM(L25:L31)/SUM(BF25:BF31)</f>
        <v>0</v>
      </c>
      <c r="BS31" s="215">
        <f t="shared" ref="BS31" si="292">SUM(M25:M31)/SUM(BG25:BG31)</f>
        <v>0</v>
      </c>
      <c r="BT31" s="216">
        <f t="shared" ref="BT31" si="293">SUM(N25:N31)/SUM(BH25:BH31)</f>
        <v>0</v>
      </c>
      <c r="BU31" s="223">
        <f t="shared" si="132"/>
        <v>2318.400000000001</v>
      </c>
      <c r="BV31" s="223">
        <f t="shared" si="133"/>
        <v>2620.8000000000011</v>
      </c>
      <c r="BW31" s="223">
        <f t="shared" si="134"/>
        <v>2318.400000000001</v>
      </c>
      <c r="BX31" s="223">
        <f t="shared" si="135"/>
        <v>100.80000000000004</v>
      </c>
      <c r="BY31" s="223">
        <f t="shared" si="136"/>
        <v>201.60000000000008</v>
      </c>
      <c r="BZ31" s="228">
        <f t="shared" si="137"/>
        <v>2520.0000000000009</v>
      </c>
      <c r="CA31" s="222">
        <f>SUM($BU$25:BZ31)</f>
        <v>151199.99999999985</v>
      </c>
      <c r="CB31" s="223">
        <f t="shared" si="163"/>
        <v>34775.999999999978</v>
      </c>
      <c r="CC31" s="223">
        <f t="shared" si="164"/>
        <v>39311.999999999971</v>
      </c>
      <c r="CD31" s="223">
        <f t="shared" si="165"/>
        <v>34775.999999999985</v>
      </c>
      <c r="CE31" s="223">
        <f t="shared" si="166"/>
        <v>1511.9999999999991</v>
      </c>
      <c r="CF31" s="223">
        <f t="shared" si="167"/>
        <v>3023.9999999999977</v>
      </c>
      <c r="CG31" s="228">
        <f t="shared" si="168"/>
        <v>37799.999999999971</v>
      </c>
      <c r="CH31" s="234">
        <f>(SUM(I25:I31)+SUM(C25:C31))/SUM(BU25:BU31)</f>
        <v>0</v>
      </c>
      <c r="CI31" s="235">
        <f t="shared" ref="CI31" si="294">(SUM(J25:J31)+SUM(D25:D31))/SUM(BV25:BV31)</f>
        <v>0</v>
      </c>
      <c r="CJ31" s="235">
        <f t="shared" ref="CJ31" si="295">(SUM(K25:K31)+SUM(E25:E31))/SUM(BW25:BW31)</f>
        <v>0</v>
      </c>
      <c r="CK31" s="235">
        <f t="shared" ref="CK31" si="296">(SUM(L25:L31)+SUM(F25:F31))/SUM(BX25:BX31)</f>
        <v>0</v>
      </c>
      <c r="CL31" s="235">
        <f t="shared" ref="CL31" si="297">(SUM(M25:M31)+SUM(G25:G31))/SUM(BY25:BY31)</f>
        <v>0</v>
      </c>
      <c r="CM31" s="238">
        <f t="shared" ref="CM31" si="298">(SUM(N25:N31)+SUM(H25:H31))/SUM(BZ25:BZ31)</f>
        <v>0</v>
      </c>
    </row>
    <row r="32" spans="1:91" ht="14.25">
      <c r="A32" s="75">
        <v>44543</v>
      </c>
      <c r="B32" s="76">
        <v>1</v>
      </c>
      <c r="C32" s="77"/>
      <c r="D32" s="78"/>
      <c r="E32" s="78"/>
      <c r="F32" s="78"/>
      <c r="G32" s="78"/>
      <c r="H32" s="78"/>
      <c r="I32" s="94"/>
      <c r="J32" s="94"/>
      <c r="K32" s="94"/>
      <c r="L32" s="94"/>
      <c r="M32" s="94"/>
      <c r="N32" s="95"/>
      <c r="O32" s="113"/>
      <c r="P32" s="108">
        <f t="shared" si="20"/>
        <v>151200</v>
      </c>
      <c r="Q32" s="133">
        <v>0.23</v>
      </c>
      <c r="R32" s="134">
        <v>0.26</v>
      </c>
      <c r="S32" s="134">
        <v>0.23</v>
      </c>
      <c r="T32" s="134">
        <v>0.01</v>
      </c>
      <c r="U32" s="134">
        <v>0.02</v>
      </c>
      <c r="V32" s="135">
        <v>0.25</v>
      </c>
      <c r="W32" s="136">
        <v>0.73</v>
      </c>
      <c r="X32" s="137">
        <v>0.54</v>
      </c>
      <c r="Y32" s="137">
        <v>0.43</v>
      </c>
      <c r="Z32" s="137">
        <v>0.78</v>
      </c>
      <c r="AA32" s="137">
        <v>0.28000000000000003</v>
      </c>
      <c r="AB32" s="137">
        <v>0.5</v>
      </c>
      <c r="AC32" s="151">
        <v>0.2</v>
      </c>
      <c r="AD32" s="146">
        <f t="shared" si="93"/>
        <v>5077.2960000000003</v>
      </c>
      <c r="AE32" s="147">
        <f t="shared" si="94"/>
        <v>4245.6960000000008</v>
      </c>
      <c r="AF32" s="147">
        <f t="shared" si="95"/>
        <v>2990.7360000000003</v>
      </c>
      <c r="AG32" s="147">
        <f t="shared" si="96"/>
        <v>235.87200000000004</v>
      </c>
      <c r="AH32" s="147">
        <f t="shared" si="97"/>
        <v>169.34400000000002</v>
      </c>
      <c r="AI32" s="158">
        <f t="shared" si="98"/>
        <v>3780</v>
      </c>
      <c r="AJ32" s="161">
        <f>AD32</f>
        <v>5077.2960000000003</v>
      </c>
      <c r="AK32" s="162">
        <f t="shared" ref="AK32" si="299">AE32</f>
        <v>4245.6960000000008</v>
      </c>
      <c r="AL32" s="162">
        <f t="shared" ref="AL32" si="300">AF32</f>
        <v>2990.7360000000003</v>
      </c>
      <c r="AM32" s="162">
        <f t="shared" ref="AM32" si="301">AG32</f>
        <v>235.87200000000004</v>
      </c>
      <c r="AN32" s="162">
        <f t="shared" ref="AN32" si="302">AH32</f>
        <v>169.34400000000002</v>
      </c>
      <c r="AO32" s="177">
        <f t="shared" ref="AO32" si="303">AI32</f>
        <v>3780</v>
      </c>
      <c r="AP32" s="178">
        <f>SUM(C32:C32)/SUM(AD32:AD32)</f>
        <v>0</v>
      </c>
      <c r="AQ32" s="179">
        <f t="shared" ref="AQ32" si="304">SUM(D32:D32)/SUM(AE32:AE32)</f>
        <v>0</v>
      </c>
      <c r="AR32" s="179">
        <f t="shared" ref="AR32" si="305">SUM(E32:E32)/SUM(AF32:AF32)</f>
        <v>0</v>
      </c>
      <c r="AS32" s="179">
        <f t="shared" ref="AS32" si="306">SUM(F32:F32)/SUM(AG32:AG32)</f>
        <v>0</v>
      </c>
      <c r="AT32" s="179">
        <f t="shared" ref="AT32" si="307">SUM(G32:G32)/SUM(AH32:AH32)</f>
        <v>0</v>
      </c>
      <c r="AU32" s="180">
        <f t="shared" ref="AU32" si="308">SUM(H32:H32)/SUM(AI32:AI32)</f>
        <v>0</v>
      </c>
      <c r="AV32" s="172">
        <f t="shared" si="109"/>
        <v>0.27</v>
      </c>
      <c r="AW32" s="172">
        <f t="shared" si="110"/>
        <v>0.45999999999999996</v>
      </c>
      <c r="AX32" s="172">
        <f t="shared" si="111"/>
        <v>0.57000000000000006</v>
      </c>
      <c r="AY32" s="172">
        <f t="shared" si="112"/>
        <v>0.21999999999999997</v>
      </c>
      <c r="AZ32" s="172">
        <f t="shared" si="113"/>
        <v>0.72</v>
      </c>
      <c r="BA32" s="172">
        <f t="shared" si="114"/>
        <v>0.5</v>
      </c>
      <c r="BB32" s="191">
        <f t="shared" si="115"/>
        <v>0.8</v>
      </c>
      <c r="BC32" s="192">
        <f t="shared" si="116"/>
        <v>1877.9040000000002</v>
      </c>
      <c r="BD32" s="192">
        <f t="shared" si="117"/>
        <v>3616.7040000000002</v>
      </c>
      <c r="BE32" s="192">
        <f t="shared" si="118"/>
        <v>3964.4640000000009</v>
      </c>
      <c r="BF32" s="192">
        <f t="shared" si="119"/>
        <v>66.528000000000006</v>
      </c>
      <c r="BG32" s="192">
        <f t="shared" si="120"/>
        <v>435.45600000000002</v>
      </c>
      <c r="BH32" s="158">
        <f t="shared" si="121"/>
        <v>3780</v>
      </c>
      <c r="BI32" s="196">
        <f>BC32</f>
        <v>1877.9040000000002</v>
      </c>
      <c r="BJ32" s="197">
        <f t="shared" ref="BJ32" si="309">BD32</f>
        <v>3616.7040000000002</v>
      </c>
      <c r="BK32" s="197">
        <f t="shared" ref="BK32" si="310">BE32</f>
        <v>3964.4640000000009</v>
      </c>
      <c r="BL32" s="197">
        <f t="shared" ref="BL32" si="311">BF32</f>
        <v>66.528000000000006</v>
      </c>
      <c r="BM32" s="197">
        <f t="shared" ref="BM32" si="312">BG32</f>
        <v>435.45600000000002</v>
      </c>
      <c r="BN32" s="205">
        <f t="shared" ref="BN32" si="313">BH32</f>
        <v>3780</v>
      </c>
      <c r="BO32" s="206">
        <f>SUM(I32:I32)/SUM(BC32:BC32)</f>
        <v>0</v>
      </c>
      <c r="BP32" s="207">
        <f t="shared" ref="BP32" si="314">SUM(J32:J32)/SUM(BD32:BD32)</f>
        <v>0</v>
      </c>
      <c r="BQ32" s="207">
        <f t="shared" ref="BQ32" si="315">SUM(K32:K32)/SUM(BE32:BE32)</f>
        <v>0</v>
      </c>
      <c r="BR32" s="207">
        <f t="shared" ref="BR32" si="316">SUM(L32:L32)/SUM(BF32:BF32)</f>
        <v>0</v>
      </c>
      <c r="BS32" s="207">
        <f t="shared" ref="BS32" si="317">SUM(M32:M32)/SUM(BG32:BG32)</f>
        <v>0</v>
      </c>
      <c r="BT32" s="208">
        <f t="shared" ref="BT32" si="318">SUM(N32:N32)/SUM(BH32:BH32)</f>
        <v>0</v>
      </c>
      <c r="BU32" s="220">
        <f t="shared" si="132"/>
        <v>6955.2000000000007</v>
      </c>
      <c r="BV32" s="220">
        <f t="shared" si="133"/>
        <v>7862.4000000000015</v>
      </c>
      <c r="BW32" s="220">
        <f t="shared" si="134"/>
        <v>6955.2000000000007</v>
      </c>
      <c r="BX32" s="220">
        <f t="shared" si="135"/>
        <v>302.40000000000003</v>
      </c>
      <c r="BY32" s="225">
        <f t="shared" si="136"/>
        <v>604.80000000000007</v>
      </c>
      <c r="BZ32" s="226">
        <f t="shared" si="137"/>
        <v>7560</v>
      </c>
      <c r="CA32" s="227">
        <f>SUM($BU$32:BZ32)</f>
        <v>30240.000000000004</v>
      </c>
      <c r="CB32" s="225">
        <f t="shared" si="163"/>
        <v>6955.2000000000007</v>
      </c>
      <c r="CC32" s="220">
        <f t="shared" si="164"/>
        <v>7862.4000000000015</v>
      </c>
      <c r="CD32" s="220">
        <f t="shared" si="165"/>
        <v>6955.2000000000007</v>
      </c>
      <c r="CE32" s="220">
        <f t="shared" si="166"/>
        <v>302.40000000000003</v>
      </c>
      <c r="CF32" s="220">
        <f t="shared" si="167"/>
        <v>604.80000000000007</v>
      </c>
      <c r="CG32" s="221">
        <f t="shared" si="168"/>
        <v>7560</v>
      </c>
      <c r="CH32" s="230">
        <f>(SUM(I32:I32)+SUM(C32:C32))/SUM(BU32:BU32)</f>
        <v>0</v>
      </c>
      <c r="CI32" s="231">
        <f t="shared" ref="CI32" si="319">(SUM(J32:J32)+SUM(D32:D32))/SUM(BV32:BV32)</f>
        <v>0</v>
      </c>
      <c r="CJ32" s="231">
        <f t="shared" ref="CJ32" si="320">(SUM(K32:K32)+SUM(E32:E32))/SUM(BW32:BW32)</f>
        <v>0</v>
      </c>
      <c r="CK32" s="231">
        <f t="shared" ref="CK32" si="321">(SUM(L32:L32)+SUM(F32:F32))/SUM(BX32:BX32)</f>
        <v>0</v>
      </c>
      <c r="CL32" s="231">
        <f t="shared" ref="CL32" si="322">(SUM(M32:M32)+SUM(G32:G32))/SUM(BY32:BY32)</f>
        <v>0</v>
      </c>
      <c r="CM32" s="236">
        <f t="shared" ref="CM32" si="323">(SUM(N32:N32)+SUM(H32:H32))/SUM(BZ32:BZ32)</f>
        <v>0</v>
      </c>
    </row>
    <row r="33" spans="1:91" ht="14.25">
      <c r="A33" s="75">
        <v>44544</v>
      </c>
      <c r="B33" s="76">
        <v>2</v>
      </c>
      <c r="C33" s="79"/>
      <c r="D33" s="80"/>
      <c r="E33" s="80"/>
      <c r="F33" s="80"/>
      <c r="G33" s="80"/>
      <c r="H33" s="80"/>
      <c r="I33" s="98"/>
      <c r="J33" s="98"/>
      <c r="K33" s="98"/>
      <c r="L33" s="98"/>
      <c r="M33" s="98"/>
      <c r="N33" s="99"/>
      <c r="O33" s="114"/>
      <c r="P33" s="109">
        <f t="shared" si="20"/>
        <v>151200</v>
      </c>
      <c r="Q33" s="123">
        <v>0.23</v>
      </c>
      <c r="R33" s="124">
        <v>0.26</v>
      </c>
      <c r="S33" s="124">
        <v>0.23</v>
      </c>
      <c r="T33" s="124">
        <v>0.01</v>
      </c>
      <c r="U33" s="124">
        <v>0.02</v>
      </c>
      <c r="V33" s="125">
        <v>0.25</v>
      </c>
      <c r="W33" s="138">
        <v>0.73</v>
      </c>
      <c r="X33" s="139">
        <v>0.54</v>
      </c>
      <c r="Y33" s="139">
        <v>0.43</v>
      </c>
      <c r="Z33" s="139">
        <v>0.78</v>
      </c>
      <c r="AA33" s="139">
        <v>0.28000000000000003</v>
      </c>
      <c r="AB33" s="139">
        <v>0.5</v>
      </c>
      <c r="AC33" s="152">
        <v>0.2</v>
      </c>
      <c r="AD33" s="146">
        <f t="shared" si="93"/>
        <v>5077.2960000000003</v>
      </c>
      <c r="AE33" s="147">
        <f t="shared" si="94"/>
        <v>4245.6960000000008</v>
      </c>
      <c r="AF33" s="147">
        <f t="shared" si="95"/>
        <v>2990.7360000000003</v>
      </c>
      <c r="AG33" s="147">
        <f t="shared" si="96"/>
        <v>235.87200000000004</v>
      </c>
      <c r="AH33" s="147">
        <f t="shared" si="97"/>
        <v>169.34400000000002</v>
      </c>
      <c r="AI33" s="158">
        <f t="shared" si="98"/>
        <v>3780</v>
      </c>
      <c r="AJ33" s="163">
        <f>SUM(AD32:AD33)-SUM(C32:C32)</f>
        <v>10154.592000000001</v>
      </c>
      <c r="AK33" s="164">
        <f t="shared" ref="AK33" si="324">SUM(AE32:AE33)-SUM(D32:D32)</f>
        <v>8491.3920000000016</v>
      </c>
      <c r="AL33" s="164">
        <f t="shared" ref="AL33" si="325">SUM(AF32:AF33)-SUM(E32:E32)</f>
        <v>5981.4720000000007</v>
      </c>
      <c r="AM33" s="164">
        <f t="shared" ref="AM33" si="326">SUM(AG32:AG33)-SUM(F32:F32)</f>
        <v>471.74400000000009</v>
      </c>
      <c r="AN33" s="164">
        <f t="shared" ref="AN33" si="327">SUM(AH32:AH33)-SUM(G32:G32)</f>
        <v>338.68800000000005</v>
      </c>
      <c r="AO33" s="181">
        <f t="shared" ref="AO33" si="328">SUM(AI32:AI33)-SUM(H32:H32)</f>
        <v>7560</v>
      </c>
      <c r="AP33" s="182">
        <f>SUM(C32:C33)/SUM(AD32:AD33)</f>
        <v>0</v>
      </c>
      <c r="AQ33" s="183">
        <f t="shared" ref="AQ33" si="329">SUM(D32:D33)/SUM(AE32:AE33)</f>
        <v>0</v>
      </c>
      <c r="AR33" s="183">
        <f t="shared" ref="AR33" si="330">SUM(E32:E33)/SUM(AF32:AF33)</f>
        <v>0</v>
      </c>
      <c r="AS33" s="183">
        <f t="shared" ref="AS33" si="331">SUM(F32:F33)/SUM(AG32:AG33)</f>
        <v>0</v>
      </c>
      <c r="AT33" s="183">
        <f t="shared" ref="AT33" si="332">SUM(G32:G33)/SUM(AH32:AH33)</f>
        <v>0</v>
      </c>
      <c r="AU33" s="184">
        <f t="shared" ref="AU33" si="333">SUM(H32:H33)/SUM(AI32:AI33)</f>
        <v>0</v>
      </c>
      <c r="AV33" s="172">
        <f t="shared" si="109"/>
        <v>0.27</v>
      </c>
      <c r="AW33" s="172">
        <f t="shared" si="110"/>
        <v>0.45999999999999996</v>
      </c>
      <c r="AX33" s="172">
        <f t="shared" si="111"/>
        <v>0.57000000000000006</v>
      </c>
      <c r="AY33" s="172">
        <f t="shared" si="112"/>
        <v>0.21999999999999997</v>
      </c>
      <c r="AZ33" s="172">
        <f t="shared" si="113"/>
        <v>0.72</v>
      </c>
      <c r="BA33" s="172">
        <f t="shared" si="114"/>
        <v>0.5</v>
      </c>
      <c r="BB33" s="191">
        <f t="shared" si="115"/>
        <v>0.8</v>
      </c>
      <c r="BC33" s="192">
        <f t="shared" si="116"/>
        <v>1877.9040000000002</v>
      </c>
      <c r="BD33" s="192">
        <f t="shared" si="117"/>
        <v>3616.7040000000002</v>
      </c>
      <c r="BE33" s="192">
        <f t="shared" si="118"/>
        <v>3964.4640000000009</v>
      </c>
      <c r="BF33" s="192">
        <f t="shared" si="119"/>
        <v>66.528000000000006</v>
      </c>
      <c r="BG33" s="192">
        <f t="shared" si="120"/>
        <v>435.45600000000002</v>
      </c>
      <c r="BH33" s="158">
        <f t="shared" si="121"/>
        <v>3780</v>
      </c>
      <c r="BI33" s="198">
        <f>SUM(BC32:BC33)-SUM(I32:I32)</f>
        <v>3755.8080000000004</v>
      </c>
      <c r="BJ33" s="199">
        <f t="shared" ref="BJ33" si="334">SUM(BD32:BD33)-SUM(J32:J32)</f>
        <v>7233.4080000000004</v>
      </c>
      <c r="BK33" s="199">
        <f t="shared" ref="BK33" si="335">SUM(BE32:BE33)-SUM(K32:K32)</f>
        <v>7928.9280000000017</v>
      </c>
      <c r="BL33" s="199">
        <f t="shared" ref="BL33" si="336">SUM(BF32:BF33)-SUM(L32:L32)</f>
        <v>133.05600000000001</v>
      </c>
      <c r="BM33" s="199">
        <f t="shared" ref="BM33" si="337">SUM(BG32:BG33)-SUM(M32:M32)</f>
        <v>870.91200000000003</v>
      </c>
      <c r="BN33" s="209">
        <f t="shared" ref="BN33" si="338">SUM(BH32:BH33)-SUM(N32:N32)</f>
        <v>7560</v>
      </c>
      <c r="BO33" s="210">
        <f>SUM(I32:I33)/SUM(BC32:BC33)</f>
        <v>0</v>
      </c>
      <c r="BP33" s="211">
        <f t="shared" ref="BP33" si="339">SUM(J32:J33)/SUM(BD32:BD33)</f>
        <v>0</v>
      </c>
      <c r="BQ33" s="211">
        <f t="shared" ref="BQ33" si="340">SUM(K32:K33)/SUM(BE32:BE33)</f>
        <v>0</v>
      </c>
      <c r="BR33" s="211">
        <f t="shared" ref="BR33" si="341">SUM(L32:L33)/SUM(BF32:BF33)</f>
        <v>0</v>
      </c>
      <c r="BS33" s="211">
        <f t="shared" ref="BS33" si="342">SUM(M32:M33)/SUM(BG32:BG33)</f>
        <v>0</v>
      </c>
      <c r="BT33" s="212">
        <f t="shared" ref="BT33" si="343">SUM(N32:N33)/SUM(BH32:BH33)</f>
        <v>0</v>
      </c>
      <c r="BU33" s="220">
        <f t="shared" si="132"/>
        <v>6955.2000000000007</v>
      </c>
      <c r="BV33" s="220">
        <f t="shared" si="133"/>
        <v>7862.4000000000015</v>
      </c>
      <c r="BW33" s="220">
        <f t="shared" si="134"/>
        <v>6955.2000000000007</v>
      </c>
      <c r="BX33" s="220">
        <f t="shared" si="135"/>
        <v>302.40000000000003</v>
      </c>
      <c r="BY33" s="224">
        <f t="shared" si="136"/>
        <v>604.80000000000007</v>
      </c>
      <c r="BZ33" s="221">
        <f t="shared" si="137"/>
        <v>7560</v>
      </c>
      <c r="CA33" s="222">
        <f>SUM($BU$32:BZ33)</f>
        <v>60480.000000000007</v>
      </c>
      <c r="CB33" s="224">
        <f t="shared" si="163"/>
        <v>13910.400000000001</v>
      </c>
      <c r="CC33" s="220">
        <f t="shared" si="164"/>
        <v>15724.800000000003</v>
      </c>
      <c r="CD33" s="220">
        <f t="shared" si="165"/>
        <v>13910.400000000001</v>
      </c>
      <c r="CE33" s="220">
        <f t="shared" si="166"/>
        <v>604.80000000000007</v>
      </c>
      <c r="CF33" s="220">
        <f t="shared" si="167"/>
        <v>1209.6000000000001</v>
      </c>
      <c r="CG33" s="221">
        <f t="shared" si="168"/>
        <v>15120</v>
      </c>
      <c r="CH33" s="232">
        <f>(SUM(I32:I33)+SUM(C32:C33))/SUM(BU32:BU33)</f>
        <v>0</v>
      </c>
      <c r="CI33" s="233">
        <f t="shared" ref="CI33" si="344">(SUM(J32:J33)+SUM(D32:D33))/SUM(BV32:BV33)</f>
        <v>0</v>
      </c>
      <c r="CJ33" s="233">
        <f t="shared" ref="CJ33" si="345">(SUM(K32:K33)+SUM(E32:E33))/SUM(BW32:BW33)</f>
        <v>0</v>
      </c>
      <c r="CK33" s="233">
        <f t="shared" ref="CK33" si="346">(SUM(L32:L33)+SUM(F32:F33))/SUM(BX32:BX33)</f>
        <v>0</v>
      </c>
      <c r="CL33" s="233">
        <f t="shared" ref="CL33" si="347">(SUM(M32:M33)+SUM(G32:G33))/SUM(BY32:BY33)</f>
        <v>0</v>
      </c>
      <c r="CM33" s="237">
        <f t="shared" ref="CM33" si="348">(SUM(N32:N33)+SUM(H32:H33))/SUM(BZ32:BZ33)</f>
        <v>0</v>
      </c>
    </row>
    <row r="34" spans="1:91" ht="14.25">
      <c r="A34" s="75">
        <v>44545</v>
      </c>
      <c r="B34" s="76">
        <v>3</v>
      </c>
      <c r="C34" s="79"/>
      <c r="D34" s="80"/>
      <c r="E34" s="80"/>
      <c r="F34" s="80"/>
      <c r="G34" s="80"/>
      <c r="H34" s="80"/>
      <c r="I34" s="98"/>
      <c r="J34" s="98"/>
      <c r="K34" s="98"/>
      <c r="L34" s="98"/>
      <c r="M34" s="98"/>
      <c r="N34" s="99"/>
      <c r="O34" s="114"/>
      <c r="P34" s="109">
        <f t="shared" si="20"/>
        <v>151200</v>
      </c>
      <c r="Q34" s="123">
        <v>0.23</v>
      </c>
      <c r="R34" s="124">
        <v>0.26</v>
      </c>
      <c r="S34" s="124">
        <v>0.23</v>
      </c>
      <c r="T34" s="124">
        <v>0.01</v>
      </c>
      <c r="U34" s="124">
        <v>0.02</v>
      </c>
      <c r="V34" s="125">
        <v>0.25</v>
      </c>
      <c r="W34" s="138">
        <v>0.73</v>
      </c>
      <c r="X34" s="139">
        <v>0.54</v>
      </c>
      <c r="Y34" s="139">
        <v>0.43</v>
      </c>
      <c r="Z34" s="139">
        <v>0.78</v>
      </c>
      <c r="AA34" s="139">
        <v>0.28000000000000003</v>
      </c>
      <c r="AB34" s="139">
        <v>0.5</v>
      </c>
      <c r="AC34" s="152">
        <v>0.2</v>
      </c>
      <c r="AD34" s="146">
        <f t="shared" si="93"/>
        <v>5077.2960000000003</v>
      </c>
      <c r="AE34" s="147">
        <f t="shared" si="94"/>
        <v>4245.6960000000008</v>
      </c>
      <c r="AF34" s="147">
        <f t="shared" si="95"/>
        <v>2990.7360000000003</v>
      </c>
      <c r="AG34" s="147">
        <f t="shared" si="96"/>
        <v>235.87200000000004</v>
      </c>
      <c r="AH34" s="147">
        <f t="shared" si="97"/>
        <v>169.34400000000002</v>
      </c>
      <c r="AI34" s="158">
        <f t="shared" si="98"/>
        <v>3780</v>
      </c>
      <c r="AJ34" s="163">
        <f>SUM(AD32:AD34)-SUM(C32:C33)</f>
        <v>15231.888000000001</v>
      </c>
      <c r="AK34" s="164">
        <f t="shared" ref="AK34" si="349">SUM(AE32:AE34)-SUM(D32:D33)</f>
        <v>12737.088000000003</v>
      </c>
      <c r="AL34" s="164">
        <f t="shared" ref="AL34" si="350">SUM(AF32:AF34)-SUM(E32:E33)</f>
        <v>8972.2080000000005</v>
      </c>
      <c r="AM34" s="164">
        <f t="shared" ref="AM34" si="351">SUM(AG32:AG34)-SUM(F32:F33)</f>
        <v>707.6160000000001</v>
      </c>
      <c r="AN34" s="164">
        <f t="shared" ref="AN34" si="352">SUM(AH32:AH34)-SUM(G32:G33)</f>
        <v>508.03200000000004</v>
      </c>
      <c r="AO34" s="181">
        <f t="shared" ref="AO34" si="353">SUM(AI32:AI34)-SUM(H32:H33)</f>
        <v>11340</v>
      </c>
      <c r="AP34" s="182">
        <f>SUM(C32:C34)/SUM(AD32:AD34)</f>
        <v>0</v>
      </c>
      <c r="AQ34" s="183">
        <f t="shared" ref="AQ34" si="354">SUM(D32:D34)/SUM(AE32:AE34)</f>
        <v>0</v>
      </c>
      <c r="AR34" s="183">
        <f t="shared" ref="AR34" si="355">SUM(E32:E34)/SUM(AF32:AF34)</f>
        <v>0</v>
      </c>
      <c r="AS34" s="183">
        <f t="shared" ref="AS34" si="356">SUM(F32:F34)/SUM(AG32:AG34)</f>
        <v>0</v>
      </c>
      <c r="AT34" s="183">
        <f t="shared" ref="AT34" si="357">SUM(G32:G34)/SUM(AH32:AH34)</f>
        <v>0</v>
      </c>
      <c r="AU34" s="184">
        <f t="shared" ref="AU34" si="358">SUM(H32:H34)/SUM(AI32:AI34)</f>
        <v>0</v>
      </c>
      <c r="AV34" s="172">
        <f t="shared" si="109"/>
        <v>0.27</v>
      </c>
      <c r="AW34" s="172">
        <f t="shared" si="110"/>
        <v>0.45999999999999996</v>
      </c>
      <c r="AX34" s="172">
        <f t="shared" si="111"/>
        <v>0.57000000000000006</v>
      </c>
      <c r="AY34" s="172">
        <f t="shared" si="112"/>
        <v>0.21999999999999997</v>
      </c>
      <c r="AZ34" s="172">
        <f t="shared" si="113"/>
        <v>0.72</v>
      </c>
      <c r="BA34" s="172">
        <f t="shared" si="114"/>
        <v>0.5</v>
      </c>
      <c r="BB34" s="191">
        <f t="shared" si="115"/>
        <v>0.8</v>
      </c>
      <c r="BC34" s="192">
        <f t="shared" si="116"/>
        <v>1877.9040000000002</v>
      </c>
      <c r="BD34" s="192">
        <f t="shared" si="117"/>
        <v>3616.7040000000002</v>
      </c>
      <c r="BE34" s="192">
        <f t="shared" si="118"/>
        <v>3964.4640000000009</v>
      </c>
      <c r="BF34" s="192">
        <f t="shared" si="119"/>
        <v>66.528000000000006</v>
      </c>
      <c r="BG34" s="192">
        <f t="shared" si="120"/>
        <v>435.45600000000002</v>
      </c>
      <c r="BH34" s="158">
        <f t="shared" si="121"/>
        <v>3780</v>
      </c>
      <c r="BI34" s="198">
        <f>SUM(BC32:BC34)-SUM(I32:I33)</f>
        <v>5633.7120000000004</v>
      </c>
      <c r="BJ34" s="199">
        <f t="shared" ref="BJ34" si="359">SUM(BD32:BD34)-SUM(J32:J33)</f>
        <v>10850.112000000001</v>
      </c>
      <c r="BK34" s="199">
        <f t="shared" ref="BK34" si="360">SUM(BE32:BE34)-SUM(K32:K33)</f>
        <v>11893.392000000003</v>
      </c>
      <c r="BL34" s="199">
        <f t="shared" ref="BL34" si="361">SUM(BF32:BF34)-SUM(L32:L33)</f>
        <v>199.584</v>
      </c>
      <c r="BM34" s="199">
        <f t="shared" ref="BM34" si="362">SUM(BG32:BG34)-SUM(M32:M33)</f>
        <v>1306.3679999999999</v>
      </c>
      <c r="BN34" s="209">
        <f t="shared" ref="BN34" si="363">SUM(BH32:BH34)-SUM(N32:N33)</f>
        <v>11340</v>
      </c>
      <c r="BO34" s="210">
        <f>SUM(I32:I34)/SUM(BC32:BC34)</f>
        <v>0</v>
      </c>
      <c r="BP34" s="211">
        <f t="shared" ref="BP34" si="364">SUM(J32:J34)/SUM(BD32:BD34)</f>
        <v>0</v>
      </c>
      <c r="BQ34" s="211">
        <f t="shared" ref="BQ34" si="365">SUM(K32:K34)/SUM(BE32:BE34)</f>
        <v>0</v>
      </c>
      <c r="BR34" s="211">
        <f t="shared" ref="BR34" si="366">SUM(L32:L34)/SUM(BF32:BF34)</f>
        <v>0</v>
      </c>
      <c r="BS34" s="211">
        <f t="shared" ref="BS34" si="367">SUM(M32:M34)/SUM(BG32:BG34)</f>
        <v>0</v>
      </c>
      <c r="BT34" s="212">
        <f t="shared" ref="BT34" si="368">SUM(N32:N34)/SUM(BH32:BH34)</f>
        <v>0</v>
      </c>
      <c r="BU34" s="220">
        <f t="shared" si="132"/>
        <v>6955.2000000000007</v>
      </c>
      <c r="BV34" s="220">
        <f t="shared" si="133"/>
        <v>7862.4000000000015</v>
      </c>
      <c r="BW34" s="220">
        <f t="shared" si="134"/>
        <v>6955.2000000000007</v>
      </c>
      <c r="BX34" s="220">
        <f t="shared" si="135"/>
        <v>302.40000000000003</v>
      </c>
      <c r="BY34" s="224">
        <f t="shared" si="136"/>
        <v>604.80000000000007</v>
      </c>
      <c r="BZ34" s="221">
        <f t="shared" si="137"/>
        <v>7560</v>
      </c>
      <c r="CA34" s="222">
        <f>SUM($BU$32:BZ34)</f>
        <v>90720</v>
      </c>
      <c r="CB34" s="224">
        <f t="shared" si="163"/>
        <v>20865.600000000002</v>
      </c>
      <c r="CC34" s="220">
        <f t="shared" si="164"/>
        <v>23587.200000000004</v>
      </c>
      <c r="CD34" s="220">
        <f t="shared" si="165"/>
        <v>20865.600000000006</v>
      </c>
      <c r="CE34" s="220">
        <f t="shared" si="166"/>
        <v>907.2</v>
      </c>
      <c r="CF34" s="220">
        <f t="shared" si="167"/>
        <v>1814.4</v>
      </c>
      <c r="CG34" s="221">
        <f t="shared" si="168"/>
        <v>22680</v>
      </c>
      <c r="CH34" s="232">
        <f>(SUM(I32:I34)+SUM(C32:C34))/SUM(BU32:BU34)</f>
        <v>0</v>
      </c>
      <c r="CI34" s="233">
        <f t="shared" ref="CI34" si="369">(SUM(J32:J34)+SUM(D32:D34))/SUM(BV32:BV34)</f>
        <v>0</v>
      </c>
      <c r="CJ34" s="233">
        <f t="shared" ref="CJ34" si="370">(SUM(K32:K34)+SUM(E32:E34))/SUM(BW32:BW34)</f>
        <v>0</v>
      </c>
      <c r="CK34" s="233">
        <f t="shared" ref="CK34" si="371">(SUM(L32:L34)+SUM(F32:F34))/SUM(BX32:BX34)</f>
        <v>0</v>
      </c>
      <c r="CL34" s="233">
        <f t="shared" ref="CL34" si="372">(SUM(M32:M34)+SUM(G32:G34))/SUM(BY32:BY34)</f>
        <v>0</v>
      </c>
      <c r="CM34" s="237">
        <f t="shared" ref="CM34" si="373">(SUM(N32:N34)+SUM(H32:H34))/SUM(BZ32:BZ34)</f>
        <v>0</v>
      </c>
    </row>
    <row r="35" spans="1:91" ht="14.25">
      <c r="A35" s="75">
        <v>44546</v>
      </c>
      <c r="B35" s="76">
        <v>4</v>
      </c>
      <c r="C35" s="79"/>
      <c r="D35" s="80"/>
      <c r="E35" s="80"/>
      <c r="F35" s="80"/>
      <c r="G35" s="80"/>
      <c r="H35" s="80"/>
      <c r="I35" s="98"/>
      <c r="J35" s="98"/>
      <c r="K35" s="98"/>
      <c r="L35" s="98"/>
      <c r="M35" s="98"/>
      <c r="N35" s="99"/>
      <c r="O35" s="114"/>
      <c r="P35" s="109">
        <f t="shared" si="20"/>
        <v>151200</v>
      </c>
      <c r="Q35" s="123">
        <v>0.23</v>
      </c>
      <c r="R35" s="124">
        <v>0.26</v>
      </c>
      <c r="S35" s="124">
        <v>0.23</v>
      </c>
      <c r="T35" s="124">
        <v>0.01</v>
      </c>
      <c r="U35" s="124">
        <v>0.02</v>
      </c>
      <c r="V35" s="125">
        <v>0.25</v>
      </c>
      <c r="W35" s="138">
        <v>0.73</v>
      </c>
      <c r="X35" s="139">
        <v>0.54</v>
      </c>
      <c r="Y35" s="139">
        <v>0.43</v>
      </c>
      <c r="Z35" s="139">
        <v>0.78</v>
      </c>
      <c r="AA35" s="139">
        <v>0.28000000000000003</v>
      </c>
      <c r="AB35" s="139">
        <v>0.5</v>
      </c>
      <c r="AC35" s="152">
        <v>0.133333333333333</v>
      </c>
      <c r="AD35" s="146">
        <f t="shared" si="93"/>
        <v>3384.8639999999914</v>
      </c>
      <c r="AE35" s="147">
        <f t="shared" si="94"/>
        <v>2830.4639999999931</v>
      </c>
      <c r="AF35" s="147">
        <f t="shared" si="95"/>
        <v>1993.8239999999951</v>
      </c>
      <c r="AG35" s="147">
        <f t="shared" si="96"/>
        <v>157.24799999999959</v>
      </c>
      <c r="AH35" s="147">
        <f t="shared" si="97"/>
        <v>112.89599999999972</v>
      </c>
      <c r="AI35" s="158">
        <f t="shared" si="98"/>
        <v>2519.9999999999936</v>
      </c>
      <c r="AJ35" s="163">
        <f>SUM(AD32:AD35)-SUM(C32:C34)</f>
        <v>18616.751999999993</v>
      </c>
      <c r="AK35" s="164">
        <f t="shared" ref="AK35" si="374">SUM(AE32:AE35)-SUM(D32:D34)</f>
        <v>15567.551999999996</v>
      </c>
      <c r="AL35" s="164">
        <f t="shared" ref="AL35" si="375">SUM(AF32:AF35)-SUM(E32:E34)</f>
        <v>10966.031999999996</v>
      </c>
      <c r="AM35" s="164">
        <f t="shared" ref="AM35" si="376">SUM(AG32:AG35)-SUM(F32:F34)</f>
        <v>864.86399999999969</v>
      </c>
      <c r="AN35" s="164">
        <f t="shared" ref="AN35" si="377">SUM(AH32:AH35)-SUM(G32:G34)</f>
        <v>620.92799999999977</v>
      </c>
      <c r="AO35" s="181">
        <f t="shared" ref="AO35" si="378">SUM(AI32:AI35)-SUM(H32:H34)</f>
        <v>13859.999999999993</v>
      </c>
      <c r="AP35" s="182">
        <f>SUM(C32:C35)/SUM(AD32:AD35)</f>
        <v>0</v>
      </c>
      <c r="AQ35" s="183">
        <f t="shared" ref="AQ35" si="379">SUM(D32:D35)/SUM(AE32:AE35)</f>
        <v>0</v>
      </c>
      <c r="AR35" s="183">
        <f t="shared" ref="AR35" si="380">SUM(E32:E35)/SUM(AF32:AF35)</f>
        <v>0</v>
      </c>
      <c r="AS35" s="183">
        <f t="shared" ref="AS35" si="381">SUM(F32:F35)/SUM(AG32:AG35)</f>
        <v>0</v>
      </c>
      <c r="AT35" s="183">
        <f t="shared" ref="AT35" si="382">SUM(G32:G35)/SUM(AH32:AH35)</f>
        <v>0</v>
      </c>
      <c r="AU35" s="184">
        <f t="shared" ref="AU35" si="383">SUM(H32:H35)/SUM(AI32:AI35)</f>
        <v>0</v>
      </c>
      <c r="AV35" s="172">
        <f t="shared" si="109"/>
        <v>0.27</v>
      </c>
      <c r="AW35" s="172">
        <f t="shared" si="110"/>
        <v>0.45999999999999996</v>
      </c>
      <c r="AX35" s="172">
        <f t="shared" si="111"/>
        <v>0.57000000000000006</v>
      </c>
      <c r="AY35" s="172">
        <f t="shared" si="112"/>
        <v>0.21999999999999997</v>
      </c>
      <c r="AZ35" s="172">
        <f t="shared" si="113"/>
        <v>0.72</v>
      </c>
      <c r="BA35" s="172">
        <f t="shared" si="114"/>
        <v>0.5</v>
      </c>
      <c r="BB35" s="191">
        <f t="shared" si="115"/>
        <v>0.86666666666666703</v>
      </c>
      <c r="BC35" s="192">
        <f t="shared" si="116"/>
        <v>1251.935999999997</v>
      </c>
      <c r="BD35" s="192">
        <f t="shared" si="117"/>
        <v>2411.1359999999936</v>
      </c>
      <c r="BE35" s="192">
        <f t="shared" si="118"/>
        <v>2642.9759999999937</v>
      </c>
      <c r="BF35" s="192">
        <f t="shared" si="119"/>
        <v>44.351999999999883</v>
      </c>
      <c r="BG35" s="192">
        <f t="shared" si="120"/>
        <v>290.30399999999923</v>
      </c>
      <c r="BH35" s="158">
        <f t="shared" si="121"/>
        <v>2519.9999999999936</v>
      </c>
      <c r="BI35" s="198">
        <f>SUM(BC32:BC35)-SUM(I32:I34)</f>
        <v>6885.6479999999974</v>
      </c>
      <c r="BJ35" s="199">
        <f t="shared" ref="BJ35" si="384">SUM(BD32:BD35)-SUM(J32:J34)</f>
        <v>13261.247999999994</v>
      </c>
      <c r="BK35" s="199">
        <f t="shared" ref="BK35" si="385">SUM(BE32:BE35)-SUM(K32:K34)</f>
        <v>14536.367999999997</v>
      </c>
      <c r="BL35" s="199">
        <f t="shared" ref="BL35" si="386">SUM(BF32:BF35)-SUM(L32:L34)</f>
        <v>243.93599999999989</v>
      </c>
      <c r="BM35" s="199">
        <f t="shared" ref="BM35" si="387">SUM(BG32:BG35)-SUM(M32:M34)</f>
        <v>1596.6719999999991</v>
      </c>
      <c r="BN35" s="209">
        <f t="shared" ref="BN35" si="388">SUM(BH32:BH35)-SUM(N32:N34)</f>
        <v>13859.999999999993</v>
      </c>
      <c r="BO35" s="210">
        <f>SUM(I32:I35)/SUM(BC32:BC35)</f>
        <v>0</v>
      </c>
      <c r="BP35" s="211">
        <f t="shared" ref="BP35" si="389">SUM(J32:J35)/SUM(BD32:BD35)</f>
        <v>0</v>
      </c>
      <c r="BQ35" s="211">
        <f t="shared" ref="BQ35" si="390">SUM(K32:K35)/SUM(BE32:BE35)</f>
        <v>0</v>
      </c>
      <c r="BR35" s="211">
        <f t="shared" ref="BR35" si="391">SUM(L32:L35)/SUM(BF32:BF35)</f>
        <v>0</v>
      </c>
      <c r="BS35" s="211">
        <f t="shared" ref="BS35" si="392">SUM(M32:M35)/SUM(BG32:BG35)</f>
        <v>0</v>
      </c>
      <c r="BT35" s="212">
        <f t="shared" ref="BT35" si="393">SUM(N32:N35)/SUM(BH32:BH35)</f>
        <v>0</v>
      </c>
      <c r="BU35" s="220">
        <f t="shared" si="132"/>
        <v>4636.7999999999884</v>
      </c>
      <c r="BV35" s="220">
        <f t="shared" si="133"/>
        <v>5241.5999999999867</v>
      </c>
      <c r="BW35" s="220">
        <f t="shared" si="134"/>
        <v>4636.7999999999884</v>
      </c>
      <c r="BX35" s="220">
        <f t="shared" si="135"/>
        <v>201.59999999999948</v>
      </c>
      <c r="BY35" s="224">
        <f t="shared" si="136"/>
        <v>403.19999999999897</v>
      </c>
      <c r="BZ35" s="221">
        <f t="shared" si="137"/>
        <v>5039.9999999999873</v>
      </c>
      <c r="CA35" s="222">
        <f>SUM($BU$32:BZ35)</f>
        <v>110879.99999999996</v>
      </c>
      <c r="CB35" s="224">
        <f t="shared" si="163"/>
        <v>25502.399999999991</v>
      </c>
      <c r="CC35" s="220">
        <f t="shared" si="164"/>
        <v>28828.799999999988</v>
      </c>
      <c r="CD35" s="220">
        <f t="shared" si="165"/>
        <v>25502.399999999994</v>
      </c>
      <c r="CE35" s="220">
        <f t="shared" si="166"/>
        <v>1108.7999999999995</v>
      </c>
      <c r="CF35" s="220">
        <f t="shared" si="167"/>
        <v>2217.599999999999</v>
      </c>
      <c r="CG35" s="221">
        <f t="shared" si="168"/>
        <v>27719.999999999985</v>
      </c>
      <c r="CH35" s="232">
        <f>(SUM(I32:I35)+SUM(C32:C35))/SUM(BU32:BU35)</f>
        <v>0</v>
      </c>
      <c r="CI35" s="233">
        <f t="shared" ref="CI35" si="394">(SUM(J32:J35)+SUM(D32:D35))/SUM(BV32:BV35)</f>
        <v>0</v>
      </c>
      <c r="CJ35" s="233">
        <f t="shared" ref="CJ35" si="395">(SUM(K32:K35)+SUM(E32:E35))/SUM(BW32:BW35)</f>
        <v>0</v>
      </c>
      <c r="CK35" s="233">
        <f t="shared" ref="CK35" si="396">(SUM(L32:L35)+SUM(F32:F35))/SUM(BX32:BX35)</f>
        <v>0</v>
      </c>
      <c r="CL35" s="233">
        <f t="shared" ref="CL35" si="397">(SUM(M32:M35)+SUM(G32:G35))/SUM(BY32:BY35)</f>
        <v>0</v>
      </c>
      <c r="CM35" s="237">
        <f t="shared" ref="CM35" si="398">(SUM(N32:N35)+SUM(H32:H35))/SUM(BZ32:BZ35)</f>
        <v>0</v>
      </c>
    </row>
    <row r="36" spans="1:91" ht="14.25">
      <c r="A36" s="75">
        <v>44547</v>
      </c>
      <c r="B36" s="76">
        <v>5</v>
      </c>
      <c r="C36" s="79"/>
      <c r="D36" s="80"/>
      <c r="E36" s="80"/>
      <c r="F36" s="80"/>
      <c r="G36" s="80"/>
      <c r="H36" s="80"/>
      <c r="I36" s="98"/>
      <c r="J36" s="98"/>
      <c r="K36" s="98"/>
      <c r="L36" s="98"/>
      <c r="M36" s="98"/>
      <c r="N36" s="99"/>
      <c r="O36" s="114"/>
      <c r="P36" s="109">
        <f t="shared" si="20"/>
        <v>151200</v>
      </c>
      <c r="Q36" s="123">
        <v>0.23</v>
      </c>
      <c r="R36" s="124">
        <v>0.26</v>
      </c>
      <c r="S36" s="124">
        <v>0.23</v>
      </c>
      <c r="T36" s="124">
        <v>0.01</v>
      </c>
      <c r="U36" s="124">
        <v>0.02</v>
      </c>
      <c r="V36" s="125">
        <v>0.25</v>
      </c>
      <c r="W36" s="138">
        <v>0.73</v>
      </c>
      <c r="X36" s="139">
        <v>0.54</v>
      </c>
      <c r="Y36" s="139">
        <v>0.43</v>
      </c>
      <c r="Z36" s="139">
        <v>0.78</v>
      </c>
      <c r="AA36" s="139">
        <v>0.28000000000000003</v>
      </c>
      <c r="AB36" s="139">
        <v>0.5</v>
      </c>
      <c r="AC36" s="152">
        <v>0.133333333333333</v>
      </c>
      <c r="AD36" s="146">
        <f t="shared" si="93"/>
        <v>3384.8639999999914</v>
      </c>
      <c r="AE36" s="147">
        <f t="shared" si="94"/>
        <v>2830.4639999999931</v>
      </c>
      <c r="AF36" s="147">
        <f t="shared" si="95"/>
        <v>1993.8239999999951</v>
      </c>
      <c r="AG36" s="147">
        <f t="shared" si="96"/>
        <v>157.24799999999959</v>
      </c>
      <c r="AH36" s="147">
        <f t="shared" si="97"/>
        <v>112.89599999999972</v>
      </c>
      <c r="AI36" s="158">
        <f t="shared" si="98"/>
        <v>2519.9999999999936</v>
      </c>
      <c r="AJ36" s="163">
        <f>SUM(AD32:AD36)-SUM(C32:C35)</f>
        <v>22001.615999999984</v>
      </c>
      <c r="AK36" s="164">
        <f t="shared" ref="AK36" si="399">SUM(AE32:AE36)-SUM(D32:D35)</f>
        <v>18398.015999999989</v>
      </c>
      <c r="AL36" s="164">
        <f t="shared" ref="AL36" si="400">SUM(AF32:AF36)-SUM(E32:E35)</f>
        <v>12959.855999999991</v>
      </c>
      <c r="AM36" s="164">
        <f t="shared" ref="AM36" si="401">SUM(AG32:AG36)-SUM(F32:F35)</f>
        <v>1022.1119999999993</v>
      </c>
      <c r="AN36" s="164">
        <f t="shared" ref="AN36" si="402">SUM(AH32:AH36)-SUM(G32:G35)</f>
        <v>733.8239999999995</v>
      </c>
      <c r="AO36" s="181">
        <f t="shared" ref="AO36" si="403">SUM(AI32:AI36)-SUM(H32:H35)</f>
        <v>16379.999999999985</v>
      </c>
      <c r="AP36" s="182">
        <f>SUM(C32:C36)/SUM(AD32:AD36)</f>
        <v>0</v>
      </c>
      <c r="AQ36" s="183">
        <f t="shared" ref="AQ36" si="404">SUM(D32:D36)/SUM(AE32:AE36)</f>
        <v>0</v>
      </c>
      <c r="AR36" s="183">
        <f t="shared" ref="AR36" si="405">SUM(E32:E36)/SUM(AF32:AF36)</f>
        <v>0</v>
      </c>
      <c r="AS36" s="183">
        <f t="shared" ref="AS36" si="406">SUM(F32:F36)/SUM(AG32:AG36)</f>
        <v>0</v>
      </c>
      <c r="AT36" s="183">
        <f t="shared" ref="AT36" si="407">SUM(G32:G36)/SUM(AH32:AH36)</f>
        <v>0</v>
      </c>
      <c r="AU36" s="184">
        <f t="shared" ref="AU36" si="408">SUM(H32:H36)/SUM(AI32:AI36)</f>
        <v>0</v>
      </c>
      <c r="AV36" s="172">
        <f t="shared" si="109"/>
        <v>0.27</v>
      </c>
      <c r="AW36" s="172">
        <f t="shared" si="110"/>
        <v>0.45999999999999996</v>
      </c>
      <c r="AX36" s="172">
        <f t="shared" si="111"/>
        <v>0.57000000000000006</v>
      </c>
      <c r="AY36" s="172">
        <f t="shared" si="112"/>
        <v>0.21999999999999997</v>
      </c>
      <c r="AZ36" s="172">
        <f t="shared" si="113"/>
        <v>0.72</v>
      </c>
      <c r="BA36" s="172">
        <f t="shared" si="114"/>
        <v>0.5</v>
      </c>
      <c r="BB36" s="191">
        <f t="shared" si="115"/>
        <v>0.86666666666666703</v>
      </c>
      <c r="BC36" s="192">
        <f t="shared" si="116"/>
        <v>1251.935999999997</v>
      </c>
      <c r="BD36" s="192">
        <f t="shared" si="117"/>
        <v>2411.1359999999936</v>
      </c>
      <c r="BE36" s="192">
        <f t="shared" si="118"/>
        <v>2642.9759999999937</v>
      </c>
      <c r="BF36" s="192">
        <f t="shared" si="119"/>
        <v>44.351999999999883</v>
      </c>
      <c r="BG36" s="192">
        <f t="shared" si="120"/>
        <v>290.30399999999923</v>
      </c>
      <c r="BH36" s="158">
        <f t="shared" si="121"/>
        <v>2519.9999999999936</v>
      </c>
      <c r="BI36" s="198">
        <f>SUM(BC32:BC36)-SUM(I32:I35)</f>
        <v>8137.5839999999944</v>
      </c>
      <c r="BJ36" s="199">
        <f t="shared" ref="BJ36" si="409">SUM(BD32:BD36)-SUM(J32:J35)</f>
        <v>15672.383999999987</v>
      </c>
      <c r="BK36" s="199">
        <f t="shared" ref="BK36" si="410">SUM(BE32:BE36)-SUM(K32:K35)</f>
        <v>17179.34399999999</v>
      </c>
      <c r="BL36" s="199">
        <f t="shared" ref="BL36" si="411">SUM(BF32:BF36)-SUM(L32:L35)</f>
        <v>288.28799999999978</v>
      </c>
      <c r="BM36" s="199">
        <f t="shared" ref="BM36" si="412">SUM(BG32:BG36)-SUM(M32:M35)</f>
        <v>1886.9759999999983</v>
      </c>
      <c r="BN36" s="209">
        <f t="shared" ref="BN36" si="413">SUM(BH32:BH36)-SUM(N32:N35)</f>
        <v>16379.999999999985</v>
      </c>
      <c r="BO36" s="210">
        <f>SUM(I32:I36)/SUM(BC32:BC36)</f>
        <v>0</v>
      </c>
      <c r="BP36" s="211">
        <f t="shared" ref="BP36" si="414">SUM(J32:J36)/SUM(BD32:BD36)</f>
        <v>0</v>
      </c>
      <c r="BQ36" s="211">
        <f t="shared" ref="BQ36" si="415">SUM(K32:K36)/SUM(BE32:BE36)</f>
        <v>0</v>
      </c>
      <c r="BR36" s="211">
        <f t="shared" ref="BR36" si="416">SUM(L32:L36)/SUM(BF32:BF36)</f>
        <v>0</v>
      </c>
      <c r="BS36" s="211">
        <f t="shared" ref="BS36" si="417">SUM(M32:M36)/SUM(BG32:BG36)</f>
        <v>0</v>
      </c>
      <c r="BT36" s="212">
        <f t="shared" ref="BT36" si="418">SUM(N32:N36)/SUM(BH32:BH36)</f>
        <v>0</v>
      </c>
      <c r="BU36" s="220">
        <f t="shared" si="132"/>
        <v>4636.7999999999884</v>
      </c>
      <c r="BV36" s="220">
        <f t="shared" si="133"/>
        <v>5241.5999999999867</v>
      </c>
      <c r="BW36" s="220">
        <f t="shared" si="134"/>
        <v>4636.7999999999884</v>
      </c>
      <c r="BX36" s="220">
        <f t="shared" si="135"/>
        <v>201.59999999999948</v>
      </c>
      <c r="BY36" s="224">
        <f t="shared" si="136"/>
        <v>403.19999999999897</v>
      </c>
      <c r="BZ36" s="221">
        <f t="shared" si="137"/>
        <v>5039.9999999999873</v>
      </c>
      <c r="CA36" s="222">
        <f>SUM($BU$32:BZ36)</f>
        <v>131039.99999999991</v>
      </c>
      <c r="CB36" s="224">
        <f t="shared" si="163"/>
        <v>30139.199999999979</v>
      </c>
      <c r="CC36" s="220">
        <f t="shared" si="164"/>
        <v>34070.39999999998</v>
      </c>
      <c r="CD36" s="220">
        <f t="shared" si="165"/>
        <v>30139.199999999983</v>
      </c>
      <c r="CE36" s="220">
        <f t="shared" si="166"/>
        <v>1310.3999999999992</v>
      </c>
      <c r="CF36" s="220">
        <f t="shared" si="167"/>
        <v>2620.7999999999979</v>
      </c>
      <c r="CG36" s="221">
        <f t="shared" si="168"/>
        <v>32759.999999999971</v>
      </c>
      <c r="CH36" s="232">
        <f>(SUM(I32:I36)+SUM(C32:C36))/SUM(BU32:BU36)</f>
        <v>0</v>
      </c>
      <c r="CI36" s="233">
        <f t="shared" ref="CI36" si="419">(SUM(J32:J36)+SUM(D32:D36))/SUM(BV32:BV36)</f>
        <v>0</v>
      </c>
      <c r="CJ36" s="233">
        <f t="shared" ref="CJ36" si="420">(SUM(K32:K36)+SUM(E32:E36))/SUM(BW32:BW36)</f>
        <v>0</v>
      </c>
      <c r="CK36" s="233">
        <f t="shared" ref="CK36" si="421">(SUM(L32:L36)+SUM(F32:F36))/SUM(BX32:BX36)</f>
        <v>0</v>
      </c>
      <c r="CL36" s="233">
        <f t="shared" ref="CL36" si="422">(SUM(M32:M36)+SUM(G32:G36))/SUM(BY32:BY36)</f>
        <v>0</v>
      </c>
      <c r="CM36" s="237">
        <f t="shared" ref="CM36" si="423">(SUM(N32:N36)+SUM(H32:H36))/SUM(BZ32:BZ36)</f>
        <v>0</v>
      </c>
    </row>
    <row r="37" spans="1:91" ht="14.25">
      <c r="A37" s="75">
        <v>44548</v>
      </c>
      <c r="B37" s="76">
        <v>6</v>
      </c>
      <c r="C37" s="79"/>
      <c r="D37" s="80"/>
      <c r="E37" s="80"/>
      <c r="F37" s="80"/>
      <c r="G37" s="80"/>
      <c r="H37" s="80"/>
      <c r="I37" s="98"/>
      <c r="J37" s="98"/>
      <c r="K37" s="98"/>
      <c r="L37" s="98"/>
      <c r="M37" s="98"/>
      <c r="N37" s="99"/>
      <c r="O37" s="114"/>
      <c r="P37" s="109">
        <f t="shared" si="20"/>
        <v>151200</v>
      </c>
      <c r="Q37" s="123">
        <v>0.23</v>
      </c>
      <c r="R37" s="124">
        <v>0.26</v>
      </c>
      <c r="S37" s="124">
        <v>0.23</v>
      </c>
      <c r="T37" s="124">
        <v>0.01</v>
      </c>
      <c r="U37" s="124">
        <v>0.02</v>
      </c>
      <c r="V37" s="125">
        <v>0.25</v>
      </c>
      <c r="W37" s="138">
        <v>0.73</v>
      </c>
      <c r="X37" s="139">
        <v>0.54</v>
      </c>
      <c r="Y37" s="139">
        <v>0.43</v>
      </c>
      <c r="Z37" s="139">
        <v>0.78</v>
      </c>
      <c r="AA37" s="139">
        <v>0.28000000000000003</v>
      </c>
      <c r="AB37" s="139">
        <v>0.5</v>
      </c>
      <c r="AC37" s="152">
        <v>6.6666666666666693E-2</v>
      </c>
      <c r="AD37" s="146">
        <f t="shared" si="93"/>
        <v>1692.4320000000007</v>
      </c>
      <c r="AE37" s="147">
        <f t="shared" si="94"/>
        <v>1415.2320000000007</v>
      </c>
      <c r="AF37" s="147">
        <f t="shared" si="95"/>
        <v>996.91200000000038</v>
      </c>
      <c r="AG37" s="147">
        <f t="shared" si="96"/>
        <v>78.624000000000038</v>
      </c>
      <c r="AH37" s="147">
        <f t="shared" si="97"/>
        <v>56.448000000000029</v>
      </c>
      <c r="AI37" s="158">
        <f t="shared" si="98"/>
        <v>1260.0000000000005</v>
      </c>
      <c r="AJ37" s="163">
        <f>SUM(AD32:AD37)-SUM(C32:C36)</f>
        <v>23694.047999999984</v>
      </c>
      <c r="AK37" s="164">
        <f t="shared" ref="AK37" si="424">SUM(AE32:AE37)-SUM(D32:D36)</f>
        <v>19813.247999999989</v>
      </c>
      <c r="AL37" s="164">
        <f t="shared" ref="AL37" si="425">SUM(AF32:AF37)-SUM(E32:E36)</f>
        <v>13956.767999999991</v>
      </c>
      <c r="AM37" s="164">
        <f t="shared" ref="AM37" si="426">SUM(AG32:AG37)-SUM(F32:F36)</f>
        <v>1100.7359999999994</v>
      </c>
      <c r="AN37" s="164">
        <f t="shared" ref="AN37" si="427">SUM(AH32:AH37)-SUM(G32:G36)</f>
        <v>790.27199999999948</v>
      </c>
      <c r="AO37" s="181">
        <f t="shared" ref="AO37" si="428">SUM(AI32:AI37)-SUM(H32:H36)</f>
        <v>17639.999999999985</v>
      </c>
      <c r="AP37" s="182">
        <f>SUM(C32:C37)/SUM(AD32:AD37)</f>
        <v>0</v>
      </c>
      <c r="AQ37" s="183">
        <f t="shared" ref="AQ37" si="429">SUM(D32:D37)/SUM(AE32:AE37)</f>
        <v>0</v>
      </c>
      <c r="AR37" s="183">
        <f t="shared" ref="AR37" si="430">SUM(E32:E37)/SUM(AF32:AF37)</f>
        <v>0</v>
      </c>
      <c r="AS37" s="183">
        <f t="shared" ref="AS37" si="431">SUM(F32:F37)/SUM(AG32:AG37)</f>
        <v>0</v>
      </c>
      <c r="AT37" s="183">
        <f t="shared" ref="AT37" si="432">SUM(G32:G37)/SUM(AH32:AH37)</f>
        <v>0</v>
      </c>
      <c r="AU37" s="184">
        <f t="shared" ref="AU37" si="433">SUM(H32:H37)/SUM(AI32:AI37)</f>
        <v>0</v>
      </c>
      <c r="AV37" s="172">
        <f t="shared" si="109"/>
        <v>0.27</v>
      </c>
      <c r="AW37" s="172">
        <f t="shared" si="110"/>
        <v>0.45999999999999996</v>
      </c>
      <c r="AX37" s="172">
        <f t="shared" si="111"/>
        <v>0.57000000000000006</v>
      </c>
      <c r="AY37" s="172">
        <f t="shared" si="112"/>
        <v>0.21999999999999997</v>
      </c>
      <c r="AZ37" s="172">
        <f t="shared" si="113"/>
        <v>0.72</v>
      </c>
      <c r="BA37" s="172">
        <f t="shared" si="114"/>
        <v>0.5</v>
      </c>
      <c r="BB37" s="191">
        <f t="shared" si="115"/>
        <v>0.93333333333333335</v>
      </c>
      <c r="BC37" s="192">
        <f t="shared" si="116"/>
        <v>625.9680000000003</v>
      </c>
      <c r="BD37" s="192">
        <f t="shared" si="117"/>
        <v>1205.5680000000004</v>
      </c>
      <c r="BE37" s="192">
        <f t="shared" si="118"/>
        <v>1321.4880000000007</v>
      </c>
      <c r="BF37" s="192">
        <f t="shared" si="119"/>
        <v>22.176000000000005</v>
      </c>
      <c r="BG37" s="192">
        <f t="shared" si="120"/>
        <v>145.15200000000004</v>
      </c>
      <c r="BH37" s="158">
        <f t="shared" si="121"/>
        <v>1260.0000000000005</v>
      </c>
      <c r="BI37" s="198">
        <f>SUM(BC32:BC37)-SUM(I32:I36)</f>
        <v>8763.5519999999942</v>
      </c>
      <c r="BJ37" s="199">
        <f t="shared" ref="BJ37" si="434">SUM(BD32:BD37)-SUM(J32:J36)</f>
        <v>16877.951999999987</v>
      </c>
      <c r="BK37" s="199">
        <f t="shared" ref="BK37" si="435">SUM(BE32:BE37)-SUM(K32:K36)</f>
        <v>18500.831999999991</v>
      </c>
      <c r="BL37" s="199">
        <f t="shared" ref="BL37" si="436">SUM(BF32:BF37)-SUM(L32:L36)</f>
        <v>310.46399999999977</v>
      </c>
      <c r="BM37" s="199">
        <f t="shared" ref="BM37" si="437">SUM(BG32:BG37)-SUM(M32:M36)</f>
        <v>2032.1279999999983</v>
      </c>
      <c r="BN37" s="209">
        <f t="shared" ref="BN37" si="438">SUM(BH32:BH37)-SUM(N32:N36)</f>
        <v>17639.999999999985</v>
      </c>
      <c r="BO37" s="210">
        <f>SUM(I32:I37)/SUM(BC32:BC37)</f>
        <v>0</v>
      </c>
      <c r="BP37" s="211">
        <f t="shared" ref="BP37" si="439">SUM(J32:J37)/SUM(BD32:BD37)</f>
        <v>0</v>
      </c>
      <c r="BQ37" s="211">
        <f t="shared" ref="BQ37" si="440">SUM(K32:K37)/SUM(BE32:BE37)</f>
        <v>0</v>
      </c>
      <c r="BR37" s="211">
        <f t="shared" ref="BR37" si="441">SUM(L32:L37)/SUM(BF32:BF37)</f>
        <v>0</v>
      </c>
      <c r="BS37" s="211">
        <f t="shared" ref="BS37" si="442">SUM(M32:M37)/SUM(BG32:BG37)</f>
        <v>0</v>
      </c>
      <c r="BT37" s="212">
        <f t="shared" ref="BT37" si="443">SUM(N32:N37)/SUM(BH32:BH37)</f>
        <v>0</v>
      </c>
      <c r="BU37" s="220">
        <f t="shared" si="132"/>
        <v>2318.400000000001</v>
      </c>
      <c r="BV37" s="220">
        <f t="shared" si="133"/>
        <v>2620.8000000000011</v>
      </c>
      <c r="BW37" s="220">
        <f t="shared" si="134"/>
        <v>2318.400000000001</v>
      </c>
      <c r="BX37" s="220">
        <f t="shared" si="135"/>
        <v>100.80000000000004</v>
      </c>
      <c r="BY37" s="224">
        <f t="shared" si="136"/>
        <v>201.60000000000008</v>
      </c>
      <c r="BZ37" s="221">
        <f t="shared" si="137"/>
        <v>2520.0000000000009</v>
      </c>
      <c r="CA37" s="222">
        <f>SUM($BU$32:BZ37)</f>
        <v>141119.99999999988</v>
      </c>
      <c r="CB37" s="224">
        <f t="shared" si="163"/>
        <v>32457.599999999977</v>
      </c>
      <c r="CC37" s="220">
        <f t="shared" si="164"/>
        <v>36691.199999999975</v>
      </c>
      <c r="CD37" s="220">
        <f t="shared" si="165"/>
        <v>32457.599999999984</v>
      </c>
      <c r="CE37" s="220">
        <f t="shared" si="166"/>
        <v>1411.1999999999991</v>
      </c>
      <c r="CF37" s="220">
        <f t="shared" si="167"/>
        <v>2822.3999999999978</v>
      </c>
      <c r="CG37" s="221">
        <f t="shared" si="168"/>
        <v>35279.999999999971</v>
      </c>
      <c r="CH37" s="232">
        <f>(SUM(I32:I37)+SUM(C32:C37))/SUM(BU32:BU37)</f>
        <v>0</v>
      </c>
      <c r="CI37" s="233">
        <f t="shared" ref="CI37" si="444">(SUM(J32:J37)+SUM(D32:D37))/SUM(BV32:BV37)</f>
        <v>0</v>
      </c>
      <c r="CJ37" s="233">
        <f t="shared" ref="CJ37" si="445">(SUM(K32:K37)+SUM(E32:E37))/SUM(BW32:BW37)</f>
        <v>0</v>
      </c>
      <c r="CK37" s="233">
        <f t="shared" ref="CK37" si="446">(SUM(L32:L37)+SUM(F32:F37))/SUM(BX32:BX37)</f>
        <v>0</v>
      </c>
      <c r="CL37" s="233">
        <f t="shared" ref="CL37" si="447">(SUM(M32:M37)+SUM(G32:G37))/SUM(BY32:BY37)</f>
        <v>0</v>
      </c>
      <c r="CM37" s="237">
        <f t="shared" ref="CM37" si="448">(SUM(N32:N37)+SUM(H32:H37))/SUM(BZ32:BZ37)</f>
        <v>0</v>
      </c>
    </row>
    <row r="38" spans="1:91" ht="14.25">
      <c r="A38" s="75">
        <v>44549</v>
      </c>
      <c r="B38" s="76">
        <v>7</v>
      </c>
      <c r="C38" s="83"/>
      <c r="D38" s="84"/>
      <c r="E38" s="84"/>
      <c r="F38" s="84"/>
      <c r="G38" s="84"/>
      <c r="H38" s="84"/>
      <c r="I38" s="101"/>
      <c r="J38" s="101"/>
      <c r="K38" s="101"/>
      <c r="L38" s="101"/>
      <c r="M38" s="101"/>
      <c r="N38" s="102"/>
      <c r="O38" s="115"/>
      <c r="P38" s="110">
        <f t="shared" si="20"/>
        <v>151200</v>
      </c>
      <c r="Q38" s="128">
        <v>0.23</v>
      </c>
      <c r="R38" s="129">
        <v>0.26</v>
      </c>
      <c r="S38" s="129">
        <v>0.23</v>
      </c>
      <c r="T38" s="129">
        <v>0.01</v>
      </c>
      <c r="U38" s="129">
        <v>0.02</v>
      </c>
      <c r="V38" s="130">
        <v>0.25</v>
      </c>
      <c r="W38" s="140">
        <v>0.73</v>
      </c>
      <c r="X38" s="141">
        <v>0.54</v>
      </c>
      <c r="Y38" s="141">
        <v>0.43</v>
      </c>
      <c r="Z38" s="141">
        <v>0.78</v>
      </c>
      <c r="AA38" s="141">
        <v>0.28000000000000003</v>
      </c>
      <c r="AB38" s="141">
        <v>0.5</v>
      </c>
      <c r="AC38" s="153">
        <v>6.6666666666666693E-2</v>
      </c>
      <c r="AD38" s="149">
        <f t="shared" si="93"/>
        <v>1692.4320000000007</v>
      </c>
      <c r="AE38" s="150">
        <f t="shared" si="94"/>
        <v>1415.2320000000007</v>
      </c>
      <c r="AF38" s="150">
        <f t="shared" si="95"/>
        <v>996.91200000000038</v>
      </c>
      <c r="AG38" s="150">
        <f t="shared" si="96"/>
        <v>78.624000000000038</v>
      </c>
      <c r="AH38" s="150">
        <f t="shared" si="97"/>
        <v>56.448000000000029</v>
      </c>
      <c r="AI38" s="159">
        <f t="shared" si="98"/>
        <v>1260.0000000000005</v>
      </c>
      <c r="AJ38" s="165">
        <f>SUM(AD32:AD38)-SUM(C32:C37)</f>
        <v>25386.479999999985</v>
      </c>
      <c r="AK38" s="166">
        <f t="shared" ref="AK38" si="449">SUM(AE32:AE38)-SUM(D32:D37)</f>
        <v>21228.479999999989</v>
      </c>
      <c r="AL38" s="166">
        <f t="shared" ref="AL38" si="450">SUM(AF32:AF38)-SUM(E32:E37)</f>
        <v>14953.679999999991</v>
      </c>
      <c r="AM38" s="166">
        <f t="shared" ref="AM38" si="451">SUM(AG32:AG38)-SUM(F32:F37)</f>
        <v>1179.3599999999994</v>
      </c>
      <c r="AN38" s="166">
        <f t="shared" ref="AN38" si="452">SUM(AH32:AH38)-SUM(G32:G37)</f>
        <v>846.71999999999946</v>
      </c>
      <c r="AO38" s="185">
        <f t="shared" ref="AO38" si="453">SUM(AI32:AI38)-SUM(H32:H37)</f>
        <v>18899.999999999985</v>
      </c>
      <c r="AP38" s="186">
        <f>SUM(C32:C38)/SUM(AD32:AD38)</f>
        <v>0</v>
      </c>
      <c r="AQ38" s="187">
        <f t="shared" ref="AQ38" si="454">SUM(D32:D38)/SUM(AE32:AE38)</f>
        <v>0</v>
      </c>
      <c r="AR38" s="187">
        <f t="shared" ref="AR38" si="455">SUM(E32:E38)/SUM(AF32:AF38)</f>
        <v>0</v>
      </c>
      <c r="AS38" s="187">
        <f t="shared" ref="AS38" si="456">SUM(F32:F38)/SUM(AG32:AG38)</f>
        <v>0</v>
      </c>
      <c r="AT38" s="187">
        <f t="shared" ref="AT38" si="457">SUM(G32:G38)/SUM(AH32:AH38)</f>
        <v>0</v>
      </c>
      <c r="AU38" s="188">
        <f t="shared" ref="AU38" si="458">SUM(H32:H38)/SUM(AI32:AI38)</f>
        <v>0</v>
      </c>
      <c r="AV38" s="176">
        <f t="shared" si="109"/>
        <v>0.27</v>
      </c>
      <c r="AW38" s="176">
        <f t="shared" si="110"/>
        <v>0.45999999999999996</v>
      </c>
      <c r="AX38" s="176">
        <f t="shared" si="111"/>
        <v>0.57000000000000006</v>
      </c>
      <c r="AY38" s="176">
        <f t="shared" si="112"/>
        <v>0.21999999999999997</v>
      </c>
      <c r="AZ38" s="176">
        <f t="shared" si="113"/>
        <v>0.72</v>
      </c>
      <c r="BA38" s="176">
        <f t="shared" si="114"/>
        <v>0.5</v>
      </c>
      <c r="BB38" s="193">
        <f t="shared" si="115"/>
        <v>0.93333333333333335</v>
      </c>
      <c r="BC38" s="150">
        <f t="shared" si="116"/>
        <v>625.9680000000003</v>
      </c>
      <c r="BD38" s="150">
        <f t="shared" si="117"/>
        <v>1205.5680000000004</v>
      </c>
      <c r="BE38" s="150">
        <f t="shared" si="118"/>
        <v>1321.4880000000007</v>
      </c>
      <c r="BF38" s="150">
        <f t="shared" si="119"/>
        <v>22.176000000000005</v>
      </c>
      <c r="BG38" s="150">
        <f t="shared" si="120"/>
        <v>145.15200000000004</v>
      </c>
      <c r="BH38" s="159">
        <f t="shared" si="121"/>
        <v>1260.0000000000005</v>
      </c>
      <c r="BI38" s="200">
        <f>SUM(BC32:BC38)-SUM(I32:I37)</f>
        <v>9389.519999999995</v>
      </c>
      <c r="BJ38" s="201">
        <f t="shared" ref="BJ38" si="459">SUM(BD32:BD38)-SUM(J32:J37)</f>
        <v>18083.519999999986</v>
      </c>
      <c r="BK38" s="201">
        <f t="shared" ref="BK38" si="460">SUM(BE32:BE38)-SUM(K32:K37)</f>
        <v>19822.319999999992</v>
      </c>
      <c r="BL38" s="201">
        <f t="shared" ref="BL38" si="461">SUM(BF32:BF38)-SUM(L32:L37)</f>
        <v>332.63999999999976</v>
      </c>
      <c r="BM38" s="201">
        <f t="shared" ref="BM38" si="462">SUM(BG32:BG38)-SUM(M32:M37)</f>
        <v>2177.2799999999984</v>
      </c>
      <c r="BN38" s="213">
        <f t="shared" ref="BN38" si="463">SUM(BH32:BH38)-SUM(N32:N37)</f>
        <v>18899.999999999985</v>
      </c>
      <c r="BO38" s="214">
        <f>SUM(I32:I38)/SUM(BC32:BC38)</f>
        <v>0</v>
      </c>
      <c r="BP38" s="215">
        <f t="shared" ref="BP38" si="464">SUM(J32:J38)/SUM(BD32:BD38)</f>
        <v>0</v>
      </c>
      <c r="BQ38" s="215">
        <f t="shared" ref="BQ38" si="465">SUM(K32:K38)/SUM(BE32:BE38)</f>
        <v>0</v>
      </c>
      <c r="BR38" s="215">
        <f t="shared" ref="BR38" si="466">SUM(L32:L38)/SUM(BF32:BF38)</f>
        <v>0</v>
      </c>
      <c r="BS38" s="215">
        <f t="shared" ref="BS38" si="467">SUM(M32:M38)/SUM(BG32:BG38)</f>
        <v>0</v>
      </c>
      <c r="BT38" s="216">
        <f t="shared" ref="BT38" si="468">SUM(N32:N38)/SUM(BH32:BH38)</f>
        <v>0</v>
      </c>
      <c r="BU38" s="223">
        <f t="shared" si="132"/>
        <v>2318.400000000001</v>
      </c>
      <c r="BV38" s="223">
        <f t="shared" si="133"/>
        <v>2620.8000000000011</v>
      </c>
      <c r="BW38" s="223">
        <f t="shared" si="134"/>
        <v>2318.400000000001</v>
      </c>
      <c r="BX38" s="223">
        <f t="shared" si="135"/>
        <v>100.80000000000004</v>
      </c>
      <c r="BY38" s="223">
        <f t="shared" si="136"/>
        <v>201.60000000000008</v>
      </c>
      <c r="BZ38" s="228">
        <f t="shared" si="137"/>
        <v>2520.0000000000009</v>
      </c>
      <c r="CA38" s="222">
        <f>SUM($BU$32:BZ38)</f>
        <v>151199.99999999985</v>
      </c>
      <c r="CB38" s="223">
        <f t="shared" si="163"/>
        <v>34775.999999999978</v>
      </c>
      <c r="CC38" s="223">
        <f t="shared" si="164"/>
        <v>39311.999999999971</v>
      </c>
      <c r="CD38" s="223">
        <f t="shared" si="165"/>
        <v>34775.999999999985</v>
      </c>
      <c r="CE38" s="223">
        <f t="shared" si="166"/>
        <v>1511.9999999999991</v>
      </c>
      <c r="CF38" s="223">
        <f t="shared" si="167"/>
        <v>3023.9999999999977</v>
      </c>
      <c r="CG38" s="228">
        <f t="shared" si="168"/>
        <v>37799.999999999971</v>
      </c>
      <c r="CH38" s="234">
        <f>(SUM(I32:I38)+SUM(C32:C38))/SUM(BU32:BU38)</f>
        <v>0</v>
      </c>
      <c r="CI38" s="235">
        <f t="shared" ref="CI38" si="469">(SUM(J32:J38)+SUM(D32:D38))/SUM(BV32:BV38)</f>
        <v>0</v>
      </c>
      <c r="CJ38" s="235">
        <f t="shared" ref="CJ38" si="470">(SUM(K32:K38)+SUM(E32:E38))/SUM(BW32:BW38)</f>
        <v>0</v>
      </c>
      <c r="CK38" s="235">
        <f t="shared" ref="CK38" si="471">(SUM(L32:L38)+SUM(F32:F38))/SUM(BX32:BX38)</f>
        <v>0</v>
      </c>
      <c r="CL38" s="235">
        <f t="shared" ref="CL38" si="472">(SUM(M32:M38)+SUM(G32:G38))/SUM(BY32:BY38)</f>
        <v>0</v>
      </c>
      <c r="CM38" s="238">
        <f t="shared" ref="CM38" si="473">(SUM(N32:N38)+SUM(H32:H38))/SUM(BZ32:BZ38)</f>
        <v>0</v>
      </c>
    </row>
    <row r="39" spans="1:91" ht="14.25">
      <c r="A39" s="75">
        <v>44550</v>
      </c>
      <c r="B39" s="76">
        <v>1</v>
      </c>
      <c r="C39" s="77"/>
      <c r="D39" s="78"/>
      <c r="E39" s="78"/>
      <c r="F39" s="78"/>
      <c r="G39" s="78"/>
      <c r="H39" s="78"/>
      <c r="I39" s="94"/>
      <c r="J39" s="94"/>
      <c r="K39" s="94"/>
      <c r="L39" s="94"/>
      <c r="M39" s="94"/>
      <c r="N39" s="95"/>
      <c r="O39" s="113"/>
      <c r="P39" s="108">
        <f t="shared" si="20"/>
        <v>151200</v>
      </c>
      <c r="Q39" s="133">
        <v>0.23</v>
      </c>
      <c r="R39" s="134">
        <v>0.26</v>
      </c>
      <c r="S39" s="134">
        <v>0.23</v>
      </c>
      <c r="T39" s="134">
        <v>0.01</v>
      </c>
      <c r="U39" s="134">
        <v>0.02</v>
      </c>
      <c r="V39" s="135">
        <v>0.25</v>
      </c>
      <c r="W39" s="136">
        <v>0.73</v>
      </c>
      <c r="X39" s="137">
        <v>0.54</v>
      </c>
      <c r="Y39" s="137">
        <v>0.43</v>
      </c>
      <c r="Z39" s="137">
        <v>0.78</v>
      </c>
      <c r="AA39" s="137">
        <v>0.28000000000000003</v>
      </c>
      <c r="AB39" s="137">
        <v>0.5</v>
      </c>
      <c r="AC39" s="151">
        <v>0.2</v>
      </c>
      <c r="AD39" s="146">
        <f t="shared" si="93"/>
        <v>5077.2960000000003</v>
      </c>
      <c r="AE39" s="147">
        <f t="shared" si="94"/>
        <v>4245.6960000000008</v>
      </c>
      <c r="AF39" s="147">
        <f t="shared" si="95"/>
        <v>2990.7360000000003</v>
      </c>
      <c r="AG39" s="147">
        <f t="shared" si="96"/>
        <v>235.87200000000004</v>
      </c>
      <c r="AH39" s="147">
        <f t="shared" si="97"/>
        <v>169.34400000000002</v>
      </c>
      <c r="AI39" s="158">
        <f t="shared" si="98"/>
        <v>3780</v>
      </c>
      <c r="AJ39" s="161">
        <f>AD39</f>
        <v>5077.2960000000003</v>
      </c>
      <c r="AK39" s="162">
        <f t="shared" ref="AK39" si="474">AE39</f>
        <v>4245.6960000000008</v>
      </c>
      <c r="AL39" s="162">
        <f t="shared" ref="AL39" si="475">AF39</f>
        <v>2990.7360000000003</v>
      </c>
      <c r="AM39" s="162">
        <f t="shared" ref="AM39" si="476">AG39</f>
        <v>235.87200000000004</v>
      </c>
      <c r="AN39" s="162">
        <f t="shared" ref="AN39" si="477">AH39</f>
        <v>169.34400000000002</v>
      </c>
      <c r="AO39" s="177">
        <f t="shared" ref="AO39" si="478">AI39</f>
        <v>3780</v>
      </c>
      <c r="AP39" s="178">
        <f>SUM(C39:C39)/SUM(AD39:AD39)</f>
        <v>0</v>
      </c>
      <c r="AQ39" s="179">
        <f t="shared" ref="AQ39" si="479">SUM(D39:D39)/SUM(AE39:AE39)</f>
        <v>0</v>
      </c>
      <c r="AR39" s="179">
        <f t="shared" ref="AR39" si="480">SUM(E39:E39)/SUM(AF39:AF39)</f>
        <v>0</v>
      </c>
      <c r="AS39" s="179">
        <f t="shared" ref="AS39" si="481">SUM(F39:F39)/SUM(AG39:AG39)</f>
        <v>0</v>
      </c>
      <c r="AT39" s="179">
        <f t="shared" ref="AT39" si="482">SUM(G39:G39)/SUM(AH39:AH39)</f>
        <v>0</v>
      </c>
      <c r="AU39" s="180">
        <f t="shared" ref="AU39" si="483">SUM(H39:H39)/SUM(AI39:AI39)</f>
        <v>0</v>
      </c>
      <c r="AV39" s="172">
        <f t="shared" si="109"/>
        <v>0.27</v>
      </c>
      <c r="AW39" s="172">
        <f t="shared" si="110"/>
        <v>0.45999999999999996</v>
      </c>
      <c r="AX39" s="172">
        <f t="shared" si="111"/>
        <v>0.57000000000000006</v>
      </c>
      <c r="AY39" s="172">
        <f t="shared" si="112"/>
        <v>0.21999999999999997</v>
      </c>
      <c r="AZ39" s="172">
        <f t="shared" si="113"/>
        <v>0.72</v>
      </c>
      <c r="BA39" s="172">
        <f t="shared" si="114"/>
        <v>0.5</v>
      </c>
      <c r="BB39" s="191">
        <f t="shared" si="115"/>
        <v>0.8</v>
      </c>
      <c r="BC39" s="192">
        <f t="shared" si="116"/>
        <v>1877.9040000000002</v>
      </c>
      <c r="BD39" s="192">
        <f t="shared" si="117"/>
        <v>3616.7040000000002</v>
      </c>
      <c r="BE39" s="192">
        <f t="shared" si="118"/>
        <v>3964.4640000000009</v>
      </c>
      <c r="BF39" s="192">
        <f t="shared" si="119"/>
        <v>66.528000000000006</v>
      </c>
      <c r="BG39" s="192">
        <f t="shared" si="120"/>
        <v>435.45600000000002</v>
      </c>
      <c r="BH39" s="158">
        <f t="shared" si="121"/>
        <v>3780</v>
      </c>
      <c r="BI39" s="196">
        <f>BC39</f>
        <v>1877.9040000000002</v>
      </c>
      <c r="BJ39" s="197">
        <f t="shared" ref="BJ39" si="484">BD39</f>
        <v>3616.7040000000002</v>
      </c>
      <c r="BK39" s="197">
        <f t="shared" ref="BK39" si="485">BE39</f>
        <v>3964.4640000000009</v>
      </c>
      <c r="BL39" s="197">
        <f t="shared" ref="BL39" si="486">BF39</f>
        <v>66.528000000000006</v>
      </c>
      <c r="BM39" s="197">
        <f t="shared" ref="BM39" si="487">BG39</f>
        <v>435.45600000000002</v>
      </c>
      <c r="BN39" s="205">
        <f t="shared" ref="BN39" si="488">BH39</f>
        <v>3780</v>
      </c>
      <c r="BO39" s="206">
        <f>SUM(I39:I39)/SUM(BC39:BC39)</f>
        <v>0</v>
      </c>
      <c r="BP39" s="207">
        <f t="shared" ref="BP39" si="489">SUM(J39:J39)/SUM(BD39:BD39)</f>
        <v>0</v>
      </c>
      <c r="BQ39" s="207">
        <f t="shared" ref="BQ39" si="490">SUM(K39:K39)/SUM(BE39:BE39)</f>
        <v>0</v>
      </c>
      <c r="BR39" s="207">
        <f t="shared" ref="BR39" si="491">SUM(L39:L39)/SUM(BF39:BF39)</f>
        <v>0</v>
      </c>
      <c r="BS39" s="207">
        <f t="shared" ref="BS39" si="492">SUM(M39:M39)/SUM(BG39:BG39)</f>
        <v>0</v>
      </c>
      <c r="BT39" s="208">
        <f t="shared" ref="BT39" si="493">SUM(N39:N39)/SUM(BH39:BH39)</f>
        <v>0</v>
      </c>
      <c r="BU39" s="220">
        <f t="shared" si="132"/>
        <v>6955.2000000000007</v>
      </c>
      <c r="BV39" s="220">
        <f t="shared" si="133"/>
        <v>7862.4000000000015</v>
      </c>
      <c r="BW39" s="220">
        <f t="shared" si="134"/>
        <v>6955.2000000000007</v>
      </c>
      <c r="BX39" s="220">
        <f t="shared" si="135"/>
        <v>302.40000000000003</v>
      </c>
      <c r="BY39" s="225">
        <f t="shared" si="136"/>
        <v>604.80000000000007</v>
      </c>
      <c r="BZ39" s="226">
        <f t="shared" si="137"/>
        <v>7560</v>
      </c>
      <c r="CA39" s="227">
        <f>SUM($BU$39:BZ39)</f>
        <v>30240.000000000004</v>
      </c>
      <c r="CB39" s="225">
        <f t="shared" si="163"/>
        <v>6955.2000000000007</v>
      </c>
      <c r="CC39" s="220">
        <f t="shared" si="164"/>
        <v>7862.4000000000015</v>
      </c>
      <c r="CD39" s="220">
        <f t="shared" si="165"/>
        <v>6955.2000000000007</v>
      </c>
      <c r="CE39" s="220">
        <f t="shared" si="166"/>
        <v>302.40000000000003</v>
      </c>
      <c r="CF39" s="220">
        <f t="shared" si="167"/>
        <v>604.80000000000007</v>
      </c>
      <c r="CG39" s="221">
        <f t="shared" si="168"/>
        <v>7560</v>
      </c>
      <c r="CH39" s="230">
        <f>(SUM(I39:I39)+SUM(C39:C39))/SUM(BU39:BU39)</f>
        <v>0</v>
      </c>
      <c r="CI39" s="231">
        <f t="shared" ref="CI39" si="494">(SUM(J39:J39)+SUM(D39:D39))/SUM(BV39:BV39)</f>
        <v>0</v>
      </c>
      <c r="CJ39" s="231">
        <f t="shared" ref="CJ39" si="495">(SUM(K39:K39)+SUM(E39:E39))/SUM(BW39:BW39)</f>
        <v>0</v>
      </c>
      <c r="CK39" s="231">
        <f t="shared" ref="CK39" si="496">(SUM(L39:L39)+SUM(F39:F39))/SUM(BX39:BX39)</f>
        <v>0</v>
      </c>
      <c r="CL39" s="231">
        <f t="shared" ref="CL39" si="497">(SUM(M39:M39)+SUM(G39:G39))/SUM(BY39:BY39)</f>
        <v>0</v>
      </c>
      <c r="CM39" s="236">
        <f t="shared" ref="CM39" si="498">(SUM(N39:N39)+SUM(H39:H39))/SUM(BZ39:BZ39)</f>
        <v>0</v>
      </c>
    </row>
    <row r="40" spans="1:91" ht="14.25">
      <c r="A40" s="75">
        <v>44551</v>
      </c>
      <c r="B40" s="76">
        <v>2</v>
      </c>
      <c r="C40" s="79"/>
      <c r="D40" s="80"/>
      <c r="E40" s="80"/>
      <c r="F40" s="80"/>
      <c r="G40" s="80"/>
      <c r="H40" s="80"/>
      <c r="I40" s="98"/>
      <c r="J40" s="98"/>
      <c r="K40" s="98"/>
      <c r="L40" s="98"/>
      <c r="M40" s="98"/>
      <c r="N40" s="99"/>
      <c r="O40" s="114"/>
      <c r="P40" s="109">
        <f t="shared" si="20"/>
        <v>151200</v>
      </c>
      <c r="Q40" s="123">
        <v>0.23</v>
      </c>
      <c r="R40" s="124">
        <v>0.26</v>
      </c>
      <c r="S40" s="124">
        <v>0.23</v>
      </c>
      <c r="T40" s="124">
        <v>0.01</v>
      </c>
      <c r="U40" s="124">
        <v>0.02</v>
      </c>
      <c r="V40" s="125">
        <v>0.25</v>
      </c>
      <c r="W40" s="138">
        <v>0.73</v>
      </c>
      <c r="X40" s="139">
        <v>0.54</v>
      </c>
      <c r="Y40" s="139">
        <v>0.43</v>
      </c>
      <c r="Z40" s="139">
        <v>0.78</v>
      </c>
      <c r="AA40" s="139">
        <v>0.28000000000000003</v>
      </c>
      <c r="AB40" s="139">
        <v>0.5</v>
      </c>
      <c r="AC40" s="152">
        <v>0.2</v>
      </c>
      <c r="AD40" s="146">
        <f t="shared" si="93"/>
        <v>5077.2960000000003</v>
      </c>
      <c r="AE40" s="147">
        <f t="shared" si="94"/>
        <v>4245.6960000000008</v>
      </c>
      <c r="AF40" s="147">
        <f t="shared" si="95"/>
        <v>2990.7360000000003</v>
      </c>
      <c r="AG40" s="147">
        <f t="shared" si="96"/>
        <v>235.87200000000004</v>
      </c>
      <c r="AH40" s="147">
        <f t="shared" si="97"/>
        <v>169.34400000000002</v>
      </c>
      <c r="AI40" s="158">
        <f t="shared" si="98"/>
        <v>3780</v>
      </c>
      <c r="AJ40" s="163">
        <f>SUM(AD39:AD40)-SUM(C39:C39)</f>
        <v>10154.592000000001</v>
      </c>
      <c r="AK40" s="164">
        <f t="shared" ref="AK40" si="499">SUM(AE39:AE40)-SUM(D39:D39)</f>
        <v>8491.3920000000016</v>
      </c>
      <c r="AL40" s="164">
        <f t="shared" ref="AL40" si="500">SUM(AF39:AF40)-SUM(E39:E39)</f>
        <v>5981.4720000000007</v>
      </c>
      <c r="AM40" s="164">
        <f t="shared" ref="AM40" si="501">SUM(AG39:AG40)-SUM(F39:F39)</f>
        <v>471.74400000000009</v>
      </c>
      <c r="AN40" s="164">
        <f t="shared" ref="AN40" si="502">SUM(AH39:AH40)-SUM(G39:G39)</f>
        <v>338.68800000000005</v>
      </c>
      <c r="AO40" s="181">
        <f t="shared" ref="AO40" si="503">SUM(AI39:AI40)-SUM(H39:H39)</f>
        <v>7560</v>
      </c>
      <c r="AP40" s="182">
        <f>SUM(C39:C40)/SUM(AD39:AD40)</f>
        <v>0</v>
      </c>
      <c r="AQ40" s="183">
        <f t="shared" ref="AQ40" si="504">SUM(D39:D40)/SUM(AE39:AE40)</f>
        <v>0</v>
      </c>
      <c r="AR40" s="183">
        <f t="shared" ref="AR40" si="505">SUM(E39:E40)/SUM(AF39:AF40)</f>
        <v>0</v>
      </c>
      <c r="AS40" s="183">
        <f t="shared" ref="AS40" si="506">SUM(F39:F40)/SUM(AG39:AG40)</f>
        <v>0</v>
      </c>
      <c r="AT40" s="183">
        <f t="shared" ref="AT40" si="507">SUM(G39:G40)/SUM(AH39:AH40)</f>
        <v>0</v>
      </c>
      <c r="AU40" s="184">
        <f t="shared" ref="AU40" si="508">SUM(H39:H40)/SUM(AI39:AI40)</f>
        <v>0</v>
      </c>
      <c r="AV40" s="172">
        <f t="shared" si="109"/>
        <v>0.27</v>
      </c>
      <c r="AW40" s="172">
        <f t="shared" si="110"/>
        <v>0.45999999999999996</v>
      </c>
      <c r="AX40" s="172">
        <f t="shared" si="111"/>
        <v>0.57000000000000006</v>
      </c>
      <c r="AY40" s="172">
        <f t="shared" si="112"/>
        <v>0.21999999999999997</v>
      </c>
      <c r="AZ40" s="172">
        <f t="shared" si="113"/>
        <v>0.72</v>
      </c>
      <c r="BA40" s="172">
        <f t="shared" si="114"/>
        <v>0.5</v>
      </c>
      <c r="BB40" s="191">
        <f t="shared" si="115"/>
        <v>0.8</v>
      </c>
      <c r="BC40" s="192">
        <f t="shared" si="116"/>
        <v>1877.9040000000002</v>
      </c>
      <c r="BD40" s="192">
        <f t="shared" si="117"/>
        <v>3616.7040000000002</v>
      </c>
      <c r="BE40" s="192">
        <f t="shared" si="118"/>
        <v>3964.4640000000009</v>
      </c>
      <c r="BF40" s="192">
        <f t="shared" si="119"/>
        <v>66.528000000000006</v>
      </c>
      <c r="BG40" s="192">
        <f t="shared" si="120"/>
        <v>435.45600000000002</v>
      </c>
      <c r="BH40" s="158">
        <f t="shared" si="121"/>
        <v>3780</v>
      </c>
      <c r="BI40" s="198">
        <f>SUM(BC39:BC40)-SUM(I39:I39)</f>
        <v>3755.8080000000004</v>
      </c>
      <c r="BJ40" s="199">
        <f t="shared" ref="BJ40" si="509">SUM(BD39:BD40)-SUM(J39:J39)</f>
        <v>7233.4080000000004</v>
      </c>
      <c r="BK40" s="199">
        <f t="shared" ref="BK40" si="510">SUM(BE39:BE40)-SUM(K39:K39)</f>
        <v>7928.9280000000017</v>
      </c>
      <c r="BL40" s="199">
        <f t="shared" ref="BL40" si="511">SUM(BF39:BF40)-SUM(L39:L39)</f>
        <v>133.05600000000001</v>
      </c>
      <c r="BM40" s="199">
        <f t="shared" ref="BM40" si="512">SUM(BG39:BG40)-SUM(M39:M39)</f>
        <v>870.91200000000003</v>
      </c>
      <c r="BN40" s="209">
        <f t="shared" ref="BN40" si="513">SUM(BH39:BH40)-SUM(N39:N39)</f>
        <v>7560</v>
      </c>
      <c r="BO40" s="210">
        <f>SUM(I39:I40)/SUM(BC39:BC40)</f>
        <v>0</v>
      </c>
      <c r="BP40" s="211">
        <f t="shared" ref="BP40" si="514">SUM(J39:J40)/SUM(BD39:BD40)</f>
        <v>0</v>
      </c>
      <c r="BQ40" s="211">
        <f t="shared" ref="BQ40" si="515">SUM(K39:K40)/SUM(BE39:BE40)</f>
        <v>0</v>
      </c>
      <c r="BR40" s="211">
        <f t="shared" ref="BR40" si="516">SUM(L39:L40)/SUM(BF39:BF40)</f>
        <v>0</v>
      </c>
      <c r="BS40" s="211">
        <f t="shared" ref="BS40" si="517">SUM(M39:M40)/SUM(BG39:BG40)</f>
        <v>0</v>
      </c>
      <c r="BT40" s="212">
        <f t="shared" ref="BT40" si="518">SUM(N39:N40)/SUM(BH39:BH40)</f>
        <v>0</v>
      </c>
      <c r="BU40" s="220">
        <f t="shared" si="132"/>
        <v>6955.2000000000007</v>
      </c>
      <c r="BV40" s="220">
        <f t="shared" si="133"/>
        <v>7862.4000000000015</v>
      </c>
      <c r="BW40" s="220">
        <f t="shared" si="134"/>
        <v>6955.2000000000007</v>
      </c>
      <c r="BX40" s="220">
        <f t="shared" si="135"/>
        <v>302.40000000000003</v>
      </c>
      <c r="BY40" s="224">
        <f t="shared" si="136"/>
        <v>604.80000000000007</v>
      </c>
      <c r="BZ40" s="221">
        <f t="shared" si="137"/>
        <v>7560</v>
      </c>
      <c r="CA40" s="222">
        <f>SUM($BU$39:BZ40)</f>
        <v>60480.000000000007</v>
      </c>
      <c r="CB40" s="224">
        <f t="shared" si="163"/>
        <v>13910.400000000001</v>
      </c>
      <c r="CC40" s="220">
        <f t="shared" si="164"/>
        <v>15724.800000000003</v>
      </c>
      <c r="CD40" s="220">
        <f t="shared" si="165"/>
        <v>13910.400000000001</v>
      </c>
      <c r="CE40" s="220">
        <f t="shared" si="166"/>
        <v>604.80000000000007</v>
      </c>
      <c r="CF40" s="220">
        <f t="shared" si="167"/>
        <v>1209.6000000000001</v>
      </c>
      <c r="CG40" s="221">
        <f t="shared" si="168"/>
        <v>15120</v>
      </c>
      <c r="CH40" s="232">
        <f>(SUM(I39:I40)+SUM(C39:C40))/SUM(BU39:BU40)</f>
        <v>0</v>
      </c>
      <c r="CI40" s="233">
        <f t="shared" ref="CI40" si="519">(SUM(J39:J40)+SUM(D39:D40))/SUM(BV39:BV40)</f>
        <v>0</v>
      </c>
      <c r="CJ40" s="233">
        <f t="shared" ref="CJ40" si="520">(SUM(K39:K40)+SUM(E39:E40))/SUM(BW39:BW40)</f>
        <v>0</v>
      </c>
      <c r="CK40" s="233">
        <f t="shared" ref="CK40" si="521">(SUM(L39:L40)+SUM(F39:F40))/SUM(BX39:BX40)</f>
        <v>0</v>
      </c>
      <c r="CL40" s="233">
        <f t="shared" ref="CL40" si="522">(SUM(M39:M40)+SUM(G39:G40))/SUM(BY39:BY40)</f>
        <v>0</v>
      </c>
      <c r="CM40" s="237">
        <f t="shared" ref="CM40" si="523">(SUM(N39:N40)+SUM(H39:H40))/SUM(BZ39:BZ40)</f>
        <v>0</v>
      </c>
    </row>
    <row r="41" spans="1:91" ht="14.25">
      <c r="A41" s="75">
        <v>44552</v>
      </c>
      <c r="B41" s="76">
        <v>3</v>
      </c>
      <c r="C41" s="79"/>
      <c r="D41" s="80"/>
      <c r="E41" s="80"/>
      <c r="F41" s="80"/>
      <c r="G41" s="80"/>
      <c r="H41" s="80"/>
      <c r="I41" s="98"/>
      <c r="J41" s="98"/>
      <c r="K41" s="98"/>
      <c r="L41" s="98"/>
      <c r="M41" s="98"/>
      <c r="N41" s="99"/>
      <c r="O41" s="114"/>
      <c r="P41" s="109">
        <f t="shared" si="20"/>
        <v>151200</v>
      </c>
      <c r="Q41" s="123">
        <v>0.23</v>
      </c>
      <c r="R41" s="124">
        <v>0.26</v>
      </c>
      <c r="S41" s="124">
        <v>0.23</v>
      </c>
      <c r="T41" s="124">
        <v>0.01</v>
      </c>
      <c r="U41" s="124">
        <v>0.02</v>
      </c>
      <c r="V41" s="125">
        <v>0.25</v>
      </c>
      <c r="W41" s="138">
        <v>0.73</v>
      </c>
      <c r="X41" s="139">
        <v>0.54</v>
      </c>
      <c r="Y41" s="139">
        <v>0.43</v>
      </c>
      <c r="Z41" s="139">
        <v>0.78</v>
      </c>
      <c r="AA41" s="139">
        <v>0.28000000000000003</v>
      </c>
      <c r="AB41" s="139">
        <v>0.5</v>
      </c>
      <c r="AC41" s="152">
        <v>0.2</v>
      </c>
      <c r="AD41" s="146">
        <f t="shared" si="93"/>
        <v>5077.2960000000003</v>
      </c>
      <c r="AE41" s="147">
        <f t="shared" si="94"/>
        <v>4245.6960000000008</v>
      </c>
      <c r="AF41" s="147">
        <f t="shared" si="95"/>
        <v>2990.7360000000003</v>
      </c>
      <c r="AG41" s="147">
        <f t="shared" si="96"/>
        <v>235.87200000000004</v>
      </c>
      <c r="AH41" s="147">
        <f t="shared" si="97"/>
        <v>169.34400000000002</v>
      </c>
      <c r="AI41" s="158">
        <f t="shared" si="98"/>
        <v>3780</v>
      </c>
      <c r="AJ41" s="163">
        <f>SUM(AD39:AD41)-SUM(C39:C40)</f>
        <v>15231.888000000001</v>
      </c>
      <c r="AK41" s="164">
        <f t="shared" ref="AK41" si="524">SUM(AE39:AE41)-SUM(D39:D40)</f>
        <v>12737.088000000003</v>
      </c>
      <c r="AL41" s="164">
        <f t="shared" ref="AL41" si="525">SUM(AF39:AF41)-SUM(E39:E40)</f>
        <v>8972.2080000000005</v>
      </c>
      <c r="AM41" s="164">
        <f t="shared" ref="AM41" si="526">SUM(AG39:AG41)-SUM(F39:F40)</f>
        <v>707.6160000000001</v>
      </c>
      <c r="AN41" s="164">
        <f t="shared" ref="AN41" si="527">SUM(AH39:AH41)-SUM(G39:G40)</f>
        <v>508.03200000000004</v>
      </c>
      <c r="AO41" s="181">
        <f t="shared" ref="AO41" si="528">SUM(AI39:AI41)-SUM(H39:H40)</f>
        <v>11340</v>
      </c>
      <c r="AP41" s="182">
        <f>SUM(C39:C41)/SUM(AD39:AD41)</f>
        <v>0</v>
      </c>
      <c r="AQ41" s="183">
        <f t="shared" ref="AQ41" si="529">SUM(D39:D41)/SUM(AE39:AE41)</f>
        <v>0</v>
      </c>
      <c r="AR41" s="183">
        <f t="shared" ref="AR41" si="530">SUM(E39:E41)/SUM(AF39:AF41)</f>
        <v>0</v>
      </c>
      <c r="AS41" s="183">
        <f t="shared" ref="AS41" si="531">SUM(F39:F41)/SUM(AG39:AG41)</f>
        <v>0</v>
      </c>
      <c r="AT41" s="183">
        <f t="shared" ref="AT41" si="532">SUM(G39:G41)/SUM(AH39:AH41)</f>
        <v>0</v>
      </c>
      <c r="AU41" s="184">
        <f t="shared" ref="AU41" si="533">SUM(H39:H41)/SUM(AI39:AI41)</f>
        <v>0</v>
      </c>
      <c r="AV41" s="172">
        <f t="shared" si="109"/>
        <v>0.27</v>
      </c>
      <c r="AW41" s="172">
        <f t="shared" si="110"/>
        <v>0.45999999999999996</v>
      </c>
      <c r="AX41" s="172">
        <f t="shared" si="111"/>
        <v>0.57000000000000006</v>
      </c>
      <c r="AY41" s="172">
        <f t="shared" si="112"/>
        <v>0.21999999999999997</v>
      </c>
      <c r="AZ41" s="172">
        <f t="shared" si="113"/>
        <v>0.72</v>
      </c>
      <c r="BA41" s="172">
        <f t="shared" si="114"/>
        <v>0.5</v>
      </c>
      <c r="BB41" s="191">
        <f t="shared" si="115"/>
        <v>0.8</v>
      </c>
      <c r="BC41" s="192">
        <f t="shared" si="116"/>
        <v>1877.9040000000002</v>
      </c>
      <c r="BD41" s="192">
        <f t="shared" si="117"/>
        <v>3616.7040000000002</v>
      </c>
      <c r="BE41" s="192">
        <f t="shared" si="118"/>
        <v>3964.4640000000009</v>
      </c>
      <c r="BF41" s="192">
        <f t="shared" si="119"/>
        <v>66.528000000000006</v>
      </c>
      <c r="BG41" s="192">
        <f t="shared" si="120"/>
        <v>435.45600000000002</v>
      </c>
      <c r="BH41" s="158">
        <f t="shared" si="121"/>
        <v>3780</v>
      </c>
      <c r="BI41" s="198">
        <f>SUM(BC39:BC41)-SUM(I39:I40)</f>
        <v>5633.7120000000004</v>
      </c>
      <c r="BJ41" s="199">
        <f t="shared" ref="BJ41" si="534">SUM(BD39:BD41)-SUM(J39:J40)</f>
        <v>10850.112000000001</v>
      </c>
      <c r="BK41" s="199">
        <f t="shared" ref="BK41" si="535">SUM(BE39:BE41)-SUM(K39:K40)</f>
        <v>11893.392000000003</v>
      </c>
      <c r="BL41" s="199">
        <f t="shared" ref="BL41" si="536">SUM(BF39:BF41)-SUM(L39:L40)</f>
        <v>199.584</v>
      </c>
      <c r="BM41" s="199">
        <f t="shared" ref="BM41" si="537">SUM(BG39:BG41)-SUM(M39:M40)</f>
        <v>1306.3679999999999</v>
      </c>
      <c r="BN41" s="209">
        <f t="shared" ref="BN41" si="538">SUM(BH39:BH41)-SUM(N39:N40)</f>
        <v>11340</v>
      </c>
      <c r="BO41" s="210">
        <f>SUM(I39:I41)/SUM(BC39:BC41)</f>
        <v>0</v>
      </c>
      <c r="BP41" s="211">
        <f t="shared" ref="BP41" si="539">SUM(J39:J41)/SUM(BD39:BD41)</f>
        <v>0</v>
      </c>
      <c r="BQ41" s="211">
        <f t="shared" ref="BQ41" si="540">SUM(K39:K41)/SUM(BE39:BE41)</f>
        <v>0</v>
      </c>
      <c r="BR41" s="211">
        <f t="shared" ref="BR41" si="541">SUM(L39:L41)/SUM(BF39:BF41)</f>
        <v>0</v>
      </c>
      <c r="BS41" s="211">
        <f t="shared" ref="BS41" si="542">SUM(M39:M41)/SUM(BG39:BG41)</f>
        <v>0</v>
      </c>
      <c r="BT41" s="212">
        <f t="shared" ref="BT41" si="543">SUM(N39:N41)/SUM(BH39:BH41)</f>
        <v>0</v>
      </c>
      <c r="BU41" s="220">
        <f t="shared" si="132"/>
        <v>6955.2000000000007</v>
      </c>
      <c r="BV41" s="220">
        <f t="shared" si="133"/>
        <v>7862.4000000000015</v>
      </c>
      <c r="BW41" s="220">
        <f t="shared" si="134"/>
        <v>6955.2000000000007</v>
      </c>
      <c r="BX41" s="220">
        <f t="shared" si="135"/>
        <v>302.40000000000003</v>
      </c>
      <c r="BY41" s="224">
        <f t="shared" si="136"/>
        <v>604.80000000000007</v>
      </c>
      <c r="BZ41" s="221">
        <f t="shared" si="137"/>
        <v>7560</v>
      </c>
      <c r="CA41" s="222">
        <f>SUM($BU$39:BZ41)</f>
        <v>90720</v>
      </c>
      <c r="CB41" s="224">
        <f t="shared" si="163"/>
        <v>20865.600000000002</v>
      </c>
      <c r="CC41" s="220">
        <f t="shared" si="164"/>
        <v>23587.200000000004</v>
      </c>
      <c r="CD41" s="220">
        <f t="shared" si="165"/>
        <v>20865.600000000006</v>
      </c>
      <c r="CE41" s="220">
        <f t="shared" si="166"/>
        <v>907.2</v>
      </c>
      <c r="CF41" s="220">
        <f t="shared" si="167"/>
        <v>1814.4</v>
      </c>
      <c r="CG41" s="221">
        <f t="shared" si="168"/>
        <v>22680</v>
      </c>
      <c r="CH41" s="232">
        <f>(SUM(I39:I41)+SUM(C39:C41))/SUM(BU39:BU41)</f>
        <v>0</v>
      </c>
      <c r="CI41" s="233">
        <f t="shared" ref="CI41" si="544">(SUM(J39:J41)+SUM(D39:D41))/SUM(BV39:BV41)</f>
        <v>0</v>
      </c>
      <c r="CJ41" s="233">
        <f t="shared" ref="CJ41" si="545">(SUM(K39:K41)+SUM(E39:E41))/SUM(BW39:BW41)</f>
        <v>0</v>
      </c>
      <c r="CK41" s="233">
        <f t="shared" ref="CK41" si="546">(SUM(L39:L41)+SUM(F39:F41))/SUM(BX39:BX41)</f>
        <v>0</v>
      </c>
      <c r="CL41" s="233">
        <f t="shared" ref="CL41" si="547">(SUM(M39:M41)+SUM(G39:G41))/SUM(BY39:BY41)</f>
        <v>0</v>
      </c>
      <c r="CM41" s="237">
        <f t="shared" ref="CM41" si="548">(SUM(N39:N41)+SUM(H39:H41))/SUM(BZ39:BZ41)</f>
        <v>0</v>
      </c>
    </row>
    <row r="42" spans="1:91" ht="14.25">
      <c r="A42" s="75">
        <v>44553</v>
      </c>
      <c r="B42" s="76">
        <v>4</v>
      </c>
      <c r="C42" s="79"/>
      <c r="D42" s="80"/>
      <c r="E42" s="80"/>
      <c r="F42" s="80"/>
      <c r="G42" s="80"/>
      <c r="H42" s="80"/>
      <c r="I42" s="98"/>
      <c r="J42" s="98"/>
      <c r="K42" s="98"/>
      <c r="L42" s="98"/>
      <c r="M42" s="98"/>
      <c r="N42" s="99"/>
      <c r="O42" s="114"/>
      <c r="P42" s="109">
        <f t="shared" si="20"/>
        <v>151200</v>
      </c>
      <c r="Q42" s="123">
        <v>0.23</v>
      </c>
      <c r="R42" s="124">
        <v>0.26</v>
      </c>
      <c r="S42" s="124">
        <v>0.23</v>
      </c>
      <c r="T42" s="124">
        <v>0.01</v>
      </c>
      <c r="U42" s="124">
        <v>0.02</v>
      </c>
      <c r="V42" s="125">
        <v>0.25</v>
      </c>
      <c r="W42" s="138">
        <v>0.73</v>
      </c>
      <c r="X42" s="139">
        <v>0.54</v>
      </c>
      <c r="Y42" s="139">
        <v>0.43</v>
      </c>
      <c r="Z42" s="139">
        <v>0.78</v>
      </c>
      <c r="AA42" s="139">
        <v>0.28000000000000003</v>
      </c>
      <c r="AB42" s="139">
        <v>0.5</v>
      </c>
      <c r="AC42" s="152">
        <v>0.133333333333333</v>
      </c>
      <c r="AD42" s="146">
        <f t="shared" si="93"/>
        <v>3384.8639999999914</v>
      </c>
      <c r="AE42" s="147">
        <f t="shared" si="94"/>
        <v>2830.4639999999931</v>
      </c>
      <c r="AF42" s="147">
        <f t="shared" si="95"/>
        <v>1993.8239999999951</v>
      </c>
      <c r="AG42" s="147">
        <f t="shared" si="96"/>
        <v>157.24799999999959</v>
      </c>
      <c r="AH42" s="147">
        <f t="shared" si="97"/>
        <v>112.89599999999972</v>
      </c>
      <c r="AI42" s="158">
        <f t="shared" si="98"/>
        <v>2519.9999999999936</v>
      </c>
      <c r="AJ42" s="163">
        <f>SUM(AD39:AD42)-SUM(C39:C41)</f>
        <v>18616.751999999993</v>
      </c>
      <c r="AK42" s="164">
        <f t="shared" ref="AK42" si="549">SUM(AE39:AE42)-SUM(D39:D41)</f>
        <v>15567.551999999996</v>
      </c>
      <c r="AL42" s="164">
        <f t="shared" ref="AL42" si="550">SUM(AF39:AF42)-SUM(E39:E41)</f>
        <v>10966.031999999996</v>
      </c>
      <c r="AM42" s="164">
        <f t="shared" ref="AM42" si="551">SUM(AG39:AG42)-SUM(F39:F41)</f>
        <v>864.86399999999969</v>
      </c>
      <c r="AN42" s="164">
        <f t="shared" ref="AN42" si="552">SUM(AH39:AH42)-SUM(G39:G41)</f>
        <v>620.92799999999977</v>
      </c>
      <c r="AO42" s="181">
        <f t="shared" ref="AO42" si="553">SUM(AI39:AI42)-SUM(H39:H41)</f>
        <v>13859.999999999993</v>
      </c>
      <c r="AP42" s="182">
        <f>SUM(C39:C42)/SUM(AD39:AD42)</f>
        <v>0</v>
      </c>
      <c r="AQ42" s="183">
        <f t="shared" ref="AQ42" si="554">SUM(D39:D42)/SUM(AE39:AE42)</f>
        <v>0</v>
      </c>
      <c r="AR42" s="183">
        <f t="shared" ref="AR42" si="555">SUM(E39:E42)/SUM(AF39:AF42)</f>
        <v>0</v>
      </c>
      <c r="AS42" s="183">
        <f t="shared" ref="AS42" si="556">SUM(F39:F42)/SUM(AG39:AG42)</f>
        <v>0</v>
      </c>
      <c r="AT42" s="183">
        <f t="shared" ref="AT42" si="557">SUM(G39:G42)/SUM(AH39:AH42)</f>
        <v>0</v>
      </c>
      <c r="AU42" s="184">
        <f t="shared" ref="AU42" si="558">SUM(H39:H42)/SUM(AI39:AI42)</f>
        <v>0</v>
      </c>
      <c r="AV42" s="172">
        <f t="shared" si="109"/>
        <v>0.27</v>
      </c>
      <c r="AW42" s="172">
        <f t="shared" si="110"/>
        <v>0.45999999999999996</v>
      </c>
      <c r="AX42" s="172">
        <f t="shared" si="111"/>
        <v>0.57000000000000006</v>
      </c>
      <c r="AY42" s="172">
        <f t="shared" si="112"/>
        <v>0.21999999999999997</v>
      </c>
      <c r="AZ42" s="172">
        <f t="shared" si="113"/>
        <v>0.72</v>
      </c>
      <c r="BA42" s="172">
        <f t="shared" si="114"/>
        <v>0.5</v>
      </c>
      <c r="BB42" s="191">
        <f t="shared" si="115"/>
        <v>0.86666666666666703</v>
      </c>
      <c r="BC42" s="192">
        <f t="shared" si="116"/>
        <v>1251.935999999997</v>
      </c>
      <c r="BD42" s="192">
        <f t="shared" si="117"/>
        <v>2411.1359999999936</v>
      </c>
      <c r="BE42" s="192">
        <f t="shared" si="118"/>
        <v>2642.9759999999937</v>
      </c>
      <c r="BF42" s="192">
        <f t="shared" si="119"/>
        <v>44.351999999999883</v>
      </c>
      <c r="BG42" s="192">
        <f t="shared" si="120"/>
        <v>290.30399999999923</v>
      </c>
      <c r="BH42" s="158">
        <f t="shared" si="121"/>
        <v>2519.9999999999936</v>
      </c>
      <c r="BI42" s="198">
        <f>SUM(BC39:BC42)-SUM(I39:I41)</f>
        <v>6885.6479999999974</v>
      </c>
      <c r="BJ42" s="199">
        <f t="shared" ref="BJ42" si="559">SUM(BD39:BD42)-SUM(J39:J41)</f>
        <v>13261.247999999994</v>
      </c>
      <c r="BK42" s="199">
        <f t="shared" ref="BK42" si="560">SUM(BE39:BE42)-SUM(K39:K41)</f>
        <v>14536.367999999997</v>
      </c>
      <c r="BL42" s="199">
        <f t="shared" ref="BL42" si="561">SUM(BF39:BF42)-SUM(L39:L41)</f>
        <v>243.93599999999989</v>
      </c>
      <c r="BM42" s="199">
        <f t="shared" ref="BM42" si="562">SUM(BG39:BG42)-SUM(M39:M41)</f>
        <v>1596.6719999999991</v>
      </c>
      <c r="BN42" s="209">
        <f t="shared" ref="BN42" si="563">SUM(BH39:BH42)-SUM(N39:N41)</f>
        <v>13859.999999999993</v>
      </c>
      <c r="BO42" s="210">
        <f>SUM(I39:I42)/SUM(BC39:BC42)</f>
        <v>0</v>
      </c>
      <c r="BP42" s="211">
        <f t="shared" ref="BP42" si="564">SUM(J39:J42)/SUM(BD39:BD42)</f>
        <v>0</v>
      </c>
      <c r="BQ42" s="211">
        <f t="shared" ref="BQ42" si="565">SUM(K39:K42)/SUM(BE39:BE42)</f>
        <v>0</v>
      </c>
      <c r="BR42" s="211">
        <f t="shared" ref="BR42" si="566">SUM(L39:L42)/SUM(BF39:BF42)</f>
        <v>0</v>
      </c>
      <c r="BS42" s="211">
        <f t="shared" ref="BS42" si="567">SUM(M39:M42)/SUM(BG39:BG42)</f>
        <v>0</v>
      </c>
      <c r="BT42" s="212">
        <f t="shared" ref="BT42" si="568">SUM(N39:N42)/SUM(BH39:BH42)</f>
        <v>0</v>
      </c>
      <c r="BU42" s="220">
        <f t="shared" si="132"/>
        <v>4636.7999999999884</v>
      </c>
      <c r="BV42" s="220">
        <f t="shared" si="133"/>
        <v>5241.5999999999867</v>
      </c>
      <c r="BW42" s="220">
        <f t="shared" si="134"/>
        <v>4636.7999999999884</v>
      </c>
      <c r="BX42" s="220">
        <f t="shared" si="135"/>
        <v>201.59999999999948</v>
      </c>
      <c r="BY42" s="224">
        <f t="shared" si="136"/>
        <v>403.19999999999897</v>
      </c>
      <c r="BZ42" s="221">
        <f t="shared" si="137"/>
        <v>5039.9999999999873</v>
      </c>
      <c r="CA42" s="222">
        <f>SUM($BU$39:BZ42)</f>
        <v>110879.99999999996</v>
      </c>
      <c r="CB42" s="224">
        <f t="shared" si="163"/>
        <v>25502.399999999991</v>
      </c>
      <c r="CC42" s="220">
        <f t="shared" si="164"/>
        <v>28828.799999999988</v>
      </c>
      <c r="CD42" s="220">
        <f t="shared" si="165"/>
        <v>25502.399999999994</v>
      </c>
      <c r="CE42" s="220">
        <f t="shared" si="166"/>
        <v>1108.7999999999995</v>
      </c>
      <c r="CF42" s="220">
        <f t="shared" si="167"/>
        <v>2217.599999999999</v>
      </c>
      <c r="CG42" s="221">
        <f t="shared" si="168"/>
        <v>27719.999999999985</v>
      </c>
      <c r="CH42" s="232">
        <f>(SUM(I39:I42)+SUM(C39:C42))/SUM(BU39:BU42)</f>
        <v>0</v>
      </c>
      <c r="CI42" s="233">
        <f t="shared" ref="CI42" si="569">(SUM(J39:J42)+SUM(D39:D42))/SUM(BV39:BV42)</f>
        <v>0</v>
      </c>
      <c r="CJ42" s="233">
        <f t="shared" ref="CJ42" si="570">(SUM(K39:K42)+SUM(E39:E42))/SUM(BW39:BW42)</f>
        <v>0</v>
      </c>
      <c r="CK42" s="233">
        <f t="shared" ref="CK42" si="571">(SUM(L39:L42)+SUM(F39:F42))/SUM(BX39:BX42)</f>
        <v>0</v>
      </c>
      <c r="CL42" s="233">
        <f t="shared" ref="CL42" si="572">(SUM(M39:M42)+SUM(G39:G42))/SUM(BY39:BY42)</f>
        <v>0</v>
      </c>
      <c r="CM42" s="237">
        <f t="shared" ref="CM42" si="573">(SUM(N39:N42)+SUM(H39:H42))/SUM(BZ39:BZ42)</f>
        <v>0</v>
      </c>
    </row>
    <row r="43" spans="1:91" ht="14.25">
      <c r="A43" s="75">
        <v>44554</v>
      </c>
      <c r="B43" s="76">
        <v>5</v>
      </c>
      <c r="C43" s="79"/>
      <c r="D43" s="80"/>
      <c r="E43" s="80"/>
      <c r="F43" s="80"/>
      <c r="G43" s="80"/>
      <c r="H43" s="80"/>
      <c r="I43" s="98"/>
      <c r="J43" s="98"/>
      <c r="K43" s="98"/>
      <c r="L43" s="98"/>
      <c r="M43" s="98"/>
      <c r="N43" s="99"/>
      <c r="O43" s="114"/>
      <c r="P43" s="109">
        <f t="shared" si="20"/>
        <v>151200</v>
      </c>
      <c r="Q43" s="123">
        <v>0.23</v>
      </c>
      <c r="R43" s="124">
        <v>0.26</v>
      </c>
      <c r="S43" s="124">
        <v>0.23</v>
      </c>
      <c r="T43" s="124">
        <v>0.01</v>
      </c>
      <c r="U43" s="124">
        <v>0.02</v>
      </c>
      <c r="V43" s="125">
        <v>0.25</v>
      </c>
      <c r="W43" s="138">
        <v>0.73</v>
      </c>
      <c r="X43" s="139">
        <v>0.54</v>
      </c>
      <c r="Y43" s="139">
        <v>0.43</v>
      </c>
      <c r="Z43" s="139">
        <v>0.78</v>
      </c>
      <c r="AA43" s="139">
        <v>0.28000000000000003</v>
      </c>
      <c r="AB43" s="139">
        <v>0.5</v>
      </c>
      <c r="AC43" s="152">
        <v>0.133333333333333</v>
      </c>
      <c r="AD43" s="146">
        <f t="shared" si="93"/>
        <v>3384.8639999999914</v>
      </c>
      <c r="AE43" s="147">
        <f t="shared" si="94"/>
        <v>2830.4639999999931</v>
      </c>
      <c r="AF43" s="147">
        <f t="shared" si="95"/>
        <v>1993.8239999999951</v>
      </c>
      <c r="AG43" s="147">
        <f t="shared" si="96"/>
        <v>157.24799999999959</v>
      </c>
      <c r="AH43" s="147">
        <f t="shared" si="97"/>
        <v>112.89599999999972</v>
      </c>
      <c r="AI43" s="158">
        <f t="shared" si="98"/>
        <v>2519.9999999999936</v>
      </c>
      <c r="AJ43" s="163">
        <f>SUM(AD39:AD43)-SUM(C39:C42)</f>
        <v>22001.615999999984</v>
      </c>
      <c r="AK43" s="164">
        <f t="shared" ref="AK43" si="574">SUM(AE39:AE43)-SUM(D39:D42)</f>
        <v>18398.015999999989</v>
      </c>
      <c r="AL43" s="164">
        <f t="shared" ref="AL43" si="575">SUM(AF39:AF43)-SUM(E39:E42)</f>
        <v>12959.855999999991</v>
      </c>
      <c r="AM43" s="164">
        <f t="shared" ref="AM43" si="576">SUM(AG39:AG43)-SUM(F39:F42)</f>
        <v>1022.1119999999993</v>
      </c>
      <c r="AN43" s="164">
        <f t="shared" ref="AN43" si="577">SUM(AH39:AH43)-SUM(G39:G42)</f>
        <v>733.8239999999995</v>
      </c>
      <c r="AO43" s="181">
        <f t="shared" ref="AO43" si="578">SUM(AI39:AI43)-SUM(H39:H42)</f>
        <v>16379.999999999985</v>
      </c>
      <c r="AP43" s="182">
        <f>SUM(C39:C43)/SUM(AD39:AD43)</f>
        <v>0</v>
      </c>
      <c r="AQ43" s="183">
        <f t="shared" ref="AQ43" si="579">SUM(D39:D43)/SUM(AE39:AE43)</f>
        <v>0</v>
      </c>
      <c r="AR43" s="183">
        <f t="shared" ref="AR43" si="580">SUM(E39:E43)/SUM(AF39:AF43)</f>
        <v>0</v>
      </c>
      <c r="AS43" s="183">
        <f t="shared" ref="AS43" si="581">SUM(F39:F43)/SUM(AG39:AG43)</f>
        <v>0</v>
      </c>
      <c r="AT43" s="183">
        <f t="shared" ref="AT43" si="582">SUM(G39:G43)/SUM(AH39:AH43)</f>
        <v>0</v>
      </c>
      <c r="AU43" s="184">
        <f t="shared" ref="AU43" si="583">SUM(H39:H43)/SUM(AI39:AI43)</f>
        <v>0</v>
      </c>
      <c r="AV43" s="172">
        <f t="shared" si="109"/>
        <v>0.27</v>
      </c>
      <c r="AW43" s="172">
        <f t="shared" si="110"/>
        <v>0.45999999999999996</v>
      </c>
      <c r="AX43" s="172">
        <f t="shared" si="111"/>
        <v>0.57000000000000006</v>
      </c>
      <c r="AY43" s="172">
        <f t="shared" si="112"/>
        <v>0.21999999999999997</v>
      </c>
      <c r="AZ43" s="172">
        <f t="shared" si="113"/>
        <v>0.72</v>
      </c>
      <c r="BA43" s="172">
        <f t="shared" si="114"/>
        <v>0.5</v>
      </c>
      <c r="BB43" s="191">
        <f t="shared" si="115"/>
        <v>0.86666666666666703</v>
      </c>
      <c r="BC43" s="192">
        <f t="shared" si="116"/>
        <v>1251.935999999997</v>
      </c>
      <c r="BD43" s="192">
        <f t="shared" si="117"/>
        <v>2411.1359999999936</v>
      </c>
      <c r="BE43" s="192">
        <f t="shared" si="118"/>
        <v>2642.9759999999937</v>
      </c>
      <c r="BF43" s="192">
        <f t="shared" si="119"/>
        <v>44.351999999999883</v>
      </c>
      <c r="BG43" s="192">
        <f t="shared" si="120"/>
        <v>290.30399999999923</v>
      </c>
      <c r="BH43" s="158">
        <f t="shared" si="121"/>
        <v>2519.9999999999936</v>
      </c>
      <c r="BI43" s="198">
        <f>SUM(BC39:BC43)-SUM(I39:I42)</f>
        <v>8137.5839999999944</v>
      </c>
      <c r="BJ43" s="199">
        <f t="shared" ref="BJ43" si="584">SUM(BD39:BD43)-SUM(J39:J42)</f>
        <v>15672.383999999987</v>
      </c>
      <c r="BK43" s="199">
        <f t="shared" ref="BK43" si="585">SUM(BE39:BE43)-SUM(K39:K42)</f>
        <v>17179.34399999999</v>
      </c>
      <c r="BL43" s="199">
        <f t="shared" ref="BL43" si="586">SUM(BF39:BF43)-SUM(L39:L42)</f>
        <v>288.28799999999978</v>
      </c>
      <c r="BM43" s="199">
        <f t="shared" ref="BM43" si="587">SUM(BG39:BG43)-SUM(M39:M42)</f>
        <v>1886.9759999999983</v>
      </c>
      <c r="BN43" s="209">
        <f t="shared" ref="BN43" si="588">SUM(BH39:BH43)-SUM(N39:N42)</f>
        <v>16379.999999999985</v>
      </c>
      <c r="BO43" s="210">
        <f>SUM(I39:I43)/SUM(BC39:BC43)</f>
        <v>0</v>
      </c>
      <c r="BP43" s="211">
        <f t="shared" ref="BP43" si="589">SUM(J39:J43)/SUM(BD39:BD43)</f>
        <v>0</v>
      </c>
      <c r="BQ43" s="211">
        <f t="shared" ref="BQ43" si="590">SUM(K39:K43)/SUM(BE39:BE43)</f>
        <v>0</v>
      </c>
      <c r="BR43" s="211">
        <f t="shared" ref="BR43" si="591">SUM(L39:L43)/SUM(BF39:BF43)</f>
        <v>0</v>
      </c>
      <c r="BS43" s="211">
        <f t="shared" ref="BS43" si="592">SUM(M39:M43)/SUM(BG39:BG43)</f>
        <v>0</v>
      </c>
      <c r="BT43" s="212">
        <f t="shared" ref="BT43" si="593">SUM(N39:N43)/SUM(BH39:BH43)</f>
        <v>0</v>
      </c>
      <c r="BU43" s="220">
        <f t="shared" si="132"/>
        <v>4636.7999999999884</v>
      </c>
      <c r="BV43" s="220">
        <f t="shared" si="133"/>
        <v>5241.5999999999867</v>
      </c>
      <c r="BW43" s="220">
        <f t="shared" si="134"/>
        <v>4636.7999999999884</v>
      </c>
      <c r="BX43" s="220">
        <f t="shared" si="135"/>
        <v>201.59999999999948</v>
      </c>
      <c r="BY43" s="224">
        <f t="shared" si="136"/>
        <v>403.19999999999897</v>
      </c>
      <c r="BZ43" s="221">
        <f t="shared" si="137"/>
        <v>5039.9999999999873</v>
      </c>
      <c r="CA43" s="222">
        <f>SUM($BU$39:BZ43)</f>
        <v>131039.99999999991</v>
      </c>
      <c r="CB43" s="224">
        <f t="shared" si="163"/>
        <v>30139.199999999979</v>
      </c>
      <c r="CC43" s="220">
        <f t="shared" si="164"/>
        <v>34070.39999999998</v>
      </c>
      <c r="CD43" s="220">
        <f t="shared" si="165"/>
        <v>30139.199999999983</v>
      </c>
      <c r="CE43" s="220">
        <f t="shared" si="166"/>
        <v>1310.3999999999992</v>
      </c>
      <c r="CF43" s="220">
        <f t="shared" si="167"/>
        <v>2620.7999999999979</v>
      </c>
      <c r="CG43" s="221">
        <f t="shared" si="168"/>
        <v>32759.999999999971</v>
      </c>
      <c r="CH43" s="232">
        <f>(SUM(I39:I43)+SUM(C39:C43))/SUM(BU39:BU43)</f>
        <v>0</v>
      </c>
      <c r="CI43" s="233">
        <f t="shared" ref="CI43" si="594">(SUM(J39:J43)+SUM(D39:D43))/SUM(BV39:BV43)</f>
        <v>0</v>
      </c>
      <c r="CJ43" s="233">
        <f t="shared" ref="CJ43" si="595">(SUM(K39:K43)+SUM(E39:E43))/SUM(BW39:BW43)</f>
        <v>0</v>
      </c>
      <c r="CK43" s="233">
        <f t="shared" ref="CK43" si="596">(SUM(L39:L43)+SUM(F39:F43))/SUM(BX39:BX43)</f>
        <v>0</v>
      </c>
      <c r="CL43" s="233">
        <f t="shared" ref="CL43" si="597">(SUM(M39:M43)+SUM(G39:G43))/SUM(BY39:BY43)</f>
        <v>0</v>
      </c>
      <c r="CM43" s="237">
        <f t="shared" ref="CM43" si="598">(SUM(N39:N43)+SUM(H39:H43))/SUM(BZ39:BZ43)</f>
        <v>0</v>
      </c>
    </row>
    <row r="44" spans="1:91" ht="14.25">
      <c r="A44" s="75">
        <v>44555</v>
      </c>
      <c r="B44" s="76">
        <v>6</v>
      </c>
      <c r="C44" s="79"/>
      <c r="D44" s="80"/>
      <c r="E44" s="80"/>
      <c r="F44" s="80"/>
      <c r="G44" s="80"/>
      <c r="H44" s="80"/>
      <c r="I44" s="98"/>
      <c r="J44" s="98"/>
      <c r="K44" s="98"/>
      <c r="L44" s="98"/>
      <c r="M44" s="98"/>
      <c r="N44" s="99"/>
      <c r="O44" s="114"/>
      <c r="P44" s="109">
        <f t="shared" si="20"/>
        <v>151200</v>
      </c>
      <c r="Q44" s="123">
        <v>0.23</v>
      </c>
      <c r="R44" s="124">
        <v>0.26</v>
      </c>
      <c r="S44" s="124">
        <v>0.23</v>
      </c>
      <c r="T44" s="124">
        <v>0.01</v>
      </c>
      <c r="U44" s="124">
        <v>0.02</v>
      </c>
      <c r="V44" s="125">
        <v>0.25</v>
      </c>
      <c r="W44" s="138">
        <v>0.73</v>
      </c>
      <c r="X44" s="139">
        <v>0.54</v>
      </c>
      <c r="Y44" s="139">
        <v>0.43</v>
      </c>
      <c r="Z44" s="139">
        <v>0.78</v>
      </c>
      <c r="AA44" s="139">
        <v>0.28000000000000003</v>
      </c>
      <c r="AB44" s="139">
        <v>0.5</v>
      </c>
      <c r="AC44" s="152">
        <v>6.6666666666666693E-2</v>
      </c>
      <c r="AD44" s="146">
        <f t="shared" si="93"/>
        <v>1692.4320000000007</v>
      </c>
      <c r="AE44" s="147">
        <f t="shared" si="94"/>
        <v>1415.2320000000007</v>
      </c>
      <c r="AF44" s="147">
        <f t="shared" si="95"/>
        <v>996.91200000000038</v>
      </c>
      <c r="AG44" s="147">
        <f t="shared" si="96"/>
        <v>78.624000000000038</v>
      </c>
      <c r="AH44" s="147">
        <f t="shared" si="97"/>
        <v>56.448000000000029</v>
      </c>
      <c r="AI44" s="158">
        <f t="shared" si="98"/>
        <v>1260.0000000000005</v>
      </c>
      <c r="AJ44" s="163">
        <f>SUM(AD39:AD44)-SUM(C39:C43)</f>
        <v>23694.047999999984</v>
      </c>
      <c r="AK44" s="164">
        <f t="shared" ref="AK44" si="599">SUM(AE39:AE44)-SUM(D39:D43)</f>
        <v>19813.247999999989</v>
      </c>
      <c r="AL44" s="164">
        <f t="shared" ref="AL44" si="600">SUM(AF39:AF44)-SUM(E39:E43)</f>
        <v>13956.767999999991</v>
      </c>
      <c r="AM44" s="164">
        <f t="shared" ref="AM44" si="601">SUM(AG39:AG44)-SUM(F39:F43)</f>
        <v>1100.7359999999994</v>
      </c>
      <c r="AN44" s="164">
        <f t="shared" ref="AN44" si="602">SUM(AH39:AH44)-SUM(G39:G43)</f>
        <v>790.27199999999948</v>
      </c>
      <c r="AO44" s="181">
        <f t="shared" ref="AO44" si="603">SUM(AI39:AI44)-SUM(H39:H43)</f>
        <v>17639.999999999985</v>
      </c>
      <c r="AP44" s="182">
        <f>SUM(C39:C44)/SUM(AD39:AD44)</f>
        <v>0</v>
      </c>
      <c r="AQ44" s="183">
        <f t="shared" ref="AQ44" si="604">SUM(D39:D44)/SUM(AE39:AE44)</f>
        <v>0</v>
      </c>
      <c r="AR44" s="183">
        <f t="shared" ref="AR44" si="605">SUM(E39:E44)/SUM(AF39:AF44)</f>
        <v>0</v>
      </c>
      <c r="AS44" s="183">
        <f t="shared" ref="AS44" si="606">SUM(F39:F44)/SUM(AG39:AG44)</f>
        <v>0</v>
      </c>
      <c r="AT44" s="183">
        <f t="shared" ref="AT44" si="607">SUM(G39:G44)/SUM(AH39:AH44)</f>
        <v>0</v>
      </c>
      <c r="AU44" s="184">
        <f t="shared" ref="AU44" si="608">SUM(H39:H44)/SUM(AI39:AI44)</f>
        <v>0</v>
      </c>
      <c r="AV44" s="172">
        <f t="shared" si="109"/>
        <v>0.27</v>
      </c>
      <c r="AW44" s="172">
        <f t="shared" si="110"/>
        <v>0.45999999999999996</v>
      </c>
      <c r="AX44" s="172">
        <f t="shared" si="111"/>
        <v>0.57000000000000006</v>
      </c>
      <c r="AY44" s="172">
        <f t="shared" si="112"/>
        <v>0.21999999999999997</v>
      </c>
      <c r="AZ44" s="172">
        <f t="shared" si="113"/>
        <v>0.72</v>
      </c>
      <c r="BA44" s="172">
        <f t="shared" si="114"/>
        <v>0.5</v>
      </c>
      <c r="BB44" s="191">
        <f t="shared" si="115"/>
        <v>0.93333333333333335</v>
      </c>
      <c r="BC44" s="192">
        <f t="shared" si="116"/>
        <v>625.9680000000003</v>
      </c>
      <c r="BD44" s="192">
        <f t="shared" si="117"/>
        <v>1205.5680000000004</v>
      </c>
      <c r="BE44" s="192">
        <f t="shared" si="118"/>
        <v>1321.4880000000007</v>
      </c>
      <c r="BF44" s="192">
        <f t="shared" si="119"/>
        <v>22.176000000000005</v>
      </c>
      <c r="BG44" s="192">
        <f t="shared" si="120"/>
        <v>145.15200000000004</v>
      </c>
      <c r="BH44" s="158">
        <f t="shared" si="121"/>
        <v>1260.0000000000005</v>
      </c>
      <c r="BI44" s="198">
        <f>SUM(BC39:BC44)-SUM(I39:I43)</f>
        <v>8763.5519999999942</v>
      </c>
      <c r="BJ44" s="199">
        <f t="shared" ref="BJ44" si="609">SUM(BD39:BD44)-SUM(J39:J43)</f>
        <v>16877.951999999987</v>
      </c>
      <c r="BK44" s="199">
        <f t="shared" ref="BK44" si="610">SUM(BE39:BE44)-SUM(K39:K43)</f>
        <v>18500.831999999991</v>
      </c>
      <c r="BL44" s="199">
        <f t="shared" ref="BL44" si="611">SUM(BF39:BF44)-SUM(L39:L43)</f>
        <v>310.46399999999977</v>
      </c>
      <c r="BM44" s="199">
        <f t="shared" ref="BM44" si="612">SUM(BG39:BG44)-SUM(M39:M43)</f>
        <v>2032.1279999999983</v>
      </c>
      <c r="BN44" s="209">
        <f t="shared" ref="BN44" si="613">SUM(BH39:BH44)-SUM(N39:N43)</f>
        <v>17639.999999999985</v>
      </c>
      <c r="BO44" s="210">
        <f>SUM(I39:I44)/SUM(BC39:BC44)</f>
        <v>0</v>
      </c>
      <c r="BP44" s="211">
        <f t="shared" ref="BP44" si="614">SUM(J39:J44)/SUM(BD39:BD44)</f>
        <v>0</v>
      </c>
      <c r="BQ44" s="211">
        <f t="shared" ref="BQ44" si="615">SUM(K39:K44)/SUM(BE39:BE44)</f>
        <v>0</v>
      </c>
      <c r="BR44" s="211">
        <f t="shared" ref="BR44" si="616">SUM(L39:L44)/SUM(BF39:BF44)</f>
        <v>0</v>
      </c>
      <c r="BS44" s="211">
        <f t="shared" ref="BS44" si="617">SUM(M39:M44)/SUM(BG39:BG44)</f>
        <v>0</v>
      </c>
      <c r="BT44" s="212">
        <f t="shared" ref="BT44" si="618">SUM(N39:N44)/SUM(BH39:BH44)</f>
        <v>0</v>
      </c>
      <c r="BU44" s="220">
        <f t="shared" si="132"/>
        <v>2318.400000000001</v>
      </c>
      <c r="BV44" s="220">
        <f t="shared" si="133"/>
        <v>2620.8000000000011</v>
      </c>
      <c r="BW44" s="220">
        <f t="shared" si="134"/>
        <v>2318.400000000001</v>
      </c>
      <c r="BX44" s="220">
        <f t="shared" si="135"/>
        <v>100.80000000000004</v>
      </c>
      <c r="BY44" s="224">
        <f t="shared" si="136"/>
        <v>201.60000000000008</v>
      </c>
      <c r="BZ44" s="221">
        <f t="shared" si="137"/>
        <v>2520.0000000000009</v>
      </c>
      <c r="CA44" s="222">
        <f>SUM($BU$39:BZ44)</f>
        <v>141119.99999999988</v>
      </c>
      <c r="CB44" s="224">
        <f t="shared" si="163"/>
        <v>32457.599999999977</v>
      </c>
      <c r="CC44" s="220">
        <f t="shared" si="164"/>
        <v>36691.199999999975</v>
      </c>
      <c r="CD44" s="220">
        <f t="shared" si="165"/>
        <v>32457.599999999984</v>
      </c>
      <c r="CE44" s="220">
        <f t="shared" si="166"/>
        <v>1411.1999999999991</v>
      </c>
      <c r="CF44" s="220">
        <f t="shared" si="167"/>
        <v>2822.3999999999978</v>
      </c>
      <c r="CG44" s="221">
        <f t="shared" si="168"/>
        <v>35279.999999999971</v>
      </c>
      <c r="CH44" s="232">
        <f>(SUM(I39:I44)+SUM(C39:C44))/SUM(BU39:BU44)</f>
        <v>0</v>
      </c>
      <c r="CI44" s="233">
        <f t="shared" ref="CI44" si="619">(SUM(J39:J44)+SUM(D39:D44))/SUM(BV39:BV44)</f>
        <v>0</v>
      </c>
      <c r="CJ44" s="233">
        <f t="shared" ref="CJ44" si="620">(SUM(K39:K44)+SUM(E39:E44))/SUM(BW39:BW44)</f>
        <v>0</v>
      </c>
      <c r="CK44" s="233">
        <f t="shared" ref="CK44" si="621">(SUM(L39:L44)+SUM(F39:F44))/SUM(BX39:BX44)</f>
        <v>0</v>
      </c>
      <c r="CL44" s="233">
        <f t="shared" ref="CL44" si="622">(SUM(M39:M44)+SUM(G39:G44))/SUM(BY39:BY44)</f>
        <v>0</v>
      </c>
      <c r="CM44" s="237">
        <f t="shared" ref="CM44" si="623">(SUM(N39:N44)+SUM(H39:H44))/SUM(BZ39:BZ44)</f>
        <v>0</v>
      </c>
    </row>
    <row r="45" spans="1:91" ht="14.25">
      <c r="A45" s="75">
        <v>44556</v>
      </c>
      <c r="B45" s="76">
        <v>7</v>
      </c>
      <c r="C45" s="83"/>
      <c r="D45" s="84"/>
      <c r="E45" s="84"/>
      <c r="F45" s="84"/>
      <c r="G45" s="84"/>
      <c r="H45" s="84"/>
      <c r="I45" s="101"/>
      <c r="J45" s="101"/>
      <c r="K45" s="101"/>
      <c r="L45" s="101"/>
      <c r="M45" s="101"/>
      <c r="N45" s="102"/>
      <c r="O45" s="115"/>
      <c r="P45" s="110">
        <f t="shared" si="20"/>
        <v>151200</v>
      </c>
      <c r="Q45" s="128">
        <v>0.23</v>
      </c>
      <c r="R45" s="129">
        <v>0.26</v>
      </c>
      <c r="S45" s="129">
        <v>0.23</v>
      </c>
      <c r="T45" s="129">
        <v>0.01</v>
      </c>
      <c r="U45" s="129">
        <v>0.02</v>
      </c>
      <c r="V45" s="130">
        <v>0.25</v>
      </c>
      <c r="W45" s="140">
        <v>0.73</v>
      </c>
      <c r="X45" s="141">
        <v>0.54</v>
      </c>
      <c r="Y45" s="141">
        <v>0.43</v>
      </c>
      <c r="Z45" s="141">
        <v>0.78</v>
      </c>
      <c r="AA45" s="141">
        <v>0.28000000000000003</v>
      </c>
      <c r="AB45" s="141">
        <v>0.5</v>
      </c>
      <c r="AC45" s="153">
        <v>6.6666666666666693E-2</v>
      </c>
      <c r="AD45" s="149">
        <f t="shared" si="93"/>
        <v>1692.4320000000007</v>
      </c>
      <c r="AE45" s="150">
        <f t="shared" si="94"/>
        <v>1415.2320000000007</v>
      </c>
      <c r="AF45" s="150">
        <f t="shared" si="95"/>
        <v>996.91200000000038</v>
      </c>
      <c r="AG45" s="150">
        <f t="shared" si="96"/>
        <v>78.624000000000038</v>
      </c>
      <c r="AH45" s="150">
        <f t="shared" si="97"/>
        <v>56.448000000000029</v>
      </c>
      <c r="AI45" s="159">
        <f t="shared" si="98"/>
        <v>1260.0000000000005</v>
      </c>
      <c r="AJ45" s="165">
        <f>SUM(AD39:AD45)-SUM(C39:C44)</f>
        <v>25386.479999999985</v>
      </c>
      <c r="AK45" s="166">
        <f t="shared" ref="AK45" si="624">SUM(AE39:AE45)-SUM(D39:D44)</f>
        <v>21228.479999999989</v>
      </c>
      <c r="AL45" s="166">
        <f t="shared" ref="AL45" si="625">SUM(AF39:AF45)-SUM(E39:E44)</f>
        <v>14953.679999999991</v>
      </c>
      <c r="AM45" s="166">
        <f t="shared" ref="AM45" si="626">SUM(AG39:AG45)-SUM(F39:F44)</f>
        <v>1179.3599999999994</v>
      </c>
      <c r="AN45" s="166">
        <f t="shared" ref="AN45" si="627">SUM(AH39:AH45)-SUM(G39:G44)</f>
        <v>846.71999999999946</v>
      </c>
      <c r="AO45" s="185">
        <f t="shared" ref="AO45" si="628">SUM(AI39:AI45)-SUM(H39:H44)</f>
        <v>18899.999999999985</v>
      </c>
      <c r="AP45" s="186">
        <f>SUM(C39:C45)/SUM(AD39:AD45)</f>
        <v>0</v>
      </c>
      <c r="AQ45" s="187">
        <f t="shared" ref="AQ45" si="629">SUM(D39:D45)/SUM(AE39:AE45)</f>
        <v>0</v>
      </c>
      <c r="AR45" s="187">
        <f t="shared" ref="AR45" si="630">SUM(E39:E45)/SUM(AF39:AF45)</f>
        <v>0</v>
      </c>
      <c r="AS45" s="187">
        <f t="shared" ref="AS45" si="631">SUM(F39:F45)/SUM(AG39:AG45)</f>
        <v>0</v>
      </c>
      <c r="AT45" s="187">
        <f t="shared" ref="AT45" si="632">SUM(G39:G45)/SUM(AH39:AH45)</f>
        <v>0</v>
      </c>
      <c r="AU45" s="188">
        <f t="shared" ref="AU45" si="633">SUM(H39:H45)/SUM(AI39:AI45)</f>
        <v>0</v>
      </c>
      <c r="AV45" s="176">
        <f t="shared" si="109"/>
        <v>0.27</v>
      </c>
      <c r="AW45" s="176">
        <f t="shared" si="110"/>
        <v>0.45999999999999996</v>
      </c>
      <c r="AX45" s="176">
        <f t="shared" si="111"/>
        <v>0.57000000000000006</v>
      </c>
      <c r="AY45" s="176">
        <f t="shared" si="112"/>
        <v>0.21999999999999997</v>
      </c>
      <c r="AZ45" s="176">
        <f t="shared" si="113"/>
        <v>0.72</v>
      </c>
      <c r="BA45" s="176">
        <f t="shared" si="114"/>
        <v>0.5</v>
      </c>
      <c r="BB45" s="193">
        <f t="shared" si="115"/>
        <v>0.93333333333333335</v>
      </c>
      <c r="BC45" s="150">
        <f t="shared" si="116"/>
        <v>625.9680000000003</v>
      </c>
      <c r="BD45" s="150">
        <f t="shared" si="117"/>
        <v>1205.5680000000004</v>
      </c>
      <c r="BE45" s="150">
        <f t="shared" si="118"/>
        <v>1321.4880000000007</v>
      </c>
      <c r="BF45" s="150">
        <f t="shared" si="119"/>
        <v>22.176000000000005</v>
      </c>
      <c r="BG45" s="150">
        <f t="shared" si="120"/>
        <v>145.15200000000004</v>
      </c>
      <c r="BH45" s="159">
        <f t="shared" si="121"/>
        <v>1260.0000000000005</v>
      </c>
      <c r="BI45" s="200">
        <f>SUM(BC39:BC45)-SUM(I39:I44)</f>
        <v>9389.519999999995</v>
      </c>
      <c r="BJ45" s="201">
        <f t="shared" ref="BJ45" si="634">SUM(BD39:BD45)-SUM(J39:J44)</f>
        <v>18083.519999999986</v>
      </c>
      <c r="BK45" s="201">
        <f t="shared" ref="BK45" si="635">SUM(BE39:BE45)-SUM(K39:K44)</f>
        <v>19822.319999999992</v>
      </c>
      <c r="BL45" s="201">
        <f t="shared" ref="BL45" si="636">SUM(BF39:BF45)-SUM(L39:L44)</f>
        <v>332.63999999999976</v>
      </c>
      <c r="BM45" s="201">
        <f t="shared" ref="BM45" si="637">SUM(BG39:BG45)-SUM(M39:M44)</f>
        <v>2177.2799999999984</v>
      </c>
      <c r="BN45" s="213">
        <f t="shared" ref="BN45" si="638">SUM(BH39:BH45)-SUM(N39:N44)</f>
        <v>18899.999999999985</v>
      </c>
      <c r="BO45" s="214">
        <f>SUM(I39:I45)/SUM(BC39:BC45)</f>
        <v>0</v>
      </c>
      <c r="BP45" s="215">
        <f t="shared" ref="BP45" si="639">SUM(J39:J45)/SUM(BD39:BD45)</f>
        <v>0</v>
      </c>
      <c r="BQ45" s="215">
        <f t="shared" ref="BQ45" si="640">SUM(K39:K45)/SUM(BE39:BE45)</f>
        <v>0</v>
      </c>
      <c r="BR45" s="215">
        <f t="shared" ref="BR45" si="641">SUM(L39:L45)/SUM(BF39:BF45)</f>
        <v>0</v>
      </c>
      <c r="BS45" s="215">
        <f t="shared" ref="BS45" si="642">SUM(M39:M45)/SUM(BG39:BG45)</f>
        <v>0</v>
      </c>
      <c r="BT45" s="216">
        <f t="shared" ref="BT45" si="643">SUM(N39:N45)/SUM(BH39:BH45)</f>
        <v>0</v>
      </c>
      <c r="BU45" s="223">
        <f t="shared" si="132"/>
        <v>2318.400000000001</v>
      </c>
      <c r="BV45" s="223">
        <f t="shared" si="133"/>
        <v>2620.8000000000011</v>
      </c>
      <c r="BW45" s="223">
        <f t="shared" si="134"/>
        <v>2318.400000000001</v>
      </c>
      <c r="BX45" s="223">
        <f t="shared" si="135"/>
        <v>100.80000000000004</v>
      </c>
      <c r="BY45" s="223">
        <f t="shared" si="136"/>
        <v>201.60000000000008</v>
      </c>
      <c r="BZ45" s="228">
        <f t="shared" si="137"/>
        <v>2520.0000000000009</v>
      </c>
      <c r="CA45" s="222">
        <f>SUM($BU$39:BZ45)</f>
        <v>151199.99999999985</v>
      </c>
      <c r="CB45" s="223">
        <f t="shared" si="163"/>
        <v>34775.999999999978</v>
      </c>
      <c r="CC45" s="223">
        <f t="shared" si="164"/>
        <v>39311.999999999971</v>
      </c>
      <c r="CD45" s="223">
        <f t="shared" si="165"/>
        <v>34775.999999999985</v>
      </c>
      <c r="CE45" s="223">
        <f t="shared" si="166"/>
        <v>1511.9999999999991</v>
      </c>
      <c r="CF45" s="223">
        <f t="shared" si="167"/>
        <v>3023.9999999999977</v>
      </c>
      <c r="CG45" s="228">
        <f t="shared" si="168"/>
        <v>37799.999999999971</v>
      </c>
      <c r="CH45" s="234">
        <f>(SUM(I39:I45)+SUM(C39:C45))/SUM(BU39:BU45)</f>
        <v>0</v>
      </c>
      <c r="CI45" s="235">
        <f t="shared" ref="CI45" si="644">(SUM(J39:J45)+SUM(D39:D45))/SUM(BV39:BV45)</f>
        <v>0</v>
      </c>
      <c r="CJ45" s="235">
        <f t="shared" ref="CJ45" si="645">(SUM(K39:K45)+SUM(E39:E45))/SUM(BW39:BW45)</f>
        <v>0</v>
      </c>
      <c r="CK45" s="235">
        <f t="shared" ref="CK45" si="646">(SUM(L39:L45)+SUM(F39:F45))/SUM(BX39:BX45)</f>
        <v>0</v>
      </c>
      <c r="CL45" s="235">
        <f t="shared" ref="CL45" si="647">(SUM(M39:M45)+SUM(G39:G45))/SUM(BY39:BY45)</f>
        <v>0</v>
      </c>
      <c r="CM45" s="238">
        <f t="shared" ref="CM45" si="648">(SUM(N39:N45)+SUM(H39:H45))/SUM(BZ39:BZ45)</f>
        <v>0</v>
      </c>
    </row>
    <row r="46" spans="1:91" ht="14.25">
      <c r="A46" s="75">
        <v>44557</v>
      </c>
      <c r="B46" s="76">
        <v>1</v>
      </c>
      <c r="C46" s="77"/>
      <c r="D46" s="78"/>
      <c r="E46" s="78"/>
      <c r="F46" s="78"/>
      <c r="G46" s="78"/>
      <c r="H46" s="78"/>
      <c r="I46" s="94"/>
      <c r="J46" s="94"/>
      <c r="K46" s="94"/>
      <c r="L46" s="94"/>
      <c r="M46" s="94"/>
      <c r="N46" s="95"/>
      <c r="O46" s="113"/>
      <c r="P46" s="108">
        <f t="shared" si="20"/>
        <v>151200</v>
      </c>
      <c r="Q46" s="133">
        <v>0.23</v>
      </c>
      <c r="R46" s="134">
        <v>0.26</v>
      </c>
      <c r="S46" s="134">
        <v>0.23</v>
      </c>
      <c r="T46" s="134">
        <v>0.01</v>
      </c>
      <c r="U46" s="134">
        <v>0.02</v>
      </c>
      <c r="V46" s="135">
        <v>0.25</v>
      </c>
      <c r="W46" s="136">
        <v>0.73</v>
      </c>
      <c r="X46" s="137">
        <v>0.54</v>
      </c>
      <c r="Y46" s="137">
        <v>0.43</v>
      </c>
      <c r="Z46" s="137">
        <v>0.78</v>
      </c>
      <c r="AA46" s="137">
        <v>0.28000000000000003</v>
      </c>
      <c r="AB46" s="137">
        <v>0.5</v>
      </c>
      <c r="AC46" s="151">
        <v>0.2</v>
      </c>
      <c r="AD46" s="146">
        <f t="shared" si="93"/>
        <v>5077.2960000000003</v>
      </c>
      <c r="AE46" s="147">
        <f t="shared" si="94"/>
        <v>4245.6960000000008</v>
      </c>
      <c r="AF46" s="147">
        <f t="shared" si="95"/>
        <v>2990.7360000000003</v>
      </c>
      <c r="AG46" s="147">
        <f t="shared" si="96"/>
        <v>235.87200000000004</v>
      </c>
      <c r="AH46" s="147">
        <f t="shared" si="97"/>
        <v>169.34400000000002</v>
      </c>
      <c r="AI46" s="158">
        <f t="shared" si="98"/>
        <v>3780</v>
      </c>
      <c r="AJ46" s="161">
        <f>AD46</f>
        <v>5077.2960000000003</v>
      </c>
      <c r="AK46" s="162">
        <f t="shared" ref="AK46" si="649">AE46</f>
        <v>4245.6960000000008</v>
      </c>
      <c r="AL46" s="162">
        <f t="shared" ref="AL46" si="650">AF46</f>
        <v>2990.7360000000003</v>
      </c>
      <c r="AM46" s="162">
        <f t="shared" ref="AM46" si="651">AG46</f>
        <v>235.87200000000004</v>
      </c>
      <c r="AN46" s="162">
        <f t="shared" ref="AN46" si="652">AH46</f>
        <v>169.34400000000002</v>
      </c>
      <c r="AO46" s="177">
        <f t="shared" ref="AO46" si="653">AI46</f>
        <v>3780</v>
      </c>
      <c r="AP46" s="178">
        <f>SUM(C46:C46)/SUM(AD46:AD46)</f>
        <v>0</v>
      </c>
      <c r="AQ46" s="179">
        <f t="shared" ref="AQ46" si="654">SUM(D46:D46)/SUM(AE46:AE46)</f>
        <v>0</v>
      </c>
      <c r="AR46" s="179">
        <f t="shared" ref="AR46" si="655">SUM(E46:E46)/SUM(AF46:AF46)</f>
        <v>0</v>
      </c>
      <c r="AS46" s="179">
        <f t="shared" ref="AS46" si="656">SUM(F46:F46)/SUM(AG46:AG46)</f>
        <v>0</v>
      </c>
      <c r="AT46" s="179">
        <f t="shared" ref="AT46" si="657">SUM(G46:G46)/SUM(AH46:AH46)</f>
        <v>0</v>
      </c>
      <c r="AU46" s="180">
        <f t="shared" ref="AU46" si="658">SUM(H46:H46)/SUM(AI46:AI46)</f>
        <v>0</v>
      </c>
      <c r="AV46" s="172">
        <f t="shared" si="109"/>
        <v>0.27</v>
      </c>
      <c r="AW46" s="172">
        <f t="shared" si="110"/>
        <v>0.45999999999999996</v>
      </c>
      <c r="AX46" s="172">
        <f t="shared" si="111"/>
        <v>0.57000000000000006</v>
      </c>
      <c r="AY46" s="172">
        <f t="shared" si="112"/>
        <v>0.21999999999999997</v>
      </c>
      <c r="AZ46" s="172">
        <f t="shared" si="113"/>
        <v>0.72</v>
      </c>
      <c r="BA46" s="172">
        <f t="shared" si="114"/>
        <v>0.5</v>
      </c>
      <c r="BB46" s="191">
        <f t="shared" si="115"/>
        <v>0.8</v>
      </c>
      <c r="BC46" s="192">
        <f t="shared" si="116"/>
        <v>1877.9040000000002</v>
      </c>
      <c r="BD46" s="192">
        <f t="shared" si="117"/>
        <v>3616.7040000000002</v>
      </c>
      <c r="BE46" s="192">
        <f t="shared" si="118"/>
        <v>3964.4640000000009</v>
      </c>
      <c r="BF46" s="192">
        <f t="shared" si="119"/>
        <v>66.528000000000006</v>
      </c>
      <c r="BG46" s="192">
        <f t="shared" si="120"/>
        <v>435.45600000000002</v>
      </c>
      <c r="BH46" s="158">
        <f t="shared" si="121"/>
        <v>3780</v>
      </c>
      <c r="BI46" s="196">
        <f>BC46</f>
        <v>1877.9040000000002</v>
      </c>
      <c r="BJ46" s="197">
        <f t="shared" ref="BJ46" si="659">BD46</f>
        <v>3616.7040000000002</v>
      </c>
      <c r="BK46" s="197">
        <f t="shared" ref="BK46" si="660">BE46</f>
        <v>3964.4640000000009</v>
      </c>
      <c r="BL46" s="197">
        <f t="shared" ref="BL46" si="661">BF46</f>
        <v>66.528000000000006</v>
      </c>
      <c r="BM46" s="197">
        <f t="shared" ref="BM46" si="662">BG46</f>
        <v>435.45600000000002</v>
      </c>
      <c r="BN46" s="205">
        <f t="shared" ref="BN46" si="663">BH46</f>
        <v>3780</v>
      </c>
      <c r="BO46" s="206">
        <f>SUM(I46:I46)/SUM(BC46:BC46)</f>
        <v>0</v>
      </c>
      <c r="BP46" s="207">
        <f t="shared" ref="BP46" si="664">SUM(J46:J46)/SUM(BD46:BD46)</f>
        <v>0</v>
      </c>
      <c r="BQ46" s="207">
        <f t="shared" ref="BQ46" si="665">SUM(K46:K46)/SUM(BE46:BE46)</f>
        <v>0</v>
      </c>
      <c r="BR46" s="207">
        <f t="shared" ref="BR46" si="666">SUM(L46:L46)/SUM(BF46:BF46)</f>
        <v>0</v>
      </c>
      <c r="BS46" s="207">
        <f t="shared" ref="BS46" si="667">SUM(M46:M46)/SUM(BG46:BG46)</f>
        <v>0</v>
      </c>
      <c r="BT46" s="208">
        <f t="shared" ref="BT46" si="668">SUM(N46:N46)/SUM(BH46:BH46)</f>
        <v>0</v>
      </c>
      <c r="BU46" s="220">
        <f t="shared" si="132"/>
        <v>6955.2000000000007</v>
      </c>
      <c r="BV46" s="220">
        <f t="shared" si="133"/>
        <v>7862.4000000000015</v>
      </c>
      <c r="BW46" s="220">
        <f t="shared" si="134"/>
        <v>6955.2000000000007</v>
      </c>
      <c r="BX46" s="220">
        <f t="shared" si="135"/>
        <v>302.40000000000003</v>
      </c>
      <c r="BY46" s="225">
        <f t="shared" si="136"/>
        <v>604.80000000000007</v>
      </c>
      <c r="BZ46" s="226">
        <f t="shared" si="137"/>
        <v>7560</v>
      </c>
      <c r="CA46" s="227">
        <f>SUM($BU$46:BZ46)</f>
        <v>30240.000000000004</v>
      </c>
      <c r="CB46" s="225">
        <f t="shared" si="163"/>
        <v>6955.2000000000007</v>
      </c>
      <c r="CC46" s="220">
        <f t="shared" si="164"/>
        <v>7862.4000000000015</v>
      </c>
      <c r="CD46" s="220">
        <f t="shared" si="165"/>
        <v>6955.2000000000007</v>
      </c>
      <c r="CE46" s="220">
        <f t="shared" si="166"/>
        <v>302.40000000000003</v>
      </c>
      <c r="CF46" s="220">
        <f t="shared" si="167"/>
        <v>604.80000000000007</v>
      </c>
      <c r="CG46" s="221">
        <f t="shared" si="168"/>
        <v>7560</v>
      </c>
      <c r="CH46" s="230">
        <f>(SUM(I46:I46)+SUM(C46:C46))/SUM(BU46:BU46)</f>
        <v>0</v>
      </c>
      <c r="CI46" s="231">
        <f t="shared" ref="CI46" si="669">(SUM(J46:J46)+SUM(D46:D46))/SUM(BV46:BV46)</f>
        <v>0</v>
      </c>
      <c r="CJ46" s="231">
        <f t="shared" ref="CJ46" si="670">(SUM(K46:K46)+SUM(E46:E46))/SUM(BW46:BW46)</f>
        <v>0</v>
      </c>
      <c r="CK46" s="231">
        <f t="shared" ref="CK46" si="671">(SUM(L46:L46)+SUM(F46:F46))/SUM(BX46:BX46)</f>
        <v>0</v>
      </c>
      <c r="CL46" s="231">
        <f t="shared" ref="CL46" si="672">(SUM(M46:M46)+SUM(G46:G46))/SUM(BY46:BY46)</f>
        <v>0</v>
      </c>
      <c r="CM46" s="236">
        <f t="shared" ref="CM46" si="673">(SUM(N46:N46)+SUM(H46:H46))/SUM(BZ46:BZ46)</f>
        <v>0</v>
      </c>
    </row>
    <row r="47" spans="1:91" ht="14.25">
      <c r="A47" s="75">
        <v>44558</v>
      </c>
      <c r="B47" s="76">
        <v>2</v>
      </c>
      <c r="C47" s="79"/>
      <c r="D47" s="80"/>
      <c r="E47" s="80"/>
      <c r="F47" s="80"/>
      <c r="G47" s="80"/>
      <c r="H47" s="80"/>
      <c r="I47" s="98"/>
      <c r="J47" s="98"/>
      <c r="K47" s="98"/>
      <c r="L47" s="98"/>
      <c r="M47" s="98"/>
      <c r="N47" s="99"/>
      <c r="O47" s="114"/>
      <c r="P47" s="109">
        <f t="shared" si="20"/>
        <v>151200</v>
      </c>
      <c r="Q47" s="123">
        <v>0.23</v>
      </c>
      <c r="R47" s="124">
        <v>0.26</v>
      </c>
      <c r="S47" s="124">
        <v>0.23</v>
      </c>
      <c r="T47" s="124">
        <v>0.01</v>
      </c>
      <c r="U47" s="124">
        <v>0.02</v>
      </c>
      <c r="V47" s="125">
        <v>0.25</v>
      </c>
      <c r="W47" s="138">
        <v>0.73</v>
      </c>
      <c r="X47" s="139">
        <v>0.54</v>
      </c>
      <c r="Y47" s="139">
        <v>0.43</v>
      </c>
      <c r="Z47" s="139">
        <v>0.78</v>
      </c>
      <c r="AA47" s="139">
        <v>0.28000000000000003</v>
      </c>
      <c r="AB47" s="139">
        <v>0.5</v>
      </c>
      <c r="AC47" s="152">
        <v>0.2</v>
      </c>
      <c r="AD47" s="146">
        <f t="shared" si="93"/>
        <v>5077.2960000000003</v>
      </c>
      <c r="AE47" s="147">
        <f t="shared" si="94"/>
        <v>4245.6960000000008</v>
      </c>
      <c r="AF47" s="147">
        <f t="shared" si="95"/>
        <v>2990.7360000000003</v>
      </c>
      <c r="AG47" s="147">
        <f t="shared" si="96"/>
        <v>235.87200000000004</v>
      </c>
      <c r="AH47" s="147">
        <f t="shared" si="97"/>
        <v>169.34400000000002</v>
      </c>
      <c r="AI47" s="158">
        <f t="shared" si="98"/>
        <v>3780</v>
      </c>
      <c r="AJ47" s="163">
        <f>SUM(AD46:AD47)-SUM(C46:C46)</f>
        <v>10154.592000000001</v>
      </c>
      <c r="AK47" s="164">
        <f t="shared" ref="AK47" si="674">SUM(AE46:AE47)-SUM(D46:D46)</f>
        <v>8491.3920000000016</v>
      </c>
      <c r="AL47" s="164">
        <f t="shared" ref="AL47" si="675">SUM(AF46:AF47)-SUM(E46:E46)</f>
        <v>5981.4720000000007</v>
      </c>
      <c r="AM47" s="164">
        <f t="shared" ref="AM47" si="676">SUM(AG46:AG47)-SUM(F46:F46)</f>
        <v>471.74400000000009</v>
      </c>
      <c r="AN47" s="164">
        <f t="shared" ref="AN47" si="677">SUM(AH46:AH47)-SUM(G46:G46)</f>
        <v>338.68800000000005</v>
      </c>
      <c r="AO47" s="181">
        <f t="shared" ref="AO47" si="678">SUM(AI46:AI47)-SUM(H46:H46)</f>
        <v>7560</v>
      </c>
      <c r="AP47" s="182">
        <f>SUM(C46:C47)/SUM(AD46:AD47)</f>
        <v>0</v>
      </c>
      <c r="AQ47" s="183">
        <f t="shared" ref="AQ47" si="679">SUM(D46:D47)/SUM(AE46:AE47)</f>
        <v>0</v>
      </c>
      <c r="AR47" s="183">
        <f t="shared" ref="AR47" si="680">SUM(E46:E47)/SUM(AF46:AF47)</f>
        <v>0</v>
      </c>
      <c r="AS47" s="183">
        <f t="shared" ref="AS47" si="681">SUM(F46:F47)/SUM(AG46:AG47)</f>
        <v>0</v>
      </c>
      <c r="AT47" s="183">
        <f t="shared" ref="AT47" si="682">SUM(G46:G47)/SUM(AH46:AH47)</f>
        <v>0</v>
      </c>
      <c r="AU47" s="184">
        <f t="shared" ref="AU47" si="683">SUM(H46:H47)/SUM(AI46:AI47)</f>
        <v>0</v>
      </c>
      <c r="AV47" s="172">
        <f t="shared" si="109"/>
        <v>0.27</v>
      </c>
      <c r="AW47" s="172">
        <f t="shared" si="110"/>
        <v>0.45999999999999996</v>
      </c>
      <c r="AX47" s="172">
        <f t="shared" si="111"/>
        <v>0.57000000000000006</v>
      </c>
      <c r="AY47" s="172">
        <f t="shared" si="112"/>
        <v>0.21999999999999997</v>
      </c>
      <c r="AZ47" s="172">
        <f t="shared" si="113"/>
        <v>0.72</v>
      </c>
      <c r="BA47" s="172">
        <f t="shared" si="114"/>
        <v>0.5</v>
      </c>
      <c r="BB47" s="191">
        <f t="shared" si="115"/>
        <v>0.8</v>
      </c>
      <c r="BC47" s="192">
        <f t="shared" si="116"/>
        <v>1877.9040000000002</v>
      </c>
      <c r="BD47" s="192">
        <f t="shared" si="117"/>
        <v>3616.7040000000002</v>
      </c>
      <c r="BE47" s="192">
        <f t="shared" si="118"/>
        <v>3964.4640000000009</v>
      </c>
      <c r="BF47" s="192">
        <f t="shared" si="119"/>
        <v>66.528000000000006</v>
      </c>
      <c r="BG47" s="192">
        <f t="shared" si="120"/>
        <v>435.45600000000002</v>
      </c>
      <c r="BH47" s="158">
        <f t="shared" si="121"/>
        <v>3780</v>
      </c>
      <c r="BI47" s="198">
        <f>SUM(BC46:BC47)-SUM(I46:I46)</f>
        <v>3755.8080000000004</v>
      </c>
      <c r="BJ47" s="199">
        <f t="shared" ref="BJ47" si="684">SUM(BD46:BD47)-SUM(J46:J46)</f>
        <v>7233.4080000000004</v>
      </c>
      <c r="BK47" s="199">
        <f t="shared" ref="BK47" si="685">SUM(BE46:BE47)-SUM(K46:K46)</f>
        <v>7928.9280000000017</v>
      </c>
      <c r="BL47" s="199">
        <f t="shared" ref="BL47" si="686">SUM(BF46:BF47)-SUM(L46:L46)</f>
        <v>133.05600000000001</v>
      </c>
      <c r="BM47" s="199">
        <f t="shared" ref="BM47" si="687">SUM(BG46:BG47)-SUM(M46:M46)</f>
        <v>870.91200000000003</v>
      </c>
      <c r="BN47" s="209">
        <f t="shared" ref="BN47" si="688">SUM(BH46:BH47)-SUM(N46:N46)</f>
        <v>7560</v>
      </c>
      <c r="BO47" s="210">
        <f>SUM(I46:I47)/SUM(BC46:BC47)</f>
        <v>0</v>
      </c>
      <c r="BP47" s="211">
        <f t="shared" ref="BP47" si="689">SUM(J46:J47)/SUM(BD46:BD47)</f>
        <v>0</v>
      </c>
      <c r="BQ47" s="211">
        <f t="shared" ref="BQ47" si="690">SUM(K46:K47)/SUM(BE46:BE47)</f>
        <v>0</v>
      </c>
      <c r="BR47" s="211">
        <f t="shared" ref="BR47" si="691">SUM(L46:L47)/SUM(BF46:BF47)</f>
        <v>0</v>
      </c>
      <c r="BS47" s="211">
        <f t="shared" ref="BS47" si="692">SUM(M46:M47)/SUM(BG46:BG47)</f>
        <v>0</v>
      </c>
      <c r="BT47" s="212">
        <f t="shared" ref="BT47" si="693">SUM(N46:N47)/SUM(BH46:BH47)</f>
        <v>0</v>
      </c>
      <c r="BU47" s="220">
        <f t="shared" si="132"/>
        <v>6955.2000000000007</v>
      </c>
      <c r="BV47" s="220">
        <f t="shared" si="133"/>
        <v>7862.4000000000015</v>
      </c>
      <c r="BW47" s="220">
        <f t="shared" si="134"/>
        <v>6955.2000000000007</v>
      </c>
      <c r="BX47" s="220">
        <f t="shared" si="135"/>
        <v>302.40000000000003</v>
      </c>
      <c r="BY47" s="224">
        <f t="shared" si="136"/>
        <v>604.80000000000007</v>
      </c>
      <c r="BZ47" s="221">
        <f t="shared" si="137"/>
        <v>7560</v>
      </c>
      <c r="CA47" s="222">
        <f>SUM($BU$46:BZ47)</f>
        <v>60480.000000000007</v>
      </c>
      <c r="CB47" s="224">
        <f t="shared" si="163"/>
        <v>13910.400000000001</v>
      </c>
      <c r="CC47" s="220">
        <f t="shared" si="164"/>
        <v>15724.800000000003</v>
      </c>
      <c r="CD47" s="220">
        <f t="shared" si="165"/>
        <v>13910.400000000001</v>
      </c>
      <c r="CE47" s="220">
        <f t="shared" si="166"/>
        <v>604.80000000000007</v>
      </c>
      <c r="CF47" s="220">
        <f t="shared" si="167"/>
        <v>1209.6000000000001</v>
      </c>
      <c r="CG47" s="221">
        <f t="shared" si="168"/>
        <v>15120</v>
      </c>
      <c r="CH47" s="232">
        <f>(SUM(I46:I47)+SUM(C46:C47))/SUM(BU46:BU47)</f>
        <v>0</v>
      </c>
      <c r="CI47" s="233">
        <f t="shared" ref="CI47" si="694">(SUM(J46:J47)+SUM(D46:D47))/SUM(BV46:BV47)</f>
        <v>0</v>
      </c>
      <c r="CJ47" s="233">
        <f t="shared" ref="CJ47" si="695">(SUM(K46:K47)+SUM(E46:E47))/SUM(BW46:BW47)</f>
        <v>0</v>
      </c>
      <c r="CK47" s="233">
        <f t="shared" ref="CK47" si="696">(SUM(L46:L47)+SUM(F46:F47))/SUM(BX46:BX47)</f>
        <v>0</v>
      </c>
      <c r="CL47" s="233">
        <f t="shared" ref="CL47" si="697">(SUM(M46:M47)+SUM(G46:G47))/SUM(BY46:BY47)</f>
        <v>0</v>
      </c>
      <c r="CM47" s="237">
        <f t="shared" ref="CM47" si="698">(SUM(N46:N47)+SUM(H46:H47))/SUM(BZ46:BZ47)</f>
        <v>0</v>
      </c>
    </row>
    <row r="48" spans="1:91" ht="14.25">
      <c r="A48" s="75">
        <v>44559</v>
      </c>
      <c r="B48" s="76">
        <v>3</v>
      </c>
      <c r="C48" s="79"/>
      <c r="D48" s="80"/>
      <c r="E48" s="80"/>
      <c r="F48" s="80"/>
      <c r="G48" s="80"/>
      <c r="H48" s="80"/>
      <c r="I48" s="98"/>
      <c r="J48" s="98"/>
      <c r="K48" s="98"/>
      <c r="L48" s="98"/>
      <c r="M48" s="98"/>
      <c r="N48" s="99"/>
      <c r="O48" s="114"/>
      <c r="P48" s="109">
        <f t="shared" si="20"/>
        <v>151200</v>
      </c>
      <c r="Q48" s="123">
        <v>0.23</v>
      </c>
      <c r="R48" s="124">
        <v>0.26</v>
      </c>
      <c r="S48" s="124">
        <v>0.23</v>
      </c>
      <c r="T48" s="124">
        <v>0.01</v>
      </c>
      <c r="U48" s="124">
        <v>0.02</v>
      </c>
      <c r="V48" s="125">
        <v>0.25</v>
      </c>
      <c r="W48" s="138">
        <v>0.73</v>
      </c>
      <c r="X48" s="139">
        <v>0.54</v>
      </c>
      <c r="Y48" s="139">
        <v>0.43</v>
      </c>
      <c r="Z48" s="139">
        <v>0.78</v>
      </c>
      <c r="AA48" s="139">
        <v>0.28000000000000003</v>
      </c>
      <c r="AB48" s="139">
        <v>0.5</v>
      </c>
      <c r="AC48" s="152">
        <v>0.2</v>
      </c>
      <c r="AD48" s="146">
        <f t="shared" si="93"/>
        <v>5077.2960000000003</v>
      </c>
      <c r="AE48" s="147">
        <f t="shared" si="94"/>
        <v>4245.6960000000008</v>
      </c>
      <c r="AF48" s="147">
        <f t="shared" si="95"/>
        <v>2990.7360000000003</v>
      </c>
      <c r="AG48" s="147">
        <f t="shared" si="96"/>
        <v>235.87200000000004</v>
      </c>
      <c r="AH48" s="147">
        <f t="shared" si="97"/>
        <v>169.34400000000002</v>
      </c>
      <c r="AI48" s="158">
        <f t="shared" si="98"/>
        <v>3780</v>
      </c>
      <c r="AJ48" s="163">
        <f>SUM(AD46:AD48)-SUM(C46:C47)</f>
        <v>15231.888000000001</v>
      </c>
      <c r="AK48" s="164">
        <f t="shared" ref="AK48" si="699">SUM(AE46:AE48)-SUM(D46:D47)</f>
        <v>12737.088000000003</v>
      </c>
      <c r="AL48" s="164">
        <f t="shared" ref="AL48" si="700">SUM(AF46:AF48)-SUM(E46:E47)</f>
        <v>8972.2080000000005</v>
      </c>
      <c r="AM48" s="164">
        <f t="shared" ref="AM48" si="701">SUM(AG46:AG48)-SUM(F46:F47)</f>
        <v>707.6160000000001</v>
      </c>
      <c r="AN48" s="164">
        <f t="shared" ref="AN48" si="702">SUM(AH46:AH48)-SUM(G46:G47)</f>
        <v>508.03200000000004</v>
      </c>
      <c r="AO48" s="181">
        <f t="shared" ref="AO48" si="703">SUM(AI46:AI48)-SUM(H46:H47)</f>
        <v>11340</v>
      </c>
      <c r="AP48" s="182">
        <f>SUM(C46:C48)/SUM(AD46:AD48)</f>
        <v>0</v>
      </c>
      <c r="AQ48" s="183">
        <f t="shared" ref="AQ48" si="704">SUM(D46:D48)/SUM(AE46:AE48)</f>
        <v>0</v>
      </c>
      <c r="AR48" s="183">
        <f t="shared" ref="AR48" si="705">SUM(E46:E48)/SUM(AF46:AF48)</f>
        <v>0</v>
      </c>
      <c r="AS48" s="183">
        <f t="shared" ref="AS48" si="706">SUM(F46:F48)/SUM(AG46:AG48)</f>
        <v>0</v>
      </c>
      <c r="AT48" s="183">
        <f t="shared" ref="AT48" si="707">SUM(G46:G48)/SUM(AH46:AH48)</f>
        <v>0</v>
      </c>
      <c r="AU48" s="184">
        <f t="shared" ref="AU48" si="708">SUM(H46:H48)/SUM(AI46:AI48)</f>
        <v>0</v>
      </c>
      <c r="AV48" s="172">
        <f t="shared" si="109"/>
        <v>0.27</v>
      </c>
      <c r="AW48" s="172">
        <f t="shared" si="110"/>
        <v>0.45999999999999996</v>
      </c>
      <c r="AX48" s="172">
        <f t="shared" si="111"/>
        <v>0.57000000000000006</v>
      </c>
      <c r="AY48" s="172">
        <f t="shared" si="112"/>
        <v>0.21999999999999997</v>
      </c>
      <c r="AZ48" s="172">
        <f t="shared" si="113"/>
        <v>0.72</v>
      </c>
      <c r="BA48" s="172">
        <f t="shared" si="114"/>
        <v>0.5</v>
      </c>
      <c r="BB48" s="191">
        <f t="shared" si="115"/>
        <v>0.8</v>
      </c>
      <c r="BC48" s="192">
        <f t="shared" si="116"/>
        <v>1877.9040000000002</v>
      </c>
      <c r="BD48" s="192">
        <f t="shared" si="117"/>
        <v>3616.7040000000002</v>
      </c>
      <c r="BE48" s="192">
        <f t="shared" si="118"/>
        <v>3964.4640000000009</v>
      </c>
      <c r="BF48" s="192">
        <f t="shared" si="119"/>
        <v>66.528000000000006</v>
      </c>
      <c r="BG48" s="192">
        <f t="shared" si="120"/>
        <v>435.45600000000002</v>
      </c>
      <c r="BH48" s="158">
        <f t="shared" si="121"/>
        <v>3780</v>
      </c>
      <c r="BI48" s="198">
        <f>SUM(BC46:BC48)-SUM(I46:I47)</f>
        <v>5633.7120000000004</v>
      </c>
      <c r="BJ48" s="199">
        <f t="shared" ref="BJ48" si="709">SUM(BD46:BD48)-SUM(J46:J47)</f>
        <v>10850.112000000001</v>
      </c>
      <c r="BK48" s="199">
        <f t="shared" ref="BK48" si="710">SUM(BE46:BE48)-SUM(K46:K47)</f>
        <v>11893.392000000003</v>
      </c>
      <c r="BL48" s="199">
        <f t="shared" ref="BL48" si="711">SUM(BF46:BF48)-SUM(L46:L47)</f>
        <v>199.584</v>
      </c>
      <c r="BM48" s="199">
        <f t="shared" ref="BM48" si="712">SUM(BG46:BG48)-SUM(M46:M47)</f>
        <v>1306.3679999999999</v>
      </c>
      <c r="BN48" s="209">
        <f t="shared" ref="BN48" si="713">SUM(BH46:BH48)-SUM(N46:N47)</f>
        <v>11340</v>
      </c>
      <c r="BO48" s="210">
        <f>SUM(I46:I48)/SUM(BC46:BC48)</f>
        <v>0</v>
      </c>
      <c r="BP48" s="211">
        <f t="shared" ref="BP48" si="714">SUM(J46:J48)/SUM(BD46:BD48)</f>
        <v>0</v>
      </c>
      <c r="BQ48" s="211">
        <f t="shared" ref="BQ48" si="715">SUM(K46:K48)/SUM(BE46:BE48)</f>
        <v>0</v>
      </c>
      <c r="BR48" s="211">
        <f t="shared" ref="BR48" si="716">SUM(L46:L48)/SUM(BF46:BF48)</f>
        <v>0</v>
      </c>
      <c r="BS48" s="211">
        <f t="shared" ref="BS48" si="717">SUM(M46:M48)/SUM(BG46:BG48)</f>
        <v>0</v>
      </c>
      <c r="BT48" s="212">
        <f t="shared" ref="BT48" si="718">SUM(N46:N48)/SUM(BH46:BH48)</f>
        <v>0</v>
      </c>
      <c r="BU48" s="220">
        <f t="shared" si="132"/>
        <v>6955.2000000000007</v>
      </c>
      <c r="BV48" s="220">
        <f t="shared" si="133"/>
        <v>7862.4000000000015</v>
      </c>
      <c r="BW48" s="220">
        <f t="shared" si="134"/>
        <v>6955.2000000000007</v>
      </c>
      <c r="BX48" s="220">
        <f t="shared" si="135"/>
        <v>302.40000000000003</v>
      </c>
      <c r="BY48" s="224">
        <f t="shared" si="136"/>
        <v>604.80000000000007</v>
      </c>
      <c r="BZ48" s="221">
        <f t="shared" si="137"/>
        <v>7560</v>
      </c>
      <c r="CA48" s="222">
        <f>SUM($BU$46:BZ48)</f>
        <v>90720</v>
      </c>
      <c r="CB48" s="224">
        <f t="shared" si="163"/>
        <v>20865.600000000002</v>
      </c>
      <c r="CC48" s="220">
        <f t="shared" si="164"/>
        <v>23587.200000000004</v>
      </c>
      <c r="CD48" s="220">
        <f t="shared" si="165"/>
        <v>20865.600000000006</v>
      </c>
      <c r="CE48" s="220">
        <f t="shared" si="166"/>
        <v>907.2</v>
      </c>
      <c r="CF48" s="220">
        <f t="shared" si="167"/>
        <v>1814.4</v>
      </c>
      <c r="CG48" s="221">
        <f t="shared" si="168"/>
        <v>22680</v>
      </c>
      <c r="CH48" s="232">
        <f>(SUM(I46:I48)+SUM(C46:C48))/SUM(BU46:BU48)</f>
        <v>0</v>
      </c>
      <c r="CI48" s="233">
        <f t="shared" ref="CI48" si="719">(SUM(J46:J48)+SUM(D46:D48))/SUM(BV46:BV48)</f>
        <v>0</v>
      </c>
      <c r="CJ48" s="233">
        <f t="shared" ref="CJ48" si="720">(SUM(K46:K48)+SUM(E46:E48))/SUM(BW46:BW48)</f>
        <v>0</v>
      </c>
      <c r="CK48" s="233">
        <f t="shared" ref="CK48" si="721">(SUM(L46:L48)+SUM(F46:F48))/SUM(BX46:BX48)</f>
        <v>0</v>
      </c>
      <c r="CL48" s="233">
        <f t="shared" ref="CL48" si="722">(SUM(M46:M48)+SUM(G46:G48))/SUM(BY46:BY48)</f>
        <v>0</v>
      </c>
      <c r="CM48" s="237">
        <f t="shared" ref="CM48" si="723">(SUM(N46:N48)+SUM(H46:H48))/SUM(BZ46:BZ48)</f>
        <v>0</v>
      </c>
    </row>
    <row r="49" spans="1:91" ht="14.25">
      <c r="A49" s="75">
        <v>44560</v>
      </c>
      <c r="B49" s="76">
        <v>4</v>
      </c>
      <c r="C49" s="79"/>
      <c r="D49" s="80"/>
      <c r="E49" s="80"/>
      <c r="F49" s="80"/>
      <c r="G49" s="80"/>
      <c r="H49" s="80"/>
      <c r="I49" s="98"/>
      <c r="J49" s="98"/>
      <c r="K49" s="98"/>
      <c r="L49" s="98"/>
      <c r="M49" s="98"/>
      <c r="N49" s="99"/>
      <c r="O49" s="114"/>
      <c r="P49" s="109">
        <f t="shared" si="20"/>
        <v>151200</v>
      </c>
      <c r="Q49" s="123">
        <v>0.23</v>
      </c>
      <c r="R49" s="124">
        <v>0.26</v>
      </c>
      <c r="S49" s="124">
        <v>0.23</v>
      </c>
      <c r="T49" s="124">
        <v>0.01</v>
      </c>
      <c r="U49" s="124">
        <v>0.02</v>
      </c>
      <c r="V49" s="125">
        <v>0.25</v>
      </c>
      <c r="W49" s="138">
        <v>0.73</v>
      </c>
      <c r="X49" s="139">
        <v>0.54</v>
      </c>
      <c r="Y49" s="139">
        <v>0.43</v>
      </c>
      <c r="Z49" s="139">
        <v>0.78</v>
      </c>
      <c r="AA49" s="139">
        <v>0.28000000000000003</v>
      </c>
      <c r="AB49" s="139">
        <v>0.5</v>
      </c>
      <c r="AC49" s="152">
        <v>0.133333333333333</v>
      </c>
      <c r="AD49" s="146">
        <f t="shared" si="93"/>
        <v>3384.8639999999914</v>
      </c>
      <c r="AE49" s="147">
        <f t="shared" si="94"/>
        <v>2830.4639999999931</v>
      </c>
      <c r="AF49" s="147">
        <f t="shared" si="95"/>
        <v>1993.8239999999951</v>
      </c>
      <c r="AG49" s="147">
        <f t="shared" si="96"/>
        <v>157.24799999999959</v>
      </c>
      <c r="AH49" s="147">
        <f t="shared" si="97"/>
        <v>112.89599999999972</v>
      </c>
      <c r="AI49" s="158">
        <f t="shared" si="98"/>
        <v>2519.9999999999936</v>
      </c>
      <c r="AJ49" s="163">
        <f>SUM(AD46:AD49)-SUM(C46:C48)</f>
        <v>18616.751999999993</v>
      </c>
      <c r="AK49" s="164">
        <f t="shared" ref="AK49" si="724">SUM(AE46:AE49)-SUM(D46:D48)</f>
        <v>15567.551999999996</v>
      </c>
      <c r="AL49" s="164">
        <f t="shared" ref="AL49" si="725">SUM(AF46:AF49)-SUM(E46:E48)</f>
        <v>10966.031999999996</v>
      </c>
      <c r="AM49" s="164">
        <f t="shared" ref="AM49" si="726">SUM(AG46:AG49)-SUM(F46:F48)</f>
        <v>864.86399999999969</v>
      </c>
      <c r="AN49" s="164">
        <f t="shared" ref="AN49" si="727">SUM(AH46:AH49)-SUM(G46:G48)</f>
        <v>620.92799999999977</v>
      </c>
      <c r="AO49" s="181">
        <f t="shared" ref="AO49" si="728">SUM(AI46:AI49)-SUM(H46:H48)</f>
        <v>13859.999999999993</v>
      </c>
      <c r="AP49" s="182">
        <f>SUM(C46:C49)/SUM(AD46:AD49)</f>
        <v>0</v>
      </c>
      <c r="AQ49" s="183">
        <f t="shared" ref="AQ49" si="729">SUM(D46:D49)/SUM(AE46:AE49)</f>
        <v>0</v>
      </c>
      <c r="AR49" s="183">
        <f t="shared" ref="AR49" si="730">SUM(E46:E49)/SUM(AF46:AF49)</f>
        <v>0</v>
      </c>
      <c r="AS49" s="183">
        <f t="shared" ref="AS49" si="731">SUM(F46:F49)/SUM(AG46:AG49)</f>
        <v>0</v>
      </c>
      <c r="AT49" s="183">
        <f t="shared" ref="AT49" si="732">SUM(G46:G49)/SUM(AH46:AH49)</f>
        <v>0</v>
      </c>
      <c r="AU49" s="184">
        <f t="shared" ref="AU49" si="733">SUM(H46:H49)/SUM(AI46:AI49)</f>
        <v>0</v>
      </c>
      <c r="AV49" s="172">
        <f t="shared" si="109"/>
        <v>0.27</v>
      </c>
      <c r="AW49" s="172">
        <f t="shared" si="110"/>
        <v>0.45999999999999996</v>
      </c>
      <c r="AX49" s="172">
        <f t="shared" si="111"/>
        <v>0.57000000000000006</v>
      </c>
      <c r="AY49" s="172">
        <f t="shared" si="112"/>
        <v>0.21999999999999997</v>
      </c>
      <c r="AZ49" s="172">
        <f t="shared" si="113"/>
        <v>0.72</v>
      </c>
      <c r="BA49" s="172">
        <f t="shared" si="114"/>
        <v>0.5</v>
      </c>
      <c r="BB49" s="191">
        <f t="shared" si="115"/>
        <v>0.86666666666666703</v>
      </c>
      <c r="BC49" s="192">
        <f t="shared" si="116"/>
        <v>1251.935999999997</v>
      </c>
      <c r="BD49" s="192">
        <f t="shared" si="117"/>
        <v>2411.1359999999936</v>
      </c>
      <c r="BE49" s="192">
        <f t="shared" si="118"/>
        <v>2642.9759999999937</v>
      </c>
      <c r="BF49" s="192">
        <f t="shared" si="119"/>
        <v>44.351999999999883</v>
      </c>
      <c r="BG49" s="192">
        <f t="shared" si="120"/>
        <v>290.30399999999923</v>
      </c>
      <c r="BH49" s="158">
        <f t="shared" si="121"/>
        <v>2519.9999999999936</v>
      </c>
      <c r="BI49" s="198">
        <f>SUM(BC46:BC49)-SUM(I46:I48)</f>
        <v>6885.6479999999974</v>
      </c>
      <c r="BJ49" s="199">
        <f t="shared" ref="BJ49" si="734">SUM(BD46:BD49)-SUM(J46:J48)</f>
        <v>13261.247999999994</v>
      </c>
      <c r="BK49" s="199">
        <f t="shared" ref="BK49" si="735">SUM(BE46:BE49)-SUM(K46:K48)</f>
        <v>14536.367999999997</v>
      </c>
      <c r="BL49" s="199">
        <f t="shared" ref="BL49" si="736">SUM(BF46:BF49)-SUM(L46:L48)</f>
        <v>243.93599999999989</v>
      </c>
      <c r="BM49" s="199">
        <f t="shared" ref="BM49" si="737">SUM(BG46:BG49)-SUM(M46:M48)</f>
        <v>1596.6719999999991</v>
      </c>
      <c r="BN49" s="209">
        <f t="shared" ref="BN49" si="738">SUM(BH46:BH49)-SUM(N46:N48)</f>
        <v>13859.999999999993</v>
      </c>
      <c r="BO49" s="210">
        <f>SUM(I46:I49)/SUM(BC46:BC49)</f>
        <v>0</v>
      </c>
      <c r="BP49" s="211">
        <f t="shared" ref="BP49" si="739">SUM(J46:J49)/SUM(BD46:BD49)</f>
        <v>0</v>
      </c>
      <c r="BQ49" s="211">
        <f t="shared" ref="BQ49" si="740">SUM(K46:K49)/SUM(BE46:BE49)</f>
        <v>0</v>
      </c>
      <c r="BR49" s="211">
        <f t="shared" ref="BR49" si="741">SUM(L46:L49)/SUM(BF46:BF49)</f>
        <v>0</v>
      </c>
      <c r="BS49" s="211">
        <f t="shared" ref="BS49" si="742">SUM(M46:M49)/SUM(BG46:BG49)</f>
        <v>0</v>
      </c>
      <c r="BT49" s="212">
        <f t="shared" ref="BT49" si="743">SUM(N46:N49)/SUM(BH46:BH49)</f>
        <v>0</v>
      </c>
      <c r="BU49" s="220">
        <f t="shared" si="132"/>
        <v>4636.7999999999884</v>
      </c>
      <c r="BV49" s="220">
        <f t="shared" si="133"/>
        <v>5241.5999999999867</v>
      </c>
      <c r="BW49" s="220">
        <f t="shared" si="134"/>
        <v>4636.7999999999884</v>
      </c>
      <c r="BX49" s="220">
        <f t="shared" si="135"/>
        <v>201.59999999999948</v>
      </c>
      <c r="BY49" s="224">
        <f t="shared" si="136"/>
        <v>403.19999999999897</v>
      </c>
      <c r="BZ49" s="221">
        <f t="shared" si="137"/>
        <v>5039.9999999999873</v>
      </c>
      <c r="CA49" s="222">
        <f>SUM($BU$46:BZ49)</f>
        <v>110879.99999999996</v>
      </c>
      <c r="CB49" s="224">
        <f t="shared" si="163"/>
        <v>25502.399999999991</v>
      </c>
      <c r="CC49" s="220">
        <f t="shared" si="164"/>
        <v>28828.799999999988</v>
      </c>
      <c r="CD49" s="220">
        <f t="shared" si="165"/>
        <v>25502.399999999994</v>
      </c>
      <c r="CE49" s="220">
        <f t="shared" si="166"/>
        <v>1108.7999999999995</v>
      </c>
      <c r="CF49" s="220">
        <f t="shared" si="167"/>
        <v>2217.599999999999</v>
      </c>
      <c r="CG49" s="221">
        <f t="shared" si="168"/>
        <v>27719.999999999985</v>
      </c>
      <c r="CH49" s="232">
        <f>(SUM(I46:I49)+SUM(C46:C49))/SUM(BU46:BU49)</f>
        <v>0</v>
      </c>
      <c r="CI49" s="233">
        <f t="shared" ref="CI49" si="744">(SUM(J46:J49)+SUM(D46:D49))/SUM(BV46:BV49)</f>
        <v>0</v>
      </c>
      <c r="CJ49" s="233">
        <f t="shared" ref="CJ49" si="745">(SUM(K46:K49)+SUM(E46:E49))/SUM(BW46:BW49)</f>
        <v>0</v>
      </c>
      <c r="CK49" s="233">
        <f t="shared" ref="CK49" si="746">(SUM(L46:L49)+SUM(F46:F49))/SUM(BX46:BX49)</f>
        <v>0</v>
      </c>
      <c r="CL49" s="233">
        <f t="shared" ref="CL49" si="747">(SUM(M46:M49)+SUM(G46:G49))/SUM(BY46:BY49)</f>
        <v>0</v>
      </c>
      <c r="CM49" s="237">
        <f t="shared" ref="CM49" si="748">(SUM(N46:N49)+SUM(H46:H49))/SUM(BZ46:BZ49)</f>
        <v>0</v>
      </c>
    </row>
    <row r="50" spans="1:91" ht="14.25">
      <c r="A50" s="75">
        <v>44561</v>
      </c>
      <c r="B50" s="76">
        <v>5</v>
      </c>
      <c r="C50" s="79"/>
      <c r="D50" s="80"/>
      <c r="E50" s="80"/>
      <c r="F50" s="80"/>
      <c r="G50" s="80"/>
      <c r="H50" s="80"/>
      <c r="I50" s="98"/>
      <c r="J50" s="98"/>
      <c r="K50" s="98"/>
      <c r="L50" s="98"/>
      <c r="M50" s="98"/>
      <c r="N50" s="99"/>
      <c r="O50" s="114"/>
      <c r="P50" s="109">
        <f t="shared" si="20"/>
        <v>151200</v>
      </c>
      <c r="Q50" s="123">
        <v>0.23</v>
      </c>
      <c r="R50" s="124">
        <v>0.26</v>
      </c>
      <c r="S50" s="124">
        <v>0.23</v>
      </c>
      <c r="T50" s="124">
        <v>0.01</v>
      </c>
      <c r="U50" s="124">
        <v>0.02</v>
      </c>
      <c r="V50" s="125">
        <v>0.25</v>
      </c>
      <c r="W50" s="138">
        <v>0.73</v>
      </c>
      <c r="X50" s="139">
        <v>0.54</v>
      </c>
      <c r="Y50" s="139">
        <v>0.43</v>
      </c>
      <c r="Z50" s="139">
        <v>0.78</v>
      </c>
      <c r="AA50" s="139">
        <v>0.28000000000000003</v>
      </c>
      <c r="AB50" s="139">
        <v>0.5</v>
      </c>
      <c r="AC50" s="152">
        <v>0.133333333333333</v>
      </c>
      <c r="AD50" s="146">
        <f t="shared" si="93"/>
        <v>3384.8639999999914</v>
      </c>
      <c r="AE50" s="147">
        <f t="shared" si="94"/>
        <v>2830.4639999999931</v>
      </c>
      <c r="AF50" s="147">
        <f t="shared" si="95"/>
        <v>1993.8239999999951</v>
      </c>
      <c r="AG50" s="147">
        <f t="shared" si="96"/>
        <v>157.24799999999959</v>
      </c>
      <c r="AH50" s="147">
        <f t="shared" si="97"/>
        <v>112.89599999999972</v>
      </c>
      <c r="AI50" s="158">
        <f t="shared" si="98"/>
        <v>2519.9999999999936</v>
      </c>
      <c r="AJ50" s="163">
        <f>SUM(AD46:AD50)-SUM(C46:C49)</f>
        <v>22001.615999999984</v>
      </c>
      <c r="AK50" s="164">
        <f t="shared" ref="AK50" si="749">SUM(AE46:AE50)-SUM(D46:D49)</f>
        <v>18398.015999999989</v>
      </c>
      <c r="AL50" s="164">
        <f t="shared" ref="AL50" si="750">SUM(AF46:AF50)-SUM(E46:E49)</f>
        <v>12959.855999999991</v>
      </c>
      <c r="AM50" s="164">
        <f t="shared" ref="AM50" si="751">SUM(AG46:AG50)-SUM(F46:F49)</f>
        <v>1022.1119999999993</v>
      </c>
      <c r="AN50" s="164">
        <f t="shared" ref="AN50" si="752">SUM(AH46:AH50)-SUM(G46:G49)</f>
        <v>733.8239999999995</v>
      </c>
      <c r="AO50" s="181">
        <f t="shared" ref="AO50" si="753">SUM(AI46:AI50)-SUM(H46:H49)</f>
        <v>16379.999999999985</v>
      </c>
      <c r="AP50" s="182">
        <f>SUM(C46:C50)/SUM(AD46:AD50)</f>
        <v>0</v>
      </c>
      <c r="AQ50" s="183">
        <f t="shared" ref="AQ50" si="754">SUM(D46:D50)/SUM(AE46:AE50)</f>
        <v>0</v>
      </c>
      <c r="AR50" s="183">
        <f t="shared" ref="AR50" si="755">SUM(E46:E50)/SUM(AF46:AF50)</f>
        <v>0</v>
      </c>
      <c r="AS50" s="183">
        <f t="shared" ref="AS50" si="756">SUM(F46:F50)/SUM(AG46:AG50)</f>
        <v>0</v>
      </c>
      <c r="AT50" s="183">
        <f t="shared" ref="AT50" si="757">SUM(G46:G50)/SUM(AH46:AH50)</f>
        <v>0</v>
      </c>
      <c r="AU50" s="184">
        <f t="shared" ref="AU50" si="758">SUM(H46:H50)/SUM(AI46:AI50)</f>
        <v>0</v>
      </c>
      <c r="AV50" s="172">
        <f t="shared" si="109"/>
        <v>0.27</v>
      </c>
      <c r="AW50" s="172">
        <f t="shared" si="110"/>
        <v>0.45999999999999996</v>
      </c>
      <c r="AX50" s="172">
        <f t="shared" si="111"/>
        <v>0.57000000000000006</v>
      </c>
      <c r="AY50" s="172">
        <f t="shared" si="112"/>
        <v>0.21999999999999997</v>
      </c>
      <c r="AZ50" s="172">
        <f t="shared" si="113"/>
        <v>0.72</v>
      </c>
      <c r="BA50" s="172">
        <f t="shared" si="114"/>
        <v>0.5</v>
      </c>
      <c r="BB50" s="191">
        <f t="shared" si="115"/>
        <v>0.86666666666666703</v>
      </c>
      <c r="BC50" s="192">
        <f t="shared" si="116"/>
        <v>1251.935999999997</v>
      </c>
      <c r="BD50" s="192">
        <f t="shared" si="117"/>
        <v>2411.1359999999936</v>
      </c>
      <c r="BE50" s="192">
        <f t="shared" si="118"/>
        <v>2642.9759999999937</v>
      </c>
      <c r="BF50" s="192">
        <f t="shared" si="119"/>
        <v>44.351999999999883</v>
      </c>
      <c r="BG50" s="192">
        <f t="shared" si="120"/>
        <v>290.30399999999923</v>
      </c>
      <c r="BH50" s="158">
        <f t="shared" si="121"/>
        <v>2519.9999999999936</v>
      </c>
      <c r="BI50" s="198">
        <f>SUM(BC46:BC50)-SUM(I46:I49)</f>
        <v>8137.5839999999944</v>
      </c>
      <c r="BJ50" s="199">
        <f t="shared" ref="BJ50" si="759">SUM(BD46:BD50)-SUM(J46:J49)</f>
        <v>15672.383999999987</v>
      </c>
      <c r="BK50" s="199">
        <f t="shared" ref="BK50" si="760">SUM(BE46:BE50)-SUM(K46:K49)</f>
        <v>17179.34399999999</v>
      </c>
      <c r="BL50" s="199">
        <f t="shared" ref="BL50" si="761">SUM(BF46:BF50)-SUM(L46:L49)</f>
        <v>288.28799999999978</v>
      </c>
      <c r="BM50" s="199">
        <f t="shared" ref="BM50" si="762">SUM(BG46:BG50)-SUM(M46:M49)</f>
        <v>1886.9759999999983</v>
      </c>
      <c r="BN50" s="209">
        <f t="shared" ref="BN50" si="763">SUM(BH46:BH50)-SUM(N46:N49)</f>
        <v>16379.999999999985</v>
      </c>
      <c r="BO50" s="210">
        <f>SUM(I46:I50)/SUM(BC46:BC50)</f>
        <v>0</v>
      </c>
      <c r="BP50" s="211">
        <f t="shared" ref="BP50" si="764">SUM(J46:J50)/SUM(BD46:BD50)</f>
        <v>0</v>
      </c>
      <c r="BQ50" s="211">
        <f t="shared" ref="BQ50" si="765">SUM(K46:K50)/SUM(BE46:BE50)</f>
        <v>0</v>
      </c>
      <c r="BR50" s="211">
        <f t="shared" ref="BR50" si="766">SUM(L46:L50)/SUM(BF46:BF50)</f>
        <v>0</v>
      </c>
      <c r="BS50" s="211">
        <f t="shared" ref="BS50" si="767">SUM(M46:M50)/SUM(BG46:BG50)</f>
        <v>0</v>
      </c>
      <c r="BT50" s="212">
        <f t="shared" ref="BT50" si="768">SUM(N46:N50)/SUM(BH46:BH50)</f>
        <v>0</v>
      </c>
      <c r="BU50" s="220">
        <f t="shared" si="132"/>
        <v>4636.7999999999884</v>
      </c>
      <c r="BV50" s="220">
        <f t="shared" si="133"/>
        <v>5241.5999999999867</v>
      </c>
      <c r="BW50" s="220">
        <f t="shared" si="134"/>
        <v>4636.7999999999884</v>
      </c>
      <c r="BX50" s="220">
        <f t="shared" si="135"/>
        <v>201.59999999999948</v>
      </c>
      <c r="BY50" s="224">
        <f t="shared" si="136"/>
        <v>403.19999999999897</v>
      </c>
      <c r="BZ50" s="221">
        <f t="shared" si="137"/>
        <v>5039.9999999999873</v>
      </c>
      <c r="CA50" s="222">
        <f>SUM($BU$46:BZ50)</f>
        <v>131039.99999999991</v>
      </c>
      <c r="CB50" s="224">
        <f t="shared" si="163"/>
        <v>30139.199999999979</v>
      </c>
      <c r="CC50" s="220">
        <f t="shared" si="164"/>
        <v>34070.39999999998</v>
      </c>
      <c r="CD50" s="220">
        <f t="shared" si="165"/>
        <v>30139.199999999983</v>
      </c>
      <c r="CE50" s="220">
        <f t="shared" si="166"/>
        <v>1310.3999999999992</v>
      </c>
      <c r="CF50" s="220">
        <f t="shared" si="167"/>
        <v>2620.7999999999979</v>
      </c>
      <c r="CG50" s="221">
        <f t="shared" si="168"/>
        <v>32759.999999999971</v>
      </c>
      <c r="CH50" s="232">
        <f>(SUM(I46:I50)+SUM(C46:C50))/SUM(BU46:BU50)</f>
        <v>0</v>
      </c>
      <c r="CI50" s="233">
        <f t="shared" ref="CI50" si="769">(SUM(J46:J50)+SUM(D46:D50))/SUM(BV46:BV50)</f>
        <v>0</v>
      </c>
      <c r="CJ50" s="233">
        <f t="shared" ref="CJ50" si="770">(SUM(K46:K50)+SUM(E46:E50))/SUM(BW46:BW50)</f>
        <v>0</v>
      </c>
      <c r="CK50" s="233">
        <f t="shared" ref="CK50" si="771">(SUM(L46:L50)+SUM(F46:F50))/SUM(BX46:BX50)</f>
        <v>0</v>
      </c>
      <c r="CL50" s="233">
        <f t="shared" ref="CL50" si="772">(SUM(M46:M50)+SUM(G46:G50))/SUM(BY46:BY50)</f>
        <v>0</v>
      </c>
      <c r="CM50" s="237">
        <f t="shared" ref="CM50" si="773">(SUM(N46:N50)+SUM(H46:H50))/SUM(BZ46:BZ50)</f>
        <v>0</v>
      </c>
    </row>
    <row r="51" spans="1:91" ht="14.25">
      <c r="A51" s="75">
        <v>44562</v>
      </c>
      <c r="B51" s="76">
        <v>6</v>
      </c>
      <c r="C51" s="79"/>
      <c r="D51" s="80"/>
      <c r="E51" s="80"/>
      <c r="F51" s="80"/>
      <c r="G51" s="80"/>
      <c r="H51" s="80"/>
      <c r="I51" s="98"/>
      <c r="J51" s="98"/>
      <c r="K51" s="98"/>
      <c r="L51" s="98"/>
      <c r="M51" s="98"/>
      <c r="N51" s="99"/>
      <c r="O51" s="114"/>
      <c r="P51" s="109">
        <f t="shared" si="20"/>
        <v>151200</v>
      </c>
      <c r="Q51" s="123">
        <v>0.23</v>
      </c>
      <c r="R51" s="124">
        <v>0.26</v>
      </c>
      <c r="S51" s="124">
        <v>0.23</v>
      </c>
      <c r="T51" s="124">
        <v>0.01</v>
      </c>
      <c r="U51" s="124">
        <v>0.02</v>
      </c>
      <c r="V51" s="125">
        <v>0.25</v>
      </c>
      <c r="W51" s="138">
        <v>0.73</v>
      </c>
      <c r="X51" s="139">
        <v>0.54</v>
      </c>
      <c r="Y51" s="139">
        <v>0.43</v>
      </c>
      <c r="Z51" s="139">
        <v>0.78</v>
      </c>
      <c r="AA51" s="139">
        <v>0.28000000000000003</v>
      </c>
      <c r="AB51" s="139">
        <v>0.5</v>
      </c>
      <c r="AC51" s="152">
        <v>6.6666666666666693E-2</v>
      </c>
      <c r="AD51" s="146">
        <f t="shared" si="93"/>
        <v>1692.4320000000007</v>
      </c>
      <c r="AE51" s="147">
        <f t="shared" si="94"/>
        <v>1415.2320000000007</v>
      </c>
      <c r="AF51" s="147">
        <f t="shared" si="95"/>
        <v>996.91200000000038</v>
      </c>
      <c r="AG51" s="147">
        <f t="shared" si="96"/>
        <v>78.624000000000038</v>
      </c>
      <c r="AH51" s="147">
        <f t="shared" si="97"/>
        <v>56.448000000000029</v>
      </c>
      <c r="AI51" s="158">
        <f t="shared" si="98"/>
        <v>1260.0000000000005</v>
      </c>
      <c r="AJ51" s="163">
        <f>SUM(AD46:AD51)-SUM(C46:C50)</f>
        <v>23694.047999999984</v>
      </c>
      <c r="AK51" s="164">
        <f t="shared" ref="AK51" si="774">SUM(AE46:AE51)-SUM(D46:D50)</f>
        <v>19813.247999999989</v>
      </c>
      <c r="AL51" s="164">
        <f t="shared" ref="AL51" si="775">SUM(AF46:AF51)-SUM(E46:E50)</f>
        <v>13956.767999999991</v>
      </c>
      <c r="AM51" s="164">
        <f t="shared" ref="AM51" si="776">SUM(AG46:AG51)-SUM(F46:F50)</f>
        <v>1100.7359999999994</v>
      </c>
      <c r="AN51" s="164">
        <f t="shared" ref="AN51" si="777">SUM(AH46:AH51)-SUM(G46:G50)</f>
        <v>790.27199999999948</v>
      </c>
      <c r="AO51" s="181">
        <f t="shared" ref="AO51" si="778">SUM(AI46:AI51)-SUM(H46:H50)</f>
        <v>17639.999999999985</v>
      </c>
      <c r="AP51" s="182">
        <f>SUM(C46:C51)/SUM(AD46:AD51)</f>
        <v>0</v>
      </c>
      <c r="AQ51" s="183">
        <f t="shared" ref="AQ51" si="779">SUM(D46:D51)/SUM(AE46:AE51)</f>
        <v>0</v>
      </c>
      <c r="AR51" s="183">
        <f t="shared" ref="AR51" si="780">SUM(E46:E51)/SUM(AF46:AF51)</f>
        <v>0</v>
      </c>
      <c r="AS51" s="183">
        <f t="shared" ref="AS51" si="781">SUM(F46:F51)/SUM(AG46:AG51)</f>
        <v>0</v>
      </c>
      <c r="AT51" s="183">
        <f t="shared" ref="AT51" si="782">SUM(G46:G51)/SUM(AH46:AH51)</f>
        <v>0</v>
      </c>
      <c r="AU51" s="184">
        <f t="shared" ref="AU51" si="783">SUM(H46:H51)/SUM(AI46:AI51)</f>
        <v>0</v>
      </c>
      <c r="AV51" s="172">
        <f t="shared" si="109"/>
        <v>0.27</v>
      </c>
      <c r="AW51" s="172">
        <f t="shared" si="110"/>
        <v>0.45999999999999996</v>
      </c>
      <c r="AX51" s="172">
        <f t="shared" si="111"/>
        <v>0.57000000000000006</v>
      </c>
      <c r="AY51" s="172">
        <f t="shared" si="112"/>
        <v>0.21999999999999997</v>
      </c>
      <c r="AZ51" s="172">
        <f t="shared" si="113"/>
        <v>0.72</v>
      </c>
      <c r="BA51" s="172">
        <f t="shared" si="114"/>
        <v>0.5</v>
      </c>
      <c r="BB51" s="191">
        <f t="shared" si="115"/>
        <v>0.93333333333333335</v>
      </c>
      <c r="BC51" s="192">
        <f t="shared" si="116"/>
        <v>625.9680000000003</v>
      </c>
      <c r="BD51" s="192">
        <f t="shared" si="117"/>
        <v>1205.5680000000004</v>
      </c>
      <c r="BE51" s="192">
        <f t="shared" si="118"/>
        <v>1321.4880000000007</v>
      </c>
      <c r="BF51" s="192">
        <f t="shared" si="119"/>
        <v>22.176000000000005</v>
      </c>
      <c r="BG51" s="192">
        <f t="shared" si="120"/>
        <v>145.15200000000004</v>
      </c>
      <c r="BH51" s="158">
        <f t="shared" si="121"/>
        <v>1260.0000000000005</v>
      </c>
      <c r="BI51" s="198">
        <f>SUM(BC46:BC51)-SUM(I46:I50)</f>
        <v>8763.5519999999942</v>
      </c>
      <c r="BJ51" s="199">
        <f t="shared" ref="BJ51" si="784">SUM(BD46:BD51)-SUM(J46:J50)</f>
        <v>16877.951999999987</v>
      </c>
      <c r="BK51" s="199">
        <f t="shared" ref="BK51" si="785">SUM(BE46:BE51)-SUM(K46:K50)</f>
        <v>18500.831999999991</v>
      </c>
      <c r="BL51" s="199">
        <f t="shared" ref="BL51" si="786">SUM(BF46:BF51)-SUM(L46:L50)</f>
        <v>310.46399999999977</v>
      </c>
      <c r="BM51" s="199">
        <f t="shared" ref="BM51" si="787">SUM(BG46:BG51)-SUM(M46:M50)</f>
        <v>2032.1279999999983</v>
      </c>
      <c r="BN51" s="209">
        <f t="shared" ref="BN51" si="788">SUM(BH46:BH51)-SUM(N46:N50)</f>
        <v>17639.999999999985</v>
      </c>
      <c r="BO51" s="210">
        <f>SUM(I46:I51)/SUM(BC46:BC51)</f>
        <v>0</v>
      </c>
      <c r="BP51" s="211">
        <f t="shared" ref="BP51" si="789">SUM(J46:J51)/SUM(BD46:BD51)</f>
        <v>0</v>
      </c>
      <c r="BQ51" s="211">
        <f t="shared" ref="BQ51" si="790">SUM(K46:K51)/SUM(BE46:BE51)</f>
        <v>0</v>
      </c>
      <c r="BR51" s="211">
        <f t="shared" ref="BR51" si="791">SUM(L46:L51)/SUM(BF46:BF51)</f>
        <v>0</v>
      </c>
      <c r="BS51" s="211">
        <f t="shared" ref="BS51" si="792">SUM(M46:M51)/SUM(BG46:BG51)</f>
        <v>0</v>
      </c>
      <c r="BT51" s="212">
        <f t="shared" ref="BT51" si="793">SUM(N46:N51)/SUM(BH46:BH51)</f>
        <v>0</v>
      </c>
      <c r="BU51" s="220">
        <f t="shared" si="132"/>
        <v>2318.400000000001</v>
      </c>
      <c r="BV51" s="220">
        <f t="shared" si="133"/>
        <v>2620.8000000000011</v>
      </c>
      <c r="BW51" s="220">
        <f t="shared" si="134"/>
        <v>2318.400000000001</v>
      </c>
      <c r="BX51" s="220">
        <f t="shared" si="135"/>
        <v>100.80000000000004</v>
      </c>
      <c r="BY51" s="224">
        <f t="shared" si="136"/>
        <v>201.60000000000008</v>
      </c>
      <c r="BZ51" s="221">
        <f t="shared" si="137"/>
        <v>2520.0000000000009</v>
      </c>
      <c r="CA51" s="222">
        <f>SUM($BU$46:BZ51)</f>
        <v>141119.99999999988</v>
      </c>
      <c r="CB51" s="224">
        <f t="shared" si="163"/>
        <v>32457.599999999977</v>
      </c>
      <c r="CC51" s="220">
        <f t="shared" si="164"/>
        <v>36691.199999999975</v>
      </c>
      <c r="CD51" s="220">
        <f t="shared" si="165"/>
        <v>32457.599999999984</v>
      </c>
      <c r="CE51" s="220">
        <f t="shared" si="166"/>
        <v>1411.1999999999991</v>
      </c>
      <c r="CF51" s="220">
        <f t="shared" si="167"/>
        <v>2822.3999999999978</v>
      </c>
      <c r="CG51" s="221">
        <f t="shared" si="168"/>
        <v>35279.999999999971</v>
      </c>
      <c r="CH51" s="232">
        <f>(SUM(I46:I51)+SUM(C46:C51))/SUM(BU46:BU51)</f>
        <v>0</v>
      </c>
      <c r="CI51" s="233">
        <f t="shared" ref="CI51" si="794">(SUM(J46:J51)+SUM(D46:D51))/SUM(BV46:BV51)</f>
        <v>0</v>
      </c>
      <c r="CJ51" s="233">
        <f t="shared" ref="CJ51" si="795">(SUM(K46:K51)+SUM(E46:E51))/SUM(BW46:BW51)</f>
        <v>0</v>
      </c>
      <c r="CK51" s="233">
        <f t="shared" ref="CK51" si="796">(SUM(L46:L51)+SUM(F46:F51))/SUM(BX46:BX51)</f>
        <v>0</v>
      </c>
      <c r="CL51" s="233">
        <f t="shared" ref="CL51" si="797">(SUM(M46:M51)+SUM(G46:G51))/SUM(BY46:BY51)</f>
        <v>0</v>
      </c>
      <c r="CM51" s="237">
        <f t="shared" ref="CM51" si="798">(SUM(N46:N51)+SUM(H46:H51))/SUM(BZ46:BZ51)</f>
        <v>0</v>
      </c>
    </row>
    <row r="52" spans="1:91" ht="14.25">
      <c r="A52" s="75">
        <v>44563</v>
      </c>
      <c r="B52" s="76">
        <v>7</v>
      </c>
      <c r="C52" s="83"/>
      <c r="D52" s="84"/>
      <c r="E52" s="84"/>
      <c r="F52" s="84"/>
      <c r="G52" s="84"/>
      <c r="H52" s="84"/>
      <c r="I52" s="101"/>
      <c r="J52" s="101"/>
      <c r="K52" s="101"/>
      <c r="L52" s="101"/>
      <c r="M52" s="101"/>
      <c r="N52" s="102"/>
      <c r="O52" s="115"/>
      <c r="P52" s="110">
        <f t="shared" si="20"/>
        <v>151200</v>
      </c>
      <c r="Q52" s="128">
        <v>0.23</v>
      </c>
      <c r="R52" s="129">
        <v>0.26</v>
      </c>
      <c r="S52" s="129">
        <v>0.23</v>
      </c>
      <c r="T52" s="129">
        <v>0.01</v>
      </c>
      <c r="U52" s="129">
        <v>0.02</v>
      </c>
      <c r="V52" s="130">
        <v>0.25</v>
      </c>
      <c r="W52" s="140">
        <v>0.73</v>
      </c>
      <c r="X52" s="141">
        <v>0.54</v>
      </c>
      <c r="Y52" s="141">
        <v>0.43</v>
      </c>
      <c r="Z52" s="141">
        <v>0.78</v>
      </c>
      <c r="AA52" s="141">
        <v>0.28000000000000003</v>
      </c>
      <c r="AB52" s="141">
        <v>0.5</v>
      </c>
      <c r="AC52" s="153">
        <v>6.6666666666666693E-2</v>
      </c>
      <c r="AD52" s="149">
        <f t="shared" si="93"/>
        <v>1692.4320000000007</v>
      </c>
      <c r="AE52" s="150">
        <f t="shared" si="94"/>
        <v>1415.2320000000007</v>
      </c>
      <c r="AF52" s="150">
        <f t="shared" si="95"/>
        <v>996.91200000000038</v>
      </c>
      <c r="AG52" s="150">
        <f t="shared" si="96"/>
        <v>78.624000000000038</v>
      </c>
      <c r="AH52" s="150">
        <f t="shared" si="97"/>
        <v>56.448000000000029</v>
      </c>
      <c r="AI52" s="159">
        <f t="shared" si="98"/>
        <v>1260.0000000000005</v>
      </c>
      <c r="AJ52" s="165">
        <f>SUM(AD46:AD52)-SUM(C46:C51)</f>
        <v>25386.479999999985</v>
      </c>
      <c r="AK52" s="166">
        <f t="shared" ref="AK52" si="799">SUM(AE46:AE52)-SUM(D46:D51)</f>
        <v>21228.479999999989</v>
      </c>
      <c r="AL52" s="166">
        <f t="shared" ref="AL52" si="800">SUM(AF46:AF52)-SUM(E46:E51)</f>
        <v>14953.679999999991</v>
      </c>
      <c r="AM52" s="166">
        <f t="shared" ref="AM52" si="801">SUM(AG46:AG52)-SUM(F46:F51)</f>
        <v>1179.3599999999994</v>
      </c>
      <c r="AN52" s="166">
        <f t="shared" ref="AN52" si="802">SUM(AH46:AH52)-SUM(G46:G51)</f>
        <v>846.71999999999946</v>
      </c>
      <c r="AO52" s="185">
        <f t="shared" ref="AO52" si="803">SUM(AI46:AI52)-SUM(H46:H51)</f>
        <v>18899.999999999985</v>
      </c>
      <c r="AP52" s="186">
        <f>SUM(C46:C52)/SUM(AD46:AD52)</f>
        <v>0</v>
      </c>
      <c r="AQ52" s="187">
        <f t="shared" ref="AQ52" si="804">SUM(D46:D52)/SUM(AE46:AE52)</f>
        <v>0</v>
      </c>
      <c r="AR52" s="187">
        <f t="shared" ref="AR52" si="805">SUM(E46:E52)/SUM(AF46:AF52)</f>
        <v>0</v>
      </c>
      <c r="AS52" s="187">
        <f t="shared" ref="AS52" si="806">SUM(F46:F52)/SUM(AG46:AG52)</f>
        <v>0</v>
      </c>
      <c r="AT52" s="187">
        <f t="shared" ref="AT52" si="807">SUM(G46:G52)/SUM(AH46:AH52)</f>
        <v>0</v>
      </c>
      <c r="AU52" s="188">
        <f t="shared" ref="AU52" si="808">SUM(H46:H52)/SUM(AI46:AI52)</f>
        <v>0</v>
      </c>
      <c r="AV52" s="176">
        <f t="shared" si="109"/>
        <v>0.27</v>
      </c>
      <c r="AW52" s="176">
        <f t="shared" si="110"/>
        <v>0.45999999999999996</v>
      </c>
      <c r="AX52" s="176">
        <f t="shared" si="111"/>
        <v>0.57000000000000006</v>
      </c>
      <c r="AY52" s="176">
        <f t="shared" si="112"/>
        <v>0.21999999999999997</v>
      </c>
      <c r="AZ52" s="176">
        <f t="shared" si="113"/>
        <v>0.72</v>
      </c>
      <c r="BA52" s="176">
        <f t="shared" si="114"/>
        <v>0.5</v>
      </c>
      <c r="BB52" s="193">
        <f t="shared" si="115"/>
        <v>0.93333333333333335</v>
      </c>
      <c r="BC52" s="150">
        <f t="shared" si="116"/>
        <v>625.9680000000003</v>
      </c>
      <c r="BD52" s="150">
        <f t="shared" si="117"/>
        <v>1205.5680000000004</v>
      </c>
      <c r="BE52" s="150">
        <f t="shared" si="118"/>
        <v>1321.4880000000007</v>
      </c>
      <c r="BF52" s="150">
        <f t="shared" si="119"/>
        <v>22.176000000000005</v>
      </c>
      <c r="BG52" s="150">
        <f t="shared" si="120"/>
        <v>145.15200000000004</v>
      </c>
      <c r="BH52" s="159">
        <f t="shared" si="121"/>
        <v>1260.0000000000005</v>
      </c>
      <c r="BI52" s="200">
        <f>SUM(BC46:BC52)-SUM(I46:I51)</f>
        <v>9389.519999999995</v>
      </c>
      <c r="BJ52" s="201">
        <f t="shared" ref="BJ52" si="809">SUM(BD46:BD52)-SUM(J46:J51)</f>
        <v>18083.519999999986</v>
      </c>
      <c r="BK52" s="201">
        <f t="shared" ref="BK52" si="810">SUM(BE46:BE52)-SUM(K46:K51)</f>
        <v>19822.319999999992</v>
      </c>
      <c r="BL52" s="201">
        <f t="shared" ref="BL52" si="811">SUM(BF46:BF52)-SUM(L46:L51)</f>
        <v>332.63999999999976</v>
      </c>
      <c r="BM52" s="201">
        <f t="shared" ref="BM52" si="812">SUM(BG46:BG52)-SUM(M46:M51)</f>
        <v>2177.2799999999984</v>
      </c>
      <c r="BN52" s="213">
        <f t="shared" ref="BN52" si="813">SUM(BH46:BH52)-SUM(N46:N51)</f>
        <v>18899.999999999985</v>
      </c>
      <c r="BO52" s="214">
        <f>SUM(I46:I52)/SUM(BC46:BC52)</f>
        <v>0</v>
      </c>
      <c r="BP52" s="215">
        <f t="shared" ref="BP52" si="814">SUM(J46:J52)/SUM(BD46:BD52)</f>
        <v>0</v>
      </c>
      <c r="BQ52" s="215">
        <f t="shared" ref="BQ52" si="815">SUM(K46:K52)/SUM(BE46:BE52)</f>
        <v>0</v>
      </c>
      <c r="BR52" s="215">
        <f t="shared" ref="BR52" si="816">SUM(L46:L52)/SUM(BF46:BF52)</f>
        <v>0</v>
      </c>
      <c r="BS52" s="215">
        <f t="shared" ref="BS52" si="817">SUM(M46:M52)/SUM(BG46:BG52)</f>
        <v>0</v>
      </c>
      <c r="BT52" s="216">
        <f t="shared" ref="BT52" si="818">SUM(N46:N52)/SUM(BH46:BH52)</f>
        <v>0</v>
      </c>
      <c r="BU52" s="223">
        <f t="shared" si="132"/>
        <v>2318.400000000001</v>
      </c>
      <c r="BV52" s="223">
        <f t="shared" si="133"/>
        <v>2620.8000000000011</v>
      </c>
      <c r="BW52" s="223">
        <f t="shared" si="134"/>
        <v>2318.400000000001</v>
      </c>
      <c r="BX52" s="223">
        <f t="shared" si="135"/>
        <v>100.80000000000004</v>
      </c>
      <c r="BY52" s="223">
        <f t="shared" si="136"/>
        <v>201.60000000000008</v>
      </c>
      <c r="BZ52" s="228">
        <f t="shared" si="137"/>
        <v>2520.0000000000009</v>
      </c>
      <c r="CA52" s="222">
        <f>SUM($BU$46:BZ52)</f>
        <v>151199.99999999985</v>
      </c>
      <c r="CB52" s="223">
        <f t="shared" si="163"/>
        <v>34775.999999999978</v>
      </c>
      <c r="CC52" s="223">
        <f t="shared" si="164"/>
        <v>39311.999999999971</v>
      </c>
      <c r="CD52" s="223">
        <f t="shared" si="165"/>
        <v>34775.999999999985</v>
      </c>
      <c r="CE52" s="223">
        <f t="shared" si="166"/>
        <v>1511.9999999999991</v>
      </c>
      <c r="CF52" s="223">
        <f t="shared" si="167"/>
        <v>3023.9999999999977</v>
      </c>
      <c r="CG52" s="228">
        <f t="shared" si="168"/>
        <v>37799.999999999971</v>
      </c>
      <c r="CH52" s="234">
        <f>(SUM(I46:I52)+SUM(C46:C52))/SUM(BU46:BU52)</f>
        <v>0</v>
      </c>
      <c r="CI52" s="235">
        <f t="shared" ref="CI52" si="819">(SUM(J46:J52)+SUM(D46:D52))/SUM(BV46:BV52)</f>
        <v>0</v>
      </c>
      <c r="CJ52" s="235">
        <f t="shared" ref="CJ52" si="820">(SUM(K46:K52)+SUM(E46:E52))/SUM(BW46:BW52)</f>
        <v>0</v>
      </c>
      <c r="CK52" s="235">
        <f t="shared" ref="CK52" si="821">(SUM(L46:L52)+SUM(F46:F52))/SUM(BX46:BX52)</f>
        <v>0</v>
      </c>
      <c r="CL52" s="235">
        <f t="shared" ref="CL52" si="822">(SUM(M46:M52)+SUM(G46:G52))/SUM(BY46:BY52)</f>
        <v>0</v>
      </c>
      <c r="CM52" s="238">
        <f t="shared" ref="CM52" si="823">(SUM(N46:N52)+SUM(H46:H52))/SUM(BZ46:BZ52)</f>
        <v>0</v>
      </c>
    </row>
  </sheetData>
  <phoneticPr fontId="16" type="noConversion"/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13"/>
  <sheetViews>
    <sheetView zoomScale="70" zoomScaleNormal="70" workbookViewId="0">
      <selection activeCell="AE41" sqref="AE41"/>
    </sheetView>
  </sheetViews>
  <sheetFormatPr defaultColWidth="9" defaultRowHeight="14.25" outlineLevelCol="2"/>
  <cols>
    <col min="1" max="1" width="3.375" customWidth="1"/>
    <col min="2" max="2" width="12.75" customWidth="1"/>
    <col min="3" max="3" width="12.875" hidden="1" customWidth="1" outlineLevel="2"/>
    <col min="4" max="14" width="9.875" hidden="1" customWidth="1" outlineLevel="2"/>
    <col min="15" max="15" width="9.875" customWidth="1" outlineLevel="1" collapsed="1"/>
    <col min="16" max="26" width="9.875" customWidth="1" outlineLevel="1"/>
  </cols>
  <sheetData>
    <row r="1" spans="1:38">
      <c r="B1" t="s">
        <v>176</v>
      </c>
      <c r="C1" s="40">
        <v>44522</v>
      </c>
    </row>
    <row r="3" spans="1:38">
      <c r="C3" t="s">
        <v>13</v>
      </c>
      <c r="G3" t="s">
        <v>16</v>
      </c>
      <c r="K3" t="s">
        <v>18</v>
      </c>
      <c r="O3" t="s">
        <v>177</v>
      </c>
      <c r="AA3" s="56" t="s">
        <v>60</v>
      </c>
      <c r="AG3" s="56" t="s">
        <v>178</v>
      </c>
    </row>
    <row r="4" spans="1:38">
      <c r="C4" t="s">
        <v>39</v>
      </c>
      <c r="D4" t="s">
        <v>40</v>
      </c>
      <c r="E4" t="s">
        <v>39</v>
      </c>
      <c r="F4" t="s">
        <v>40</v>
      </c>
      <c r="G4" t="s">
        <v>39</v>
      </c>
      <c r="H4" t="s">
        <v>40</v>
      </c>
      <c r="I4" t="s">
        <v>39</v>
      </c>
      <c r="J4" t="s">
        <v>40</v>
      </c>
      <c r="K4" t="s">
        <v>39</v>
      </c>
      <c r="L4" t="s">
        <v>40</v>
      </c>
      <c r="M4" t="s">
        <v>39</v>
      </c>
      <c r="N4" t="s">
        <v>40</v>
      </c>
      <c r="O4" t="s">
        <v>179</v>
      </c>
      <c r="P4" t="s">
        <v>180</v>
      </c>
      <c r="Q4" t="s">
        <v>179</v>
      </c>
      <c r="R4" t="s">
        <v>180</v>
      </c>
      <c r="S4" t="s">
        <v>179</v>
      </c>
      <c r="T4" t="s">
        <v>180</v>
      </c>
      <c r="U4" t="s">
        <v>179</v>
      </c>
      <c r="V4" t="s">
        <v>180</v>
      </c>
      <c r="W4" t="s">
        <v>179</v>
      </c>
      <c r="X4" t="s">
        <v>180</v>
      </c>
      <c r="Y4" t="s">
        <v>179</v>
      </c>
      <c r="Z4" t="s">
        <v>180</v>
      </c>
    </row>
    <row r="5" spans="1:38">
      <c r="C5" t="s">
        <v>53</v>
      </c>
      <c r="D5" t="s">
        <v>53</v>
      </c>
      <c r="E5" t="s">
        <v>54</v>
      </c>
      <c r="F5" t="s">
        <v>54</v>
      </c>
      <c r="G5" t="s">
        <v>55</v>
      </c>
      <c r="H5" t="s">
        <v>55</v>
      </c>
      <c r="I5" t="s">
        <v>56</v>
      </c>
      <c r="J5" t="s">
        <v>56</v>
      </c>
      <c r="K5" t="s">
        <v>57</v>
      </c>
      <c r="L5" t="s">
        <v>57</v>
      </c>
      <c r="M5" t="s">
        <v>58</v>
      </c>
      <c r="N5" t="s">
        <v>58</v>
      </c>
      <c r="O5" t="s">
        <v>53</v>
      </c>
      <c r="P5" t="s">
        <v>53</v>
      </c>
      <c r="Q5" t="s">
        <v>54</v>
      </c>
      <c r="R5" t="s">
        <v>54</v>
      </c>
      <c r="S5" t="s">
        <v>55</v>
      </c>
      <c r="T5" t="s">
        <v>55</v>
      </c>
      <c r="U5" t="s">
        <v>56</v>
      </c>
      <c r="V5" t="s">
        <v>56</v>
      </c>
      <c r="W5" t="s">
        <v>57</v>
      </c>
      <c r="X5" t="s">
        <v>57</v>
      </c>
      <c r="Y5" t="s">
        <v>58</v>
      </c>
      <c r="Z5" t="s">
        <v>58</v>
      </c>
      <c r="AA5" t="s">
        <v>53</v>
      </c>
      <c r="AB5" t="s">
        <v>54</v>
      </c>
      <c r="AC5" t="s">
        <v>55</v>
      </c>
      <c r="AD5" t="s">
        <v>56</v>
      </c>
      <c r="AE5" t="s">
        <v>57</v>
      </c>
      <c r="AF5" t="s">
        <v>58</v>
      </c>
      <c r="AG5" t="s">
        <v>53</v>
      </c>
      <c r="AH5" t="s">
        <v>54</v>
      </c>
      <c r="AI5" t="s">
        <v>55</v>
      </c>
      <c r="AJ5" t="s">
        <v>56</v>
      </c>
      <c r="AK5" t="s">
        <v>57</v>
      </c>
      <c r="AL5" t="s">
        <v>58</v>
      </c>
    </row>
    <row r="6" spans="1:38">
      <c r="A6">
        <v>1</v>
      </c>
      <c r="B6" s="2">
        <f>C1</f>
        <v>44522</v>
      </c>
      <c r="C6" s="41">
        <f>VLOOKUP($B6,信息汇总!$A$4:$AH$108,23,0)</f>
        <v>4617.2789240572147</v>
      </c>
      <c r="D6" s="42">
        <f>VLOOKUP($B6,信息汇总!$A$4:$AH$108,29,0)</f>
        <v>4590</v>
      </c>
      <c r="E6" s="41">
        <f>VLOOKUP($B6,信息汇总!$A$4:$AH$108,24,0)</f>
        <v>4889.1770666666662</v>
      </c>
      <c r="F6" s="42">
        <f>VLOOKUP($B6,信息汇总!$A$4:$AH$108,30,0)</f>
        <v>4840</v>
      </c>
      <c r="G6" s="41">
        <f>VLOOKUP($B6,信息汇总!$A$4:$AH$108,25,0)</f>
        <v>4609.6894965631072</v>
      </c>
      <c r="H6" s="42">
        <f>VLOOKUP($B6,信息汇总!$A$4:$AH$108,31,0)</f>
        <v>4600</v>
      </c>
      <c r="I6" s="41">
        <f>VLOOKUP($B6,信息汇总!$A$4:$AH$108,26,0)</f>
        <v>4872.624823485693</v>
      </c>
      <c r="J6" s="42">
        <f>VLOOKUP($B6,信息汇总!$A$4:$AH$108,32,0)</f>
        <v>4850</v>
      </c>
      <c r="K6" s="41">
        <f>VLOOKUP($B6,信息汇总!$A$4:$AH$108,27,0)</f>
        <v>4736.4771887588877</v>
      </c>
      <c r="L6" s="42">
        <f>VLOOKUP($B6,信息汇总!$A$4:$AH$108,33,0)</f>
        <v>4620</v>
      </c>
      <c r="M6" s="49">
        <f>VLOOKUP($B6,信息汇总!$A$4:$AH$108,28,0)</f>
        <v>4880.2975524560188</v>
      </c>
      <c r="N6" s="42">
        <f>VLOOKUP($B6,信息汇总!$A$4:$AH$108,34,0)</f>
        <v>4870</v>
      </c>
      <c r="O6" s="49">
        <f>VLOOKUP($B6,每日销量追踪!$A$4:$CM$52,30,0)</f>
        <v>4231.0800000000081</v>
      </c>
      <c r="P6" s="50">
        <f>VLOOKUP($B6,每日销量追踪!$A$4:$CM$52,3,0)</f>
        <v>2653.0349999999999</v>
      </c>
      <c r="Q6" s="50">
        <f>VLOOKUP($B6,每日销量追踪!$A$4:$CM$52,55,0)</f>
        <v>1564.920000000003</v>
      </c>
      <c r="R6" s="50">
        <f>VLOOKUP($B6,每日销量追踪!$A$4:$CM$52,9,0)</f>
        <v>1980.16</v>
      </c>
      <c r="S6" s="50">
        <f>VLOOKUP($B6,每日销量追踪!$A$4:$CM$52,31,0)</f>
        <v>3538.0800000000072</v>
      </c>
      <c r="T6" s="50">
        <f>VLOOKUP($B6,每日销量追踪!$A$4:$CM$52,4,0)</f>
        <v>2156.085</v>
      </c>
      <c r="U6" s="50">
        <f>VLOOKUP($B6,每日销量追踪!$A$4:$CM$52,56,0)</f>
        <v>3013.9200000000055</v>
      </c>
      <c r="V6" s="50">
        <f>VLOOKUP($B6,每日销量追踪!$A$4:$CM$52,10,0)</f>
        <v>1083.68</v>
      </c>
      <c r="W6" s="50">
        <f>VLOOKUP($B6,每日销量追踪!$A$4:$CM$52,32,0)</f>
        <v>2492.2800000000047</v>
      </c>
      <c r="X6" s="50">
        <f>VLOOKUP($B6,每日销量追踪!$A$4:$CM$52,3,0)</f>
        <v>2653.0349999999999</v>
      </c>
      <c r="Y6" s="50">
        <f>VLOOKUP($B6,每日销量追踪!$A$4:$CM$52,57,0)</f>
        <v>3303.7200000000066</v>
      </c>
      <c r="Z6" s="57">
        <f>VLOOKUP($B6,每日销量追踪!$A$4:$CM$52,11,0)</f>
        <v>378.56</v>
      </c>
      <c r="AA6" s="41">
        <f>VLOOKUP($B6,信息汇总!$A$4:$AH$108,17,0)</f>
        <v>4670</v>
      </c>
      <c r="AB6" s="58">
        <f>VLOOKUP($B6,信息汇总!$A$4:$AH$108,18,0)</f>
        <v>5020</v>
      </c>
      <c r="AC6" s="58">
        <f>VLOOKUP($B6,信息汇总!$A$4:$AH$108,19,0)</f>
        <v>4570</v>
      </c>
      <c r="AD6" s="58">
        <f>VLOOKUP($B6,信息汇总!$A$4:$AH$108,20,0)</f>
        <v>4830</v>
      </c>
      <c r="AE6" s="58">
        <f>VLOOKUP($B6,信息汇总!$A$4:$AH$108,21,0)</f>
        <v>4890</v>
      </c>
      <c r="AF6" s="42">
        <f>VLOOKUP($B6,信息汇总!$A$4:$AH$108,22,0)</f>
        <v>5140</v>
      </c>
      <c r="AG6" s="63">
        <f>D6-AA6</f>
        <v>-80</v>
      </c>
      <c r="AH6" s="58">
        <f>F6-AB6</f>
        <v>-180</v>
      </c>
      <c r="AI6" s="58">
        <f>H6-AC6</f>
        <v>30</v>
      </c>
      <c r="AJ6" s="58">
        <f>J6-AD6</f>
        <v>20</v>
      </c>
      <c r="AK6" s="58">
        <f>L6-AE6</f>
        <v>-270</v>
      </c>
      <c r="AL6" s="42">
        <f>N6-AF6</f>
        <v>-270</v>
      </c>
    </row>
    <row r="7" spans="1:38">
      <c r="A7">
        <v>2</v>
      </c>
      <c r="B7" s="2">
        <f>B6+1</f>
        <v>44523</v>
      </c>
      <c r="C7" s="43">
        <f>VLOOKUP($B7,信息汇总!$A$4:$AH$108,23,0)</f>
        <v>4586.3517470716697</v>
      </c>
      <c r="D7" s="44">
        <f>VLOOKUP($B7,信息汇总!$A$4:$AH$108,29,0)</f>
        <v>4560</v>
      </c>
      <c r="E7" s="43">
        <f>VLOOKUP($B7,信息汇总!$A$4:$AH$108,24,0)</f>
        <v>4895.536533333333</v>
      </c>
      <c r="F7" s="44">
        <f>VLOOKUP($B7,信息汇总!$A$4:$AH$108,30,0)</f>
        <v>4840</v>
      </c>
      <c r="G7" s="43">
        <f>VLOOKUP($B7,信息汇总!$A$4:$AH$108,25,0)</f>
        <v>4586.0197039072036</v>
      </c>
      <c r="H7" s="44">
        <f>VLOOKUP($B7,信息汇总!$A$4:$AH$108,31,0)</f>
        <v>4570</v>
      </c>
      <c r="I7" s="43">
        <f>VLOOKUP($B7,信息汇总!$A$4:$AH$108,26,0)</f>
        <v>4830.8779158040024</v>
      </c>
      <c r="J7" s="44">
        <f>VLOOKUP($B7,信息汇总!$A$4:$AH$108,32,0)</f>
        <v>4850</v>
      </c>
      <c r="K7" s="43">
        <f>VLOOKUP($B7,信息汇总!$A$4:$AH$108,27,0)</f>
        <v>4676.512048405476</v>
      </c>
      <c r="L7" s="44">
        <f>VLOOKUP($B7,信息汇总!$A$4:$AH$108,33,0)</f>
        <v>4590</v>
      </c>
      <c r="M7" s="51">
        <f>VLOOKUP($B7,信息汇总!$A$4:$AH$108,28,0)</f>
        <v>4821.4792990931437</v>
      </c>
      <c r="N7" s="44">
        <f>VLOOKUP($B7,信息汇总!$A$4:$AH$108,34,0)</f>
        <v>4870</v>
      </c>
      <c r="O7" s="51">
        <f>VLOOKUP($B7,每日销量追踪!$A$4:$CM$52,30,0)</f>
        <v>4231.0800000000081</v>
      </c>
      <c r="P7" s="52">
        <f>VLOOKUP($B7,每日销量追踪!$A$4:$CM$52,3,0)</f>
        <v>5682.0829999999996</v>
      </c>
      <c r="Q7" s="52">
        <f>VLOOKUP($B7,每日销量追踪!$A$4:$CM$52,55,0)</f>
        <v>1564.920000000003</v>
      </c>
      <c r="R7" s="52">
        <f>VLOOKUP($B7,每日销量追踪!$A$4:$CM$52,9,0)</f>
        <v>2798.76</v>
      </c>
      <c r="S7" s="52">
        <f>VLOOKUP($B7,每日销量追踪!$A$4:$CM$52,31,0)</f>
        <v>3538.0800000000072</v>
      </c>
      <c r="T7" s="52">
        <f>VLOOKUP($B7,每日销量追踪!$A$4:$CM$52,4,0)</f>
        <v>7158.8180000000002</v>
      </c>
      <c r="U7" s="52">
        <f>VLOOKUP($B7,每日销量追踪!$A$4:$CM$52,56,0)</f>
        <v>3013.9200000000055</v>
      </c>
      <c r="V7" s="52">
        <f>VLOOKUP($B7,每日销量追踪!$A$4:$CM$52,10,0)</f>
        <v>5890.04</v>
      </c>
      <c r="W7" s="52">
        <f>VLOOKUP($B7,每日销量追踪!$A$4:$CM$52,32,0)</f>
        <v>2492.2800000000047</v>
      </c>
      <c r="X7" s="52">
        <f>VLOOKUP($B7,每日销量追踪!$A$4:$CM$52,3,0)</f>
        <v>5682.0829999999996</v>
      </c>
      <c r="Y7" s="52">
        <f>VLOOKUP($B7,每日销量追踪!$A$4:$CM$52,57,0)</f>
        <v>3303.7200000000066</v>
      </c>
      <c r="Z7" s="59">
        <f>VLOOKUP($B7,每日销量追踪!$A$4:$CM$52,11,0)</f>
        <v>5413.52</v>
      </c>
      <c r="AA7" s="43">
        <f>VLOOKUP($B7,信息汇总!$A$4:$AH$108,17,0)</f>
        <v>4670</v>
      </c>
      <c r="AB7" s="60">
        <f>VLOOKUP($B7,信息汇总!$A$4:$AH$108,18,0)</f>
        <v>5020</v>
      </c>
      <c r="AC7" s="60">
        <f>VLOOKUP($B7,信息汇总!$A$4:$AH$108,19,0)</f>
        <v>4560</v>
      </c>
      <c r="AD7" s="60">
        <f>VLOOKUP($B7,信息汇总!$A$4:$AH$108,20,0)</f>
        <v>4830</v>
      </c>
      <c r="AE7" s="60">
        <f>VLOOKUP($B7,信息汇总!$A$4:$AH$108,21,0)</f>
        <v>4890</v>
      </c>
      <c r="AF7" s="44">
        <f>VLOOKUP($B7,信息汇总!$A$4:$AH$108,22,0)</f>
        <v>5140</v>
      </c>
      <c r="AG7" s="64">
        <f t="shared" ref="AG7:AG12" si="0">D7-AA7</f>
        <v>-110</v>
      </c>
      <c r="AH7" s="60">
        <f t="shared" ref="AH7:AH12" si="1">F7-AB7</f>
        <v>-180</v>
      </c>
      <c r="AI7" s="60">
        <f t="shared" ref="AI7:AI12" si="2">H7-AC7</f>
        <v>10</v>
      </c>
      <c r="AJ7" s="60">
        <f t="shared" ref="AJ7:AJ12" si="3">J7-AD7</f>
        <v>20</v>
      </c>
      <c r="AK7" s="60">
        <f t="shared" ref="AK7:AK12" si="4">L7-AE7</f>
        <v>-300</v>
      </c>
      <c r="AL7" s="44">
        <f t="shared" ref="AL7:AL12" si="5">N7-AF7</f>
        <v>-270</v>
      </c>
    </row>
    <row r="8" spans="1:38">
      <c r="A8">
        <v>3</v>
      </c>
      <c r="B8" s="2">
        <f t="shared" ref="B8:B12" si="6">B7+1</f>
        <v>44524</v>
      </c>
      <c r="C8" s="43">
        <f>VLOOKUP($B8,信息汇总!$A$4:$AH$108,23,0)</f>
        <v>4574.2493524112042</v>
      </c>
      <c r="D8" s="44">
        <f>VLOOKUP($B8,信息汇总!$A$4:$AH$108,29,0)</f>
        <v>4560</v>
      </c>
      <c r="E8" s="43">
        <f>VLOOKUP($B8,信息汇总!$A$4:$AH$108,24,0)</f>
        <v>4895.9511999999995</v>
      </c>
      <c r="F8" s="44">
        <f>VLOOKUP($B8,信息汇总!$A$4:$AH$108,30,0)</f>
        <v>4840</v>
      </c>
      <c r="G8" s="43">
        <f>VLOOKUP($B8,信息汇总!$A$4:$AH$108,25,0)</f>
        <v>4613.4189116696061</v>
      </c>
      <c r="H8" s="44">
        <f>VLOOKUP($B8,信息汇总!$A$4:$AH$108,31,0)</f>
        <v>4570</v>
      </c>
      <c r="I8" s="43">
        <f>VLOOKUP($B8,信息汇总!$A$4:$AH$108,26,0)</f>
        <v>4874.2459282263626</v>
      </c>
      <c r="J8" s="44">
        <f>VLOOKUP($B8,信息汇总!$A$4:$AH$108,32,0)</f>
        <v>4850</v>
      </c>
      <c r="K8" s="43">
        <f>VLOOKUP($B8,信息汇总!$A$4:$AH$108,27,0)</f>
        <v>4693.9047069350154</v>
      </c>
      <c r="L8" s="44">
        <f>VLOOKUP($B8,信息汇总!$A$4:$AH$108,33,0)</f>
        <v>4590</v>
      </c>
      <c r="M8" s="51">
        <f>VLOOKUP($B8,信息汇总!$A$4:$AH$108,28,0)</f>
        <v>4849.0799855919995</v>
      </c>
      <c r="N8" s="44">
        <f>VLOOKUP($B8,信息汇总!$A$4:$AH$108,34,0)</f>
        <v>4870</v>
      </c>
      <c r="O8" s="51">
        <f>VLOOKUP($B8,每日销量追踪!$A$4:$CM$52,30,0)</f>
        <v>4231.0800000000081</v>
      </c>
      <c r="P8" s="52">
        <f>VLOOKUP($B8,每日销量追踪!$A$4:$CM$52,3,0)</f>
        <v>4195.424</v>
      </c>
      <c r="Q8" s="52">
        <f>VLOOKUP($B8,每日销量追踪!$A$4:$CM$52,55,0)</f>
        <v>1564.920000000003</v>
      </c>
      <c r="R8" s="52">
        <f>VLOOKUP($B8,每日销量追踪!$A$4:$CM$52,9,0)</f>
        <v>2383</v>
      </c>
      <c r="S8" s="52">
        <f>VLOOKUP($B8,每日销量追踪!$A$4:$CM$52,31,0)</f>
        <v>3538.0800000000072</v>
      </c>
      <c r="T8" s="52">
        <f>VLOOKUP($B8,每日销量追踪!$A$4:$CM$52,4,0)</f>
        <v>4532.8649999999998</v>
      </c>
      <c r="U8" s="52">
        <f>VLOOKUP($B8,每日销量追踪!$A$4:$CM$52,56,0)</f>
        <v>3013.9200000000055</v>
      </c>
      <c r="V8" s="52">
        <f>VLOOKUP($B8,每日销量追踪!$A$4:$CM$52,10,0)</f>
        <v>6744.68</v>
      </c>
      <c r="W8" s="52">
        <f>VLOOKUP($B8,每日销量追踪!$A$4:$CM$52,32,0)</f>
        <v>2492.2800000000047</v>
      </c>
      <c r="X8" s="52">
        <f>VLOOKUP($B8,每日销量追踪!$A$4:$CM$52,3,0)</f>
        <v>4195.424</v>
      </c>
      <c r="Y8" s="52">
        <f>VLOOKUP($B8,每日销量追踪!$A$4:$CM$52,57,0)</f>
        <v>3303.7200000000066</v>
      </c>
      <c r="Z8" s="59">
        <f>VLOOKUP($B8,每日销量追踪!$A$4:$CM$52,11,0)</f>
        <v>5960.12</v>
      </c>
      <c r="AA8" s="43">
        <f>VLOOKUP($B8,信息汇总!$A$4:$AH$108,17,0)</f>
        <v>4670</v>
      </c>
      <c r="AB8" s="60">
        <f>VLOOKUP($B8,信息汇总!$A$4:$AH$108,18,0)</f>
        <v>5020</v>
      </c>
      <c r="AC8" s="60">
        <f>VLOOKUP($B8,信息汇总!$A$4:$AH$108,19,0)</f>
        <v>4590</v>
      </c>
      <c r="AD8" s="60">
        <f>VLOOKUP($B8,信息汇总!$A$4:$AH$108,20,0)</f>
        <v>4850</v>
      </c>
      <c r="AE8" s="60">
        <f>VLOOKUP($B8,信息汇总!$A$4:$AH$108,21,0)</f>
        <v>4890</v>
      </c>
      <c r="AF8" s="44">
        <f>VLOOKUP($B8,信息汇总!$A$4:$AH$108,22,0)</f>
        <v>5140</v>
      </c>
      <c r="AG8" s="64">
        <f t="shared" si="0"/>
        <v>-110</v>
      </c>
      <c r="AH8" s="60">
        <f t="shared" si="1"/>
        <v>-180</v>
      </c>
      <c r="AI8" s="60">
        <f t="shared" si="2"/>
        <v>-20</v>
      </c>
      <c r="AJ8" s="60">
        <f t="shared" si="3"/>
        <v>0</v>
      </c>
      <c r="AK8" s="60">
        <f t="shared" si="4"/>
        <v>-300</v>
      </c>
      <c r="AL8" s="44">
        <f t="shared" si="5"/>
        <v>-270</v>
      </c>
    </row>
    <row r="9" spans="1:38">
      <c r="A9">
        <v>4</v>
      </c>
      <c r="B9" s="2">
        <f t="shared" si="6"/>
        <v>44525</v>
      </c>
      <c r="C9" s="43">
        <f>VLOOKUP($B9,信息汇总!$A$4:$AH$108,23,0)</f>
        <v>4638.8591155607237</v>
      </c>
      <c r="D9" s="44">
        <f>VLOOKUP($B9,信息汇总!$A$4:$AH$108,29,0)</f>
        <v>4580</v>
      </c>
      <c r="E9" s="43">
        <f>VLOOKUP($B9,信息汇总!$A$4:$AH$108,24,0)</f>
        <v>4954.9077333333335</v>
      </c>
      <c r="F9" s="44">
        <f>VLOOKUP($B9,信息汇总!$A$4:$AH$108,30,0)</f>
        <v>4840</v>
      </c>
      <c r="G9" s="43">
        <f>VLOOKUP($B9,信息汇总!$A$4:$AH$108,25,0)</f>
        <v>4645.8320279172131</v>
      </c>
      <c r="H9" s="44">
        <f>VLOOKUP($B9,信息汇总!$A$4:$AH$108,31,0)</f>
        <v>4590</v>
      </c>
      <c r="I9" s="43">
        <f>VLOOKUP($B9,信息汇总!$A$4:$AH$108,26,0)</f>
        <v>4924.2113367309021</v>
      </c>
      <c r="J9" s="44">
        <f>VLOOKUP($B9,信息汇总!$A$4:$AH$108,32,0)</f>
        <v>4850</v>
      </c>
      <c r="K9" s="43">
        <f>VLOOKUP($B9,信息汇总!$A$4:$AH$108,27,0)</f>
        <v>4764.2797336842832</v>
      </c>
      <c r="L9" s="44">
        <f>VLOOKUP($B9,信息汇总!$A$4:$AH$108,33,0)</f>
        <v>4610</v>
      </c>
      <c r="M9" s="51">
        <f>VLOOKUP($B9,信息汇总!$A$4:$AH$108,28,0)</f>
        <v>4908.0377120337071</v>
      </c>
      <c r="N9" s="44">
        <f>VLOOKUP($B9,信息汇总!$A$4:$AH$108,34,0)</f>
        <v>4870</v>
      </c>
      <c r="O9" s="51">
        <f>VLOOKUP($B9,每日销量追踪!$A$4:$CM$52,30,0)</f>
        <v>4231.0800000000081</v>
      </c>
      <c r="P9" s="52">
        <f>VLOOKUP($B9,每日销量追踪!$A$4:$CM$52,3,0)</f>
        <v>4026.7099999999996</v>
      </c>
      <c r="Q9" s="52">
        <f>VLOOKUP($B9,每日销量追踪!$A$4:$CM$52,55,0)</f>
        <v>1564.920000000003</v>
      </c>
      <c r="R9" s="52">
        <f>VLOOKUP($B9,每日销量追踪!$A$4:$CM$52,9,0)</f>
        <v>3849.8399999999997</v>
      </c>
      <c r="S9" s="52">
        <f>VLOOKUP($B9,每日销量追踪!$A$4:$CM$52,31,0)</f>
        <v>3538.0800000000072</v>
      </c>
      <c r="T9" s="52">
        <f>VLOOKUP($B9,每日销量追踪!$A$4:$CM$52,4,0)</f>
        <v>521.49199999999996</v>
      </c>
      <c r="U9" s="52">
        <f>VLOOKUP($B9,每日销量追踪!$A$4:$CM$52,56,0)</f>
        <v>3013.9200000000055</v>
      </c>
      <c r="V9" s="52">
        <f>VLOOKUP($B9,每日销量追踪!$A$4:$CM$52,10,0)</f>
        <v>1335.76</v>
      </c>
      <c r="W9" s="52">
        <f>VLOOKUP($B9,每日销量追踪!$A$4:$CM$52,32,0)</f>
        <v>2492.2800000000047</v>
      </c>
      <c r="X9" s="52">
        <f>VLOOKUP($B9,每日销量追踪!$A$4:$CM$52,3,0)</f>
        <v>4026.7099999999996</v>
      </c>
      <c r="Y9" s="52">
        <f>VLOOKUP($B9,每日销量追踪!$A$4:$CM$52,57,0)</f>
        <v>3303.7200000000066</v>
      </c>
      <c r="Z9" s="59">
        <f>VLOOKUP($B9,每日销量追踪!$A$4:$CM$52,11,0)</f>
        <v>2562.56</v>
      </c>
      <c r="AA9" s="43">
        <f>VLOOKUP($B9,信息汇总!$A$4:$AH$108,17,0)</f>
        <v>4700</v>
      </c>
      <c r="AB9" s="60">
        <f>VLOOKUP($B9,信息汇总!$A$4:$AH$108,18,0)</f>
        <v>5050</v>
      </c>
      <c r="AC9" s="60">
        <f>VLOOKUP($B9,信息汇总!$A$4:$AH$108,19,0)</f>
        <v>4590</v>
      </c>
      <c r="AD9" s="60">
        <f>VLOOKUP($B9,信息汇总!$A$4:$AH$108,20,0)</f>
        <v>4850</v>
      </c>
      <c r="AE9" s="60">
        <f>VLOOKUP($B9,信息汇总!$A$4:$AH$108,21,0)</f>
        <v>4890</v>
      </c>
      <c r="AF9" s="44">
        <f>VLOOKUP($B9,信息汇总!$A$4:$AH$108,22,0)</f>
        <v>5140</v>
      </c>
      <c r="AG9" s="64">
        <f t="shared" si="0"/>
        <v>-120</v>
      </c>
      <c r="AH9" s="60">
        <f t="shared" si="1"/>
        <v>-210</v>
      </c>
      <c r="AI9" s="60">
        <f t="shared" si="2"/>
        <v>0</v>
      </c>
      <c r="AJ9" s="60">
        <f t="shared" si="3"/>
        <v>0</v>
      </c>
      <c r="AK9" s="60">
        <f t="shared" si="4"/>
        <v>-280</v>
      </c>
      <c r="AL9" s="44">
        <f t="shared" si="5"/>
        <v>-270</v>
      </c>
    </row>
    <row r="10" spans="1:38">
      <c r="A10">
        <v>5</v>
      </c>
      <c r="B10" s="2">
        <f t="shared" si="6"/>
        <v>44526</v>
      </c>
      <c r="C10" s="43">
        <f>VLOOKUP($B10,信息汇总!$A$4:$AH$108,23,0)</f>
        <v>4524.8155605660968</v>
      </c>
      <c r="D10" s="44">
        <f>VLOOKUP($B10,信息汇总!$A$4:$AH$108,29,0)</f>
        <v>4560</v>
      </c>
      <c r="E10" s="43">
        <f>VLOOKUP($B10,信息汇总!$A$4:$AH$108,24,0)</f>
        <v>4855.3578508805558</v>
      </c>
      <c r="F10" s="44">
        <f>VLOOKUP($B10,信息汇总!$A$4:$AH$108,30,0)</f>
        <v>4820</v>
      </c>
      <c r="G10" s="43">
        <f>VLOOKUP($B10,信息汇总!$A$4:$AH$108,25,0)</f>
        <v>4500.2664467733912</v>
      </c>
      <c r="H10" s="44">
        <f>VLOOKUP($B10,信息汇总!$A$4:$AH$108,31,0)</f>
        <v>4570</v>
      </c>
      <c r="I10" s="43">
        <f>VLOOKUP($B10,信息汇总!$A$4:$AH$108,26,0)</f>
        <v>4794.6859637946591</v>
      </c>
      <c r="J10" s="44">
        <f>VLOOKUP($B10,信息汇总!$A$4:$AH$108,32,0)</f>
        <v>4830</v>
      </c>
      <c r="K10" s="43">
        <f>VLOOKUP($B10,信息汇总!$A$4:$AH$108,27,0)</f>
        <v>4642.3109752917007</v>
      </c>
      <c r="L10" s="44">
        <f>VLOOKUP($B10,信息汇总!$A$4:$AH$108,33,0)</f>
        <v>4590</v>
      </c>
      <c r="M10" s="51">
        <f>VLOOKUP($B10,信息汇总!$A$4:$AH$108,28,0)</f>
        <v>4786.8115209521384</v>
      </c>
      <c r="N10" s="44">
        <f>VLOOKUP($B10,信息汇总!$A$4:$AH$108,34,0)</f>
        <v>4850</v>
      </c>
      <c r="O10" s="51">
        <f>VLOOKUP($B10,每日销量追踪!$A$4:$CM$52,30,0)</f>
        <v>4231.0800000000081</v>
      </c>
      <c r="P10" s="52">
        <f>VLOOKUP($B10,每日销量追踪!$A$4:$CM$52,3,0)</f>
        <v>3194.152</v>
      </c>
      <c r="Q10" s="52">
        <f>VLOOKUP($B10,每日销量追踪!$A$4:$CM$52,55,0)</f>
        <v>1564.920000000003</v>
      </c>
      <c r="R10" s="52">
        <f>VLOOKUP($B10,每日销量追踪!$A$4:$CM$52,9,0)</f>
        <v>1029.5999999999999</v>
      </c>
      <c r="S10" s="52">
        <f>VLOOKUP($B10,每日销量追踪!$A$4:$CM$52,31,0)</f>
        <v>3538.0800000000072</v>
      </c>
      <c r="T10" s="52">
        <f>VLOOKUP($B10,每日销量追踪!$A$4:$CM$52,4,0)</f>
        <v>1621.3009999999999</v>
      </c>
      <c r="U10" s="52">
        <f>VLOOKUP($B10,每日销量追踪!$A$4:$CM$52,56,0)</f>
        <v>3013.9200000000055</v>
      </c>
      <c r="V10" s="52">
        <f>VLOOKUP($B10,每日销量追踪!$A$4:$CM$52,10,0)</f>
        <v>1293.76</v>
      </c>
      <c r="W10" s="52">
        <f>VLOOKUP($B10,每日销量追踪!$A$4:$CM$52,32,0)</f>
        <v>2492.2800000000047</v>
      </c>
      <c r="X10" s="52">
        <f>VLOOKUP($B10,每日销量追踪!$A$4:$CM$52,3,0)</f>
        <v>3194.152</v>
      </c>
      <c r="Y10" s="52">
        <f>VLOOKUP($B10,每日销量追踪!$A$4:$CM$52,57,0)</f>
        <v>3303.7200000000066</v>
      </c>
      <c r="Z10" s="59">
        <f>VLOOKUP($B10,每日销量追踪!$A$4:$CM$52,11,0)</f>
        <v>1489.28</v>
      </c>
      <c r="AA10" s="43">
        <f>VLOOKUP($B10,信息汇总!$A$4:$AH$108,17,0)</f>
        <v>4700</v>
      </c>
      <c r="AB10" s="60">
        <f>VLOOKUP($B10,信息汇总!$A$4:$AH$108,18,0)</f>
        <v>5050</v>
      </c>
      <c r="AC10" s="60">
        <f>VLOOKUP($B10,信息汇总!$A$4:$AH$108,19,0)</f>
        <v>4550</v>
      </c>
      <c r="AD10" s="60">
        <f>VLOOKUP($B10,信息汇总!$A$4:$AH$108,20,0)</f>
        <v>4850</v>
      </c>
      <c r="AE10" s="60">
        <f>VLOOKUP($B10,信息汇总!$A$4:$AH$108,21,0)</f>
        <v>4890</v>
      </c>
      <c r="AF10" s="44">
        <f>VLOOKUP($B10,信息汇总!$A$4:$AH$108,22,0)</f>
        <v>5140</v>
      </c>
      <c r="AG10" s="64">
        <f t="shared" si="0"/>
        <v>-140</v>
      </c>
      <c r="AH10" s="60">
        <f t="shared" si="1"/>
        <v>-230</v>
      </c>
      <c r="AI10" s="60">
        <f t="shared" si="2"/>
        <v>20</v>
      </c>
      <c r="AJ10" s="60">
        <f t="shared" si="3"/>
        <v>-20</v>
      </c>
      <c r="AK10" s="60">
        <f t="shared" si="4"/>
        <v>-300</v>
      </c>
      <c r="AL10" s="44">
        <f t="shared" si="5"/>
        <v>-290</v>
      </c>
    </row>
    <row r="11" spans="1:38">
      <c r="A11">
        <v>6</v>
      </c>
      <c r="B11" s="2">
        <f t="shared" si="6"/>
        <v>44527</v>
      </c>
      <c r="C11" s="43">
        <f>VLOOKUP($B11,信息汇总!$A$4:$AH$108,23,0)</f>
        <v>4533.2817077436493</v>
      </c>
      <c r="D11" s="44">
        <f>VLOOKUP($B11,信息汇总!$A$4:$AH$108,29,0)</f>
        <v>4510</v>
      </c>
      <c r="E11" s="43">
        <f>VLOOKUP($B11,信息汇总!$A$4:$AH$108,24,0)</f>
        <v>4855.0455307619559</v>
      </c>
      <c r="F11" s="44">
        <f>VLOOKUP($B11,信息汇总!$A$4:$AH$108,30,0)</f>
        <v>4770</v>
      </c>
      <c r="G11" s="43">
        <f>VLOOKUP($B11,信息汇总!$A$4:$AH$108,25,0)</f>
        <v>4521.8455891330887</v>
      </c>
      <c r="H11" s="44">
        <f>VLOOKUP($B11,信息汇总!$A$4:$AH$108,31,0)</f>
        <v>4520</v>
      </c>
      <c r="I11" s="43">
        <f>VLOOKUP($B11,信息汇总!$A$4:$AH$108,26,0)</f>
        <v>4797.1913866326913</v>
      </c>
      <c r="J11" s="44">
        <f>VLOOKUP($B11,信息汇总!$A$4:$AH$108,32,0)</f>
        <v>4780</v>
      </c>
      <c r="K11" s="43">
        <f>VLOOKUP($B11,信息汇总!$A$4:$AH$108,27,0)</f>
        <v>4642.8350851429213</v>
      </c>
      <c r="L11" s="44">
        <f>VLOOKUP($B11,信息汇总!$A$4:$AH$108,33,0)</f>
        <v>4540</v>
      </c>
      <c r="M11" s="51">
        <f>VLOOKUP($B11,信息汇总!$A$4:$AH$108,28,0)</f>
        <v>4791.1871048393932</v>
      </c>
      <c r="N11" s="44">
        <f>VLOOKUP($B11,信息汇总!$A$4:$AH$108,34,0)</f>
        <v>4800</v>
      </c>
      <c r="O11" s="51">
        <f>VLOOKUP($B11,每日销量追踪!$A$4:$CM$52,30,0)</f>
        <v>2115.5399999999995</v>
      </c>
      <c r="P11" s="52">
        <f>VLOOKUP($B11,每日销量追踪!$A$4:$CM$52,3,0)</f>
        <v>1812.8209999999999</v>
      </c>
      <c r="Q11" s="52">
        <f>VLOOKUP($B11,每日销量追踪!$A$4:$CM$52,55,0)</f>
        <v>782.45999999999981</v>
      </c>
      <c r="R11" s="52">
        <f>VLOOKUP($B11,每日销量追踪!$A$4:$CM$52,9,0)</f>
        <v>1805.44</v>
      </c>
      <c r="S11" s="52">
        <f>VLOOKUP($B11,每日销量追踪!$A$4:$CM$52,31,0)</f>
        <v>1769.0399999999993</v>
      </c>
      <c r="T11" s="52">
        <f>VLOOKUP($B11,每日销量追踪!$A$4:$CM$52,4,0)</f>
        <v>1151.412</v>
      </c>
      <c r="U11" s="52">
        <f>VLOOKUP($B11,每日销量追踪!$A$4:$CM$52,56,0)</f>
        <v>1506.9599999999994</v>
      </c>
      <c r="V11" s="52">
        <f>VLOOKUP($B11,每日销量追踪!$A$4:$CM$52,10,0)</f>
        <v>1098.24</v>
      </c>
      <c r="W11" s="52">
        <f>VLOOKUP($B11,每日销量追踪!$A$4:$CM$52,32,0)</f>
        <v>1246.1399999999996</v>
      </c>
      <c r="X11" s="52">
        <f>VLOOKUP($B11,每日销量追踪!$A$4:$CM$52,3,0)</f>
        <v>1812.8209999999999</v>
      </c>
      <c r="Y11" s="52">
        <f>VLOOKUP($B11,每日销量追踪!$A$4:$CM$52,57,0)</f>
        <v>1651.8599999999997</v>
      </c>
      <c r="Z11" s="59">
        <f>VLOOKUP($B11,每日销量追踪!$A$4:$CM$52,11,0)</f>
        <v>1934.4</v>
      </c>
      <c r="AA11" s="43">
        <f>VLOOKUP($B11,信息汇总!$A$4:$AH$108,17,0)</f>
        <v>4700</v>
      </c>
      <c r="AB11" s="60">
        <f>VLOOKUP($B11,信息汇总!$A$4:$AH$108,18,0)</f>
        <v>5050</v>
      </c>
      <c r="AC11" s="60">
        <f>VLOOKUP($B11,信息汇总!$A$4:$AH$108,19,0)</f>
        <v>4550</v>
      </c>
      <c r="AD11" s="60">
        <f>VLOOKUP($B11,信息汇总!$A$4:$AH$108,20,0)</f>
        <v>4850</v>
      </c>
      <c r="AE11" s="60">
        <f>VLOOKUP($B11,信息汇总!$A$4:$AH$108,21,0)</f>
        <v>4890</v>
      </c>
      <c r="AF11" s="44">
        <f>VLOOKUP($B11,信息汇总!$A$4:$AH$108,22,0)</f>
        <v>5140</v>
      </c>
      <c r="AG11" s="64">
        <f t="shared" si="0"/>
        <v>-190</v>
      </c>
      <c r="AH11" s="60">
        <f t="shared" si="1"/>
        <v>-280</v>
      </c>
      <c r="AI11" s="60">
        <f t="shared" si="2"/>
        <v>-30</v>
      </c>
      <c r="AJ11" s="60">
        <f t="shared" si="3"/>
        <v>-70</v>
      </c>
      <c r="AK11" s="60">
        <f t="shared" si="4"/>
        <v>-350</v>
      </c>
      <c r="AL11" s="44">
        <f t="shared" si="5"/>
        <v>-340</v>
      </c>
    </row>
    <row r="12" spans="1:38">
      <c r="A12">
        <v>7</v>
      </c>
      <c r="B12" s="2">
        <f t="shared" si="6"/>
        <v>44528</v>
      </c>
      <c r="C12" s="45">
        <f>VLOOKUP($B12,信息汇总!$A$4:$AH$108,23,0)</f>
        <v>4544.8329478740434</v>
      </c>
      <c r="D12" s="46">
        <f>VLOOKUP($B12,信息汇总!$A$4:$AH$108,29,0)</f>
        <v>4511</v>
      </c>
      <c r="E12" s="45">
        <f>VLOOKUP($B12,信息汇总!$A$4:$AH$108,24,0)</f>
        <v>4870.4386166705008</v>
      </c>
      <c r="F12" s="46">
        <f>VLOOKUP($B12,信息汇总!$A$4:$AH$108,30,0)</f>
        <v>4770</v>
      </c>
      <c r="G12" s="45">
        <f>VLOOKUP($B12,信息汇总!$A$4:$AH$108,25,0)</f>
        <v>4530.1453913370578</v>
      </c>
      <c r="H12" s="46">
        <f>VLOOKUP($B12,信息汇总!$A$4:$AH$108,31,0)</f>
        <v>4520</v>
      </c>
      <c r="I12" s="45">
        <f>VLOOKUP($B12,信息汇总!$A$4:$AH$108,26,0)</f>
        <v>4772.4729808838501</v>
      </c>
      <c r="J12" s="46">
        <f>VLOOKUP($B12,信息汇总!$A$4:$AH$108,32,0)</f>
        <v>4780</v>
      </c>
      <c r="K12" s="45">
        <f>VLOOKUP($B12,信息汇总!$A$4:$AH$108,27,0)</f>
        <v>4651.4915118978315</v>
      </c>
      <c r="L12" s="46">
        <f>VLOOKUP($B12,信息汇总!$A$4:$AH$108,33,0)</f>
        <v>4540</v>
      </c>
      <c r="M12" s="53">
        <f>VLOOKUP($B12,信息汇总!$A$4:$AH$108,28,0)</f>
        <v>4804.0612023581134</v>
      </c>
      <c r="N12" s="46">
        <f>VLOOKUP($B12,信息汇总!$A$4:$AH$108,34,0)</f>
        <v>4800</v>
      </c>
      <c r="O12" s="53">
        <f>VLOOKUP($B12,每日销量追踪!$A$4:$CM$52,30,0)</f>
        <v>2115.5399999999995</v>
      </c>
      <c r="P12" s="54">
        <f>VLOOKUP($B12,每日销量追踪!$A$4:$CM$52,3,0)</f>
        <v>1392.6569999999999</v>
      </c>
      <c r="Q12" s="54">
        <f>VLOOKUP($B12,每日销量追踪!$A$4:$CM$52,55,0)</f>
        <v>782.45999999999981</v>
      </c>
      <c r="R12" s="54">
        <f>VLOOKUP($B12,每日销量追踪!$A$4:$CM$52,9,0)</f>
        <v>574.08000000000004</v>
      </c>
      <c r="S12" s="54">
        <f>VLOOKUP($B12,每日销量追踪!$A$4:$CM$52,31,0)</f>
        <v>1769.0399999999993</v>
      </c>
      <c r="T12" s="54">
        <f>VLOOKUP($B12,每日销量追踪!$A$4:$CM$52,4,0)</f>
        <v>1087.4970000000001</v>
      </c>
      <c r="U12" s="54">
        <f>VLOOKUP($B12,每日销量追踪!$A$4:$CM$52,56,0)</f>
        <v>1506.9599999999994</v>
      </c>
      <c r="V12" s="54">
        <f>VLOOKUP($B12,每日销量追踪!$A$4:$CM$52,10,0)</f>
        <v>798.72</v>
      </c>
      <c r="W12" s="54">
        <f>VLOOKUP($B12,每日销量追踪!$A$4:$CM$52,32,0)</f>
        <v>1246.1399999999996</v>
      </c>
      <c r="X12" s="54">
        <f>VLOOKUP($B12,每日销量追踪!$A$4:$CM$52,3,0)</f>
        <v>1392.6569999999999</v>
      </c>
      <c r="Y12" s="54">
        <f>VLOOKUP($B12,每日销量追踪!$A$4:$CM$52,57,0)</f>
        <v>1651.8599999999997</v>
      </c>
      <c r="Z12" s="61">
        <f>VLOOKUP($B12,每日销量追踪!$A$4:$CM$52,11,0)</f>
        <v>632.32000000000005</v>
      </c>
      <c r="AA12" s="45">
        <f>VLOOKUP($B12,信息汇总!$A$4:$AH$108,17,0)</f>
        <v>4700</v>
      </c>
      <c r="AB12" s="62">
        <f>VLOOKUP($B12,信息汇总!$A$4:$AH$108,18,0)</f>
        <v>5050</v>
      </c>
      <c r="AC12" s="62">
        <f>VLOOKUP($B12,信息汇总!$A$4:$AH$108,19,0)</f>
        <v>4550</v>
      </c>
      <c r="AD12" s="62">
        <f>VLOOKUP($B12,信息汇总!$A$4:$AH$108,20,0)</f>
        <v>4800</v>
      </c>
      <c r="AE12" s="62">
        <f>VLOOKUP($B12,信息汇总!$A$4:$AH$108,21,0)</f>
        <v>4890</v>
      </c>
      <c r="AF12" s="46">
        <f>VLOOKUP($B12,信息汇总!$A$4:$AH$108,22,0)</f>
        <v>5140</v>
      </c>
      <c r="AG12" s="65">
        <f t="shared" si="0"/>
        <v>-189</v>
      </c>
      <c r="AH12" s="62">
        <f t="shared" si="1"/>
        <v>-280</v>
      </c>
      <c r="AI12" s="62">
        <f t="shared" si="2"/>
        <v>-30</v>
      </c>
      <c r="AJ12" s="62">
        <f t="shared" si="3"/>
        <v>-20</v>
      </c>
      <c r="AK12" s="62">
        <f t="shared" si="4"/>
        <v>-350</v>
      </c>
      <c r="AL12" s="46">
        <f t="shared" si="5"/>
        <v>-340</v>
      </c>
    </row>
    <row r="13" spans="1:38">
      <c r="B13" s="47" t="s">
        <v>181</v>
      </c>
      <c r="C13" s="48">
        <f>SUMPRODUCT(C6:C12,O6:O12)/SUM(O6:O12)</f>
        <v>4580.1020045792911</v>
      </c>
      <c r="D13" s="48">
        <f t="shared" ref="D13:N13" si="7">SUMPRODUCT(D6:D12,P6:P12)/SUM(P6:P12)</f>
        <v>4560.0541888484686</v>
      </c>
      <c r="E13" s="48">
        <f t="shared" si="7"/>
        <v>4892.2787429883538</v>
      </c>
      <c r="F13" s="48">
        <f t="shared" si="7"/>
        <v>4827.0217074131378</v>
      </c>
      <c r="G13" s="48">
        <f t="shared" si="7"/>
        <v>4580.2036795109325</v>
      </c>
      <c r="H13" s="48">
        <f t="shared" si="7"/>
        <v>4567.9794771872139</v>
      </c>
      <c r="I13" s="48">
        <f t="shared" si="7"/>
        <v>4846.913025299983</v>
      </c>
      <c r="J13" s="48">
        <f t="shared" si="7"/>
        <v>4841.3037301423728</v>
      </c>
      <c r="K13" s="48">
        <f t="shared" si="7"/>
        <v>4693.4413252659569</v>
      </c>
      <c r="L13" s="48">
        <f t="shared" si="7"/>
        <v>4589.9935248175261</v>
      </c>
      <c r="M13" s="48">
        <f t="shared" si="7"/>
        <v>4840.555037287626</v>
      </c>
      <c r="N13" s="48">
        <f t="shared" si="7"/>
        <v>4858.5984031145144</v>
      </c>
      <c r="O13" s="55">
        <f>SUM(O6:O12)</f>
        <v>25386.480000000043</v>
      </c>
      <c r="P13" s="55">
        <f t="shared" ref="P13:Z13" si="8">SUM(P6:P12)</f>
        <v>22956.881999999994</v>
      </c>
      <c r="Q13" s="55">
        <f t="shared" si="8"/>
        <v>9389.5200000000132</v>
      </c>
      <c r="R13" s="55">
        <f t="shared" si="8"/>
        <v>14420.880000000001</v>
      </c>
      <c r="S13" s="55">
        <f t="shared" si="8"/>
        <v>21228.48000000004</v>
      </c>
      <c r="T13" s="55">
        <f t="shared" si="8"/>
        <v>18229.469999999998</v>
      </c>
      <c r="U13" s="55">
        <f t="shared" si="8"/>
        <v>18083.520000000026</v>
      </c>
      <c r="V13" s="55">
        <f t="shared" si="8"/>
        <v>18244.880000000005</v>
      </c>
      <c r="W13" s="55">
        <f t="shared" si="8"/>
        <v>14953.680000000022</v>
      </c>
      <c r="X13" s="55">
        <f t="shared" si="8"/>
        <v>22956.881999999994</v>
      </c>
      <c r="Y13" s="55">
        <f t="shared" si="8"/>
        <v>19822.320000000036</v>
      </c>
      <c r="Z13" s="55">
        <f t="shared" si="8"/>
        <v>18370.760000000002</v>
      </c>
      <c r="AG13" s="55">
        <f>AVERAGE(AG6:AG12)</f>
        <v>-134.14285714285714</v>
      </c>
      <c r="AH13" s="55">
        <f t="shared" ref="AH13:AL13" si="9">AVERAGE(AH6:AH12)</f>
        <v>-220</v>
      </c>
      <c r="AI13" s="55">
        <f t="shared" si="9"/>
        <v>-2.8571428571428572</v>
      </c>
      <c r="AJ13" s="55">
        <f t="shared" si="9"/>
        <v>-10</v>
      </c>
      <c r="AK13" s="55">
        <f t="shared" si="9"/>
        <v>-307.14285714285717</v>
      </c>
      <c r="AL13" s="55">
        <f t="shared" si="9"/>
        <v>-292.85714285714283</v>
      </c>
    </row>
  </sheetData>
  <phoneticPr fontId="16" type="noConversion"/>
  <pageMargins left="0.25" right="0.25" top="0.75" bottom="0.75" header="0.3" footer="0.3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"/>
  <sheetViews>
    <sheetView zoomScale="55" zoomScaleNormal="55" workbookViewId="0">
      <pane xSplit="1" ySplit="2" topLeftCell="B3" activePane="bottomRight" state="frozen"/>
      <selection pane="topRight"/>
      <selection pane="bottomLeft"/>
      <selection pane="bottomRight" activeCell="O3" sqref="O3:O25"/>
    </sheetView>
  </sheetViews>
  <sheetFormatPr defaultColWidth="9" defaultRowHeight="14.25"/>
  <cols>
    <col min="1" max="1" width="12.25" customWidth="1"/>
    <col min="2" max="2" width="10.125" customWidth="1"/>
    <col min="3" max="3" width="8.875" hidden="1" customWidth="1"/>
    <col min="4" max="4" width="8.875" style="1" hidden="1" customWidth="1"/>
    <col min="5" max="5" width="9.5" hidden="1" customWidth="1"/>
    <col min="6" max="6" width="10.5" hidden="1" customWidth="1"/>
    <col min="7" max="7" width="13.125" hidden="1" customWidth="1"/>
    <col min="8" max="8" width="9.125" hidden="1" customWidth="1"/>
    <col min="9" max="9" width="13.125" style="1" hidden="1" customWidth="1"/>
    <col min="10" max="10" width="9.125" hidden="1" customWidth="1"/>
    <col min="11" max="11" width="14.75" hidden="1" customWidth="1"/>
    <col min="12" max="14" width="9.875" hidden="1" customWidth="1"/>
    <col min="15" max="15" width="8.875" customWidth="1"/>
    <col min="16" max="16" width="4.875" hidden="1" customWidth="1"/>
    <col min="17" max="17" width="13.5" hidden="1" customWidth="1"/>
    <col min="18" max="18" width="11" customWidth="1"/>
    <col min="19" max="32" width="11.125" hidden="1" customWidth="1"/>
    <col min="33" max="33" width="10.125" hidden="1" customWidth="1"/>
    <col min="34" max="34" width="9" hidden="1" customWidth="1"/>
  </cols>
  <sheetData>
    <row r="1" spans="1:34">
      <c r="A1" s="2">
        <f ca="1">TODAY()</f>
        <v>44536</v>
      </c>
      <c r="B1" s="3"/>
      <c r="O1" s="3"/>
      <c r="R1" s="3"/>
      <c r="S1" s="3"/>
      <c r="T1" s="3"/>
      <c r="U1" s="3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"/>
      <c r="AG1" s="3"/>
    </row>
    <row r="2" spans="1:34" ht="42" customHeight="1">
      <c r="A2" s="4" t="s">
        <v>41</v>
      </c>
      <c r="B2" s="4" t="s">
        <v>74</v>
      </c>
      <c r="C2" s="5" t="s">
        <v>75</v>
      </c>
      <c r="D2" s="6" t="s">
        <v>5</v>
      </c>
      <c r="E2" s="7" t="s">
        <v>76</v>
      </c>
      <c r="F2" s="7" t="s">
        <v>77</v>
      </c>
      <c r="G2" s="8" t="s">
        <v>78</v>
      </c>
      <c r="H2" s="9" t="s">
        <v>79</v>
      </c>
      <c r="I2" s="22" t="s">
        <v>80</v>
      </c>
      <c r="J2" s="23" t="s">
        <v>81</v>
      </c>
      <c r="K2" s="24" t="s">
        <v>82</v>
      </c>
      <c r="L2" s="8" t="s">
        <v>10</v>
      </c>
      <c r="M2" s="9" t="s">
        <v>11</v>
      </c>
      <c r="N2" s="9" t="s">
        <v>83</v>
      </c>
      <c r="O2" s="9" t="s">
        <v>182</v>
      </c>
      <c r="P2" s="9" t="s">
        <v>85</v>
      </c>
      <c r="Q2" s="9" t="s">
        <v>86</v>
      </c>
      <c r="R2" s="9" t="s">
        <v>87</v>
      </c>
      <c r="S2" s="32" t="s">
        <v>61</v>
      </c>
      <c r="T2" s="32" t="s">
        <v>62</v>
      </c>
      <c r="U2" s="32" t="s">
        <v>88</v>
      </c>
      <c r="V2" s="32" t="s">
        <v>89</v>
      </c>
      <c r="W2" s="32" t="s">
        <v>90</v>
      </c>
      <c r="X2" s="32" t="s">
        <v>91</v>
      </c>
      <c r="Y2" s="32" t="s">
        <v>92</v>
      </c>
      <c r="Z2" s="32" t="s">
        <v>93</v>
      </c>
      <c r="AA2" s="32" t="s">
        <v>94</v>
      </c>
      <c r="AB2" s="32" t="s">
        <v>95</v>
      </c>
      <c r="AC2" s="32" t="s">
        <v>96</v>
      </c>
      <c r="AD2" s="32" t="s">
        <v>97</v>
      </c>
      <c r="AE2" s="39" t="s">
        <v>183</v>
      </c>
      <c r="AF2" s="39" t="s">
        <v>184</v>
      </c>
      <c r="AG2" s="39" t="s">
        <v>103</v>
      </c>
      <c r="AH2" s="24" t="s">
        <v>185</v>
      </c>
    </row>
    <row r="3" spans="1:34">
      <c r="A3" s="10">
        <v>44501</v>
      </c>
      <c r="B3" s="11">
        <v>5440</v>
      </c>
      <c r="C3" s="12">
        <f t="shared" ref="C3:C4" si="0">H3*G3+J3*I3+K3</f>
        <v>-1923.3499999999997</v>
      </c>
      <c r="D3" s="12">
        <f>5190+C3</f>
        <v>3266.6500000000005</v>
      </c>
      <c r="E3" s="12"/>
      <c r="F3" s="13">
        <v>0</v>
      </c>
      <c r="G3" s="14">
        <f>IF((Q3-L3)&lt;0,-(Q3-L3)/2,IF((Q3-L3)&gt;0,-(Q3-M3)/2,0))+R3</f>
        <v>-2712.5</v>
      </c>
      <c r="H3" s="15">
        <v>0.7</v>
      </c>
      <c r="I3" s="15">
        <f>U3</f>
        <v>-82</v>
      </c>
      <c r="J3" s="25">
        <v>0.3</v>
      </c>
      <c r="K3" s="25"/>
      <c r="L3" s="26">
        <v>-343</v>
      </c>
      <c r="M3" s="26">
        <v>-325</v>
      </c>
      <c r="N3" s="27"/>
      <c r="O3" s="11"/>
      <c r="P3" s="11">
        <v>90</v>
      </c>
      <c r="Q3" s="33">
        <f>5190-(P3+O3)</f>
        <v>5100</v>
      </c>
      <c r="R3" s="26"/>
      <c r="S3" s="12">
        <v>4630</v>
      </c>
      <c r="T3" s="12">
        <v>4712</v>
      </c>
      <c r="U3" s="15">
        <f>S3-T3</f>
        <v>-82</v>
      </c>
      <c r="V3" s="26">
        <v>565</v>
      </c>
      <c r="W3" s="26">
        <v>577.5</v>
      </c>
      <c r="X3" s="26">
        <f>V3-W3</f>
        <v>-12.5</v>
      </c>
      <c r="Y3" s="26">
        <v>3040</v>
      </c>
      <c r="Z3" s="26">
        <v>3041</v>
      </c>
      <c r="AA3" s="26">
        <f>Y3-Z3</f>
        <v>-1</v>
      </c>
      <c r="AB3" s="26"/>
      <c r="AC3" s="26"/>
      <c r="AD3" s="26">
        <f>AB3-AC3</f>
        <v>0</v>
      </c>
      <c r="AE3" s="26"/>
      <c r="AF3" s="26"/>
      <c r="AG3" s="26"/>
      <c r="AH3" s="15">
        <v>50</v>
      </c>
    </row>
    <row r="4" spans="1:34">
      <c r="A4" s="16">
        <f>A3+1</f>
        <v>44502</v>
      </c>
      <c r="B4" s="17">
        <v>5320</v>
      </c>
      <c r="C4" s="18">
        <f t="shared" si="0"/>
        <v>-2025.5499999999997</v>
      </c>
      <c r="D4" s="18">
        <f t="shared" ref="D4:D21" si="1">B3+C4</f>
        <v>3414.4500000000003</v>
      </c>
      <c r="E4" s="18">
        <f t="shared" ref="E4:E21" si="2">D3</f>
        <v>3266.6500000000005</v>
      </c>
      <c r="F4" s="19">
        <v>0</v>
      </c>
      <c r="G4" s="14">
        <f>IF((Q4-L4)&lt;0,-(Q4-L4)/2,IF((Q4-L4)&gt;0,-(Q4-M4)/2,0))+R4</f>
        <v>-2837.5</v>
      </c>
      <c r="H4" s="20">
        <f>H3</f>
        <v>0.7</v>
      </c>
      <c r="I4" s="20">
        <f>U4</f>
        <v>-131</v>
      </c>
      <c r="J4" s="28">
        <f>J3</f>
        <v>0.3</v>
      </c>
      <c r="K4" s="28"/>
      <c r="L4" s="20">
        <f>L3</f>
        <v>-343</v>
      </c>
      <c r="M4" s="20">
        <f>M3</f>
        <v>-325</v>
      </c>
      <c r="N4" s="29"/>
      <c r="O4" s="17"/>
      <c r="P4" s="18">
        <f>P3</f>
        <v>90</v>
      </c>
      <c r="Q4" s="14">
        <f t="shared" ref="Q4:Q21" si="3">B3-(O3+P3)</f>
        <v>5350</v>
      </c>
      <c r="R4" s="34"/>
      <c r="S4" s="18">
        <f>'青岛 - 螺纹'!S4</f>
        <v>4499</v>
      </c>
      <c r="T4" s="18">
        <f>S3</f>
        <v>4630</v>
      </c>
      <c r="U4" s="20">
        <f t="shared" ref="U4:U14" si="4">S4-T4</f>
        <v>-131</v>
      </c>
      <c r="V4" s="30"/>
      <c r="W4" s="30"/>
      <c r="X4" s="30">
        <f t="shared" ref="X4" si="5">V4-W4</f>
        <v>0</v>
      </c>
      <c r="Y4" s="30"/>
      <c r="Z4" s="30"/>
      <c r="AA4" s="30">
        <f t="shared" ref="AA4" si="6">Y4-Z4</f>
        <v>0</v>
      </c>
      <c r="AB4" s="30"/>
      <c r="AC4" s="30"/>
      <c r="AD4" s="30">
        <f t="shared" ref="AD4" si="7">AB4-AC4</f>
        <v>0</v>
      </c>
      <c r="AE4" s="30">
        <v>2.4</v>
      </c>
      <c r="AF4" s="30">
        <v>2.4</v>
      </c>
      <c r="AG4" s="30">
        <v>9</v>
      </c>
      <c r="AH4" s="20">
        <f>AH3</f>
        <v>50</v>
      </c>
    </row>
    <row r="5" spans="1:34">
      <c r="A5" s="16">
        <f t="shared" ref="A5:A29" si="8">A4+1</f>
        <v>44503</v>
      </c>
      <c r="B5" s="17">
        <v>5200</v>
      </c>
      <c r="C5" s="18">
        <f t="shared" ref="C5:C21" si="9">H5*G5+J5*I5+K5</f>
        <v>-2018.9499999999998</v>
      </c>
      <c r="D5" s="18">
        <f t="shared" si="1"/>
        <v>3301.05</v>
      </c>
      <c r="E5" s="18">
        <f t="shared" si="2"/>
        <v>3414.4500000000003</v>
      </c>
      <c r="F5" s="19">
        <f>AF4/AG4</f>
        <v>0.26666666666666666</v>
      </c>
      <c r="G5" s="14">
        <f t="shared" ref="G5:G21" si="10">IF((Q5-L5)&lt;0,-(Q5-L5)/2,IF((Q5-L5)&gt;0,-(Q5-M5)/2,0))+R5</f>
        <v>-2777.5</v>
      </c>
      <c r="H5" s="20">
        <f t="shared" ref="H5:H29" si="11">H4</f>
        <v>0.7</v>
      </c>
      <c r="I5" s="20">
        <f t="shared" ref="I5:I21" si="12">U5</f>
        <v>-249</v>
      </c>
      <c r="J5" s="28">
        <f t="shared" ref="J5:J29" si="13">J4</f>
        <v>0.3</v>
      </c>
      <c r="K5" s="28"/>
      <c r="L5" s="20">
        <f t="shared" ref="L5:M20" si="14">L4</f>
        <v>-343</v>
      </c>
      <c r="M5" s="20">
        <f t="shared" si="14"/>
        <v>-325</v>
      </c>
      <c r="N5" s="29"/>
      <c r="O5" s="17"/>
      <c r="P5" s="18">
        <f t="shared" ref="P5:P29" si="15">P4</f>
        <v>90</v>
      </c>
      <c r="Q5" s="14">
        <f t="shared" si="3"/>
        <v>5230</v>
      </c>
      <c r="R5" s="34"/>
      <c r="S5" s="18">
        <f>'青岛 - 螺纹'!S5</f>
        <v>4250</v>
      </c>
      <c r="T5" s="18">
        <f t="shared" ref="T5:T21" si="16">S4</f>
        <v>4499</v>
      </c>
      <c r="U5" s="20">
        <f t="shared" si="4"/>
        <v>-249</v>
      </c>
      <c r="V5" s="30"/>
      <c r="W5" s="30"/>
      <c r="X5" s="30"/>
      <c r="Y5" s="30"/>
      <c r="Z5" s="30"/>
      <c r="AA5" s="30"/>
      <c r="AB5" s="30"/>
      <c r="AC5" s="30"/>
      <c r="AD5" s="30"/>
      <c r="AE5" s="30">
        <f>AF5-AF4</f>
        <v>4.3000000000000007</v>
      </c>
      <c r="AF5" s="30">
        <v>6.7</v>
      </c>
      <c r="AG5" s="30">
        <f>AG4+3</f>
        <v>12</v>
      </c>
      <c r="AH5" s="20">
        <f t="shared" ref="AH5:AH13" si="17">AH4</f>
        <v>50</v>
      </c>
    </row>
    <row r="6" spans="1:34">
      <c r="A6" s="16">
        <f t="shared" si="8"/>
        <v>44504</v>
      </c>
      <c r="B6" s="17">
        <v>5200</v>
      </c>
      <c r="C6" s="18">
        <f t="shared" si="9"/>
        <v>-1857.8499999999997</v>
      </c>
      <c r="D6" s="18">
        <f t="shared" si="1"/>
        <v>3342.1500000000005</v>
      </c>
      <c r="E6" s="18">
        <f t="shared" si="2"/>
        <v>3301.05</v>
      </c>
      <c r="F6" s="19">
        <f>AF5/AG5</f>
        <v>0.55833333333333335</v>
      </c>
      <c r="G6" s="14">
        <f t="shared" si="10"/>
        <v>-2717.5</v>
      </c>
      <c r="H6" s="20">
        <f t="shared" si="11"/>
        <v>0.7</v>
      </c>
      <c r="I6" s="20">
        <f t="shared" si="12"/>
        <v>148</v>
      </c>
      <c r="J6" s="28">
        <f t="shared" si="13"/>
        <v>0.3</v>
      </c>
      <c r="K6" s="28"/>
      <c r="L6" s="20">
        <f t="shared" si="14"/>
        <v>-343</v>
      </c>
      <c r="M6" s="20">
        <f t="shared" si="14"/>
        <v>-325</v>
      </c>
      <c r="N6" s="29"/>
      <c r="O6" s="17"/>
      <c r="P6" s="18">
        <f t="shared" si="15"/>
        <v>90</v>
      </c>
      <c r="Q6" s="14">
        <f t="shared" si="3"/>
        <v>5110</v>
      </c>
      <c r="R6" s="34"/>
      <c r="S6" s="18">
        <f>'青岛 - 螺纹'!S6</f>
        <v>4398</v>
      </c>
      <c r="T6" s="18">
        <f t="shared" si="16"/>
        <v>4250</v>
      </c>
      <c r="U6" s="20">
        <f t="shared" si="4"/>
        <v>148</v>
      </c>
      <c r="V6" s="30"/>
      <c r="W6" s="30"/>
      <c r="X6" s="30"/>
      <c r="Y6" s="30"/>
      <c r="Z6" s="30"/>
      <c r="AA6" s="30"/>
      <c r="AB6" s="30"/>
      <c r="AC6" s="30"/>
      <c r="AD6" s="30"/>
      <c r="AE6" s="30">
        <f t="shared" ref="AE6:AE8" si="18">AF6-AF5</f>
        <v>1.0999999999999996</v>
      </c>
      <c r="AF6" s="30">
        <v>7.8</v>
      </c>
      <c r="AG6" s="30">
        <f t="shared" ref="AG6:AG7" si="19">AG5+3</f>
        <v>15</v>
      </c>
      <c r="AH6" s="20">
        <f t="shared" si="17"/>
        <v>50</v>
      </c>
    </row>
    <row r="7" spans="1:34">
      <c r="A7" s="16">
        <f t="shared" si="8"/>
        <v>44505</v>
      </c>
      <c r="B7" s="17">
        <v>5130</v>
      </c>
      <c r="C7" s="18">
        <f t="shared" si="9"/>
        <v>-1950.2499999999998</v>
      </c>
      <c r="D7" s="18">
        <f t="shared" si="1"/>
        <v>3249.75</v>
      </c>
      <c r="E7" s="18">
        <f t="shared" si="2"/>
        <v>3342.1500000000005</v>
      </c>
      <c r="F7" s="19">
        <f>AF6/AG6</f>
        <v>0.52</v>
      </c>
      <c r="G7" s="14">
        <f t="shared" si="10"/>
        <v>-2717.5</v>
      </c>
      <c r="H7" s="20">
        <f t="shared" si="11"/>
        <v>0.7</v>
      </c>
      <c r="I7" s="20">
        <f t="shared" si="12"/>
        <v>-160</v>
      </c>
      <c r="J7" s="28">
        <f t="shared" si="13"/>
        <v>0.3</v>
      </c>
      <c r="K7" s="28"/>
      <c r="L7" s="20">
        <f t="shared" si="14"/>
        <v>-343</v>
      </c>
      <c r="M7" s="20">
        <f t="shared" si="14"/>
        <v>-325</v>
      </c>
      <c r="N7" s="29"/>
      <c r="O7" s="17"/>
      <c r="P7" s="18">
        <f t="shared" si="15"/>
        <v>90</v>
      </c>
      <c r="Q7" s="14">
        <f t="shared" si="3"/>
        <v>5110</v>
      </c>
      <c r="R7" s="34"/>
      <c r="S7" s="18">
        <f>'青岛 - 螺纹'!S7</f>
        <v>4238</v>
      </c>
      <c r="T7" s="18">
        <f t="shared" si="16"/>
        <v>4398</v>
      </c>
      <c r="U7" s="20">
        <f t="shared" si="4"/>
        <v>-160</v>
      </c>
      <c r="V7" s="30"/>
      <c r="W7" s="30"/>
      <c r="X7" s="30"/>
      <c r="Y7" s="30"/>
      <c r="Z7" s="30"/>
      <c r="AA7" s="30"/>
      <c r="AB7" s="30"/>
      <c r="AC7" s="30"/>
      <c r="AD7" s="30"/>
      <c r="AE7" s="30">
        <f t="shared" si="18"/>
        <v>2.5000000000000009</v>
      </c>
      <c r="AF7" s="30">
        <v>10.3</v>
      </c>
      <c r="AG7" s="30">
        <f t="shared" si="19"/>
        <v>18</v>
      </c>
      <c r="AH7" s="20">
        <f t="shared" si="17"/>
        <v>50</v>
      </c>
    </row>
    <row r="8" spans="1:34">
      <c r="A8" s="16">
        <f t="shared" si="8"/>
        <v>44506</v>
      </c>
      <c r="B8" s="17">
        <v>5130</v>
      </c>
      <c r="C8" s="18">
        <f t="shared" si="9"/>
        <v>-1877.7499999999998</v>
      </c>
      <c r="D8" s="18">
        <f t="shared" si="1"/>
        <v>3252.25</v>
      </c>
      <c r="E8" s="18">
        <f t="shared" si="2"/>
        <v>3249.75</v>
      </c>
      <c r="F8" s="19">
        <f>AF7/AG7</f>
        <v>0.5722222222222223</v>
      </c>
      <c r="G8" s="14">
        <f t="shared" si="10"/>
        <v>-2682.5</v>
      </c>
      <c r="H8" s="20">
        <f t="shared" si="11"/>
        <v>0.7</v>
      </c>
      <c r="I8" s="20">
        <f t="shared" si="12"/>
        <v>0</v>
      </c>
      <c r="J8" s="28">
        <f t="shared" si="13"/>
        <v>0.3</v>
      </c>
      <c r="K8" s="28"/>
      <c r="L8" s="20">
        <f t="shared" si="14"/>
        <v>-343</v>
      </c>
      <c r="M8" s="20">
        <f t="shared" si="14"/>
        <v>-325</v>
      </c>
      <c r="N8" s="29"/>
      <c r="O8" s="17"/>
      <c r="P8" s="18">
        <f t="shared" si="15"/>
        <v>90</v>
      </c>
      <c r="Q8" s="14">
        <f t="shared" si="3"/>
        <v>5040</v>
      </c>
      <c r="R8" s="34"/>
      <c r="S8" s="18">
        <f>'青岛 - 螺纹'!S8</f>
        <v>4238</v>
      </c>
      <c r="T8" s="18">
        <f t="shared" si="16"/>
        <v>4238</v>
      </c>
      <c r="U8" s="20">
        <f t="shared" si="4"/>
        <v>0</v>
      </c>
      <c r="V8" s="30"/>
      <c r="W8" s="30"/>
      <c r="X8" s="30"/>
      <c r="Y8" s="30"/>
      <c r="Z8" s="30"/>
      <c r="AA8" s="30"/>
      <c r="AB8" s="30"/>
      <c r="AC8" s="30"/>
      <c r="AD8" s="30"/>
      <c r="AE8" s="30">
        <f t="shared" si="18"/>
        <v>6</v>
      </c>
      <c r="AF8" s="30">
        <v>16.3</v>
      </c>
      <c r="AG8" s="30">
        <v>18</v>
      </c>
      <c r="AH8" s="20">
        <f t="shared" si="17"/>
        <v>50</v>
      </c>
    </row>
    <row r="9" spans="1:34">
      <c r="A9" s="16">
        <f t="shared" si="8"/>
        <v>44507</v>
      </c>
      <c r="B9" s="17">
        <v>5150</v>
      </c>
      <c r="C9" s="18">
        <f t="shared" si="9"/>
        <v>-1877.7499999999998</v>
      </c>
      <c r="D9" s="18">
        <f t="shared" si="1"/>
        <v>3252.25</v>
      </c>
      <c r="E9" s="18">
        <f t="shared" si="2"/>
        <v>3252.25</v>
      </c>
      <c r="F9" s="19">
        <v>1</v>
      </c>
      <c r="G9" s="14">
        <f t="shared" si="10"/>
        <v>-2682.5</v>
      </c>
      <c r="H9" s="20">
        <f t="shared" si="11"/>
        <v>0.7</v>
      </c>
      <c r="I9" s="20">
        <f t="shared" si="12"/>
        <v>0</v>
      </c>
      <c r="J9" s="28">
        <f t="shared" si="13"/>
        <v>0.3</v>
      </c>
      <c r="K9" s="28"/>
      <c r="L9" s="20">
        <f t="shared" si="14"/>
        <v>-343</v>
      </c>
      <c r="M9" s="20">
        <f t="shared" si="14"/>
        <v>-325</v>
      </c>
      <c r="N9" s="29"/>
      <c r="O9" s="17"/>
      <c r="P9" s="18">
        <f t="shared" si="15"/>
        <v>90</v>
      </c>
      <c r="Q9" s="14">
        <f t="shared" si="3"/>
        <v>5040</v>
      </c>
      <c r="R9" s="34"/>
      <c r="S9" s="18">
        <f>'青岛 - 螺纹'!S9</f>
        <v>4238</v>
      </c>
      <c r="T9" s="18">
        <f t="shared" si="16"/>
        <v>4238</v>
      </c>
      <c r="U9" s="20">
        <f t="shared" si="4"/>
        <v>0</v>
      </c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>
        <v>21</v>
      </c>
      <c r="AH9" s="20">
        <f t="shared" si="17"/>
        <v>50</v>
      </c>
    </row>
    <row r="10" spans="1:34">
      <c r="A10" s="16">
        <f t="shared" si="8"/>
        <v>44508</v>
      </c>
      <c r="B10" s="17">
        <v>5100</v>
      </c>
      <c r="C10" s="18">
        <f t="shared" si="9"/>
        <v>-1879.6499999999999</v>
      </c>
      <c r="D10" s="18">
        <f t="shared" si="1"/>
        <v>3270.3500000000004</v>
      </c>
      <c r="E10" s="18">
        <f t="shared" si="2"/>
        <v>3252.25</v>
      </c>
      <c r="F10" s="19">
        <f>AF9/AG9</f>
        <v>0</v>
      </c>
      <c r="G10" s="14">
        <f t="shared" si="10"/>
        <v>-2692.5</v>
      </c>
      <c r="H10" s="20">
        <f t="shared" si="11"/>
        <v>0.7</v>
      </c>
      <c r="I10" s="20">
        <f t="shared" si="12"/>
        <v>17</v>
      </c>
      <c r="J10" s="28">
        <f t="shared" si="13"/>
        <v>0.3</v>
      </c>
      <c r="K10" s="28"/>
      <c r="L10" s="20">
        <f t="shared" si="14"/>
        <v>-343</v>
      </c>
      <c r="M10" s="20">
        <f t="shared" si="14"/>
        <v>-325</v>
      </c>
      <c r="N10" s="29"/>
      <c r="O10" s="17"/>
      <c r="P10" s="18">
        <f t="shared" si="15"/>
        <v>90</v>
      </c>
      <c r="Q10" s="14">
        <f t="shared" si="3"/>
        <v>5060</v>
      </c>
      <c r="R10" s="34"/>
      <c r="S10" s="18">
        <f>'青岛 - 螺纹'!S10</f>
        <v>4255</v>
      </c>
      <c r="T10" s="18">
        <f t="shared" si="16"/>
        <v>4238</v>
      </c>
      <c r="U10" s="20">
        <f t="shared" si="4"/>
        <v>17</v>
      </c>
      <c r="V10" s="30"/>
      <c r="W10" s="30"/>
      <c r="X10" s="30"/>
      <c r="Y10" s="30"/>
      <c r="Z10" s="30"/>
      <c r="AA10" s="30"/>
      <c r="AB10" s="30"/>
      <c r="AC10" s="30"/>
      <c r="AD10" s="30"/>
      <c r="AE10" s="30">
        <v>1.2</v>
      </c>
      <c r="AF10" s="30">
        <v>1.2</v>
      </c>
      <c r="AG10" s="17">
        <f>18.9/6</f>
        <v>3.15</v>
      </c>
      <c r="AH10" s="20">
        <f t="shared" si="17"/>
        <v>50</v>
      </c>
    </row>
    <row r="11" spans="1:34">
      <c r="A11" s="16">
        <f t="shared" si="8"/>
        <v>44509</v>
      </c>
      <c r="B11" s="17"/>
      <c r="C11" s="18">
        <f t="shared" si="9"/>
        <v>-1867.2499999999998</v>
      </c>
      <c r="D11" s="18">
        <f t="shared" si="1"/>
        <v>3232.75</v>
      </c>
      <c r="E11" s="18">
        <f t="shared" si="2"/>
        <v>3270.3500000000004</v>
      </c>
      <c r="F11" s="19">
        <f>AF10/AG10</f>
        <v>0.38095238095238093</v>
      </c>
      <c r="G11" s="14">
        <f t="shared" si="10"/>
        <v>-2667.5</v>
      </c>
      <c r="H11" s="20">
        <f t="shared" si="11"/>
        <v>0.7</v>
      </c>
      <c r="I11" s="20">
        <f t="shared" si="12"/>
        <v>0</v>
      </c>
      <c r="J11" s="28">
        <f t="shared" si="13"/>
        <v>0.3</v>
      </c>
      <c r="K11" s="28"/>
      <c r="L11" s="20">
        <f t="shared" si="14"/>
        <v>-343</v>
      </c>
      <c r="M11" s="20">
        <f t="shared" si="14"/>
        <v>-325</v>
      </c>
      <c r="N11" s="29"/>
      <c r="O11" s="17"/>
      <c r="P11" s="18">
        <f t="shared" si="15"/>
        <v>90</v>
      </c>
      <c r="Q11" s="14">
        <f t="shared" si="3"/>
        <v>5010</v>
      </c>
      <c r="R11" s="34"/>
      <c r="S11" s="18">
        <f>'青岛 - 螺纹'!S11</f>
        <v>4255</v>
      </c>
      <c r="T11" s="18">
        <f t="shared" si="16"/>
        <v>4255</v>
      </c>
      <c r="U11" s="20">
        <f t="shared" si="4"/>
        <v>0</v>
      </c>
      <c r="V11" s="30"/>
      <c r="W11" s="30"/>
      <c r="X11" s="30"/>
      <c r="Y11" s="30"/>
      <c r="Z11" s="30"/>
      <c r="AA11" s="30"/>
      <c r="AB11" s="30"/>
      <c r="AC11" s="30"/>
      <c r="AD11" s="30"/>
      <c r="AE11" s="30">
        <f>AF11-AF10</f>
        <v>1.0000000000000002</v>
      </c>
      <c r="AF11" s="30">
        <v>2.2000000000000002</v>
      </c>
      <c r="AG11" s="17">
        <f>18.9/6*2</f>
        <v>6.3</v>
      </c>
      <c r="AH11" s="20">
        <f t="shared" si="17"/>
        <v>50</v>
      </c>
    </row>
    <row r="12" spans="1:34">
      <c r="A12" s="16">
        <f t="shared" si="8"/>
        <v>44510</v>
      </c>
      <c r="B12" s="17"/>
      <c r="C12" s="18">
        <f t="shared" si="9"/>
        <v>-71.75</v>
      </c>
      <c r="D12" s="18">
        <f t="shared" si="1"/>
        <v>-71.75</v>
      </c>
      <c r="E12" s="18">
        <f t="shared" si="2"/>
        <v>3232.75</v>
      </c>
      <c r="F12" s="19">
        <f>AF11/AG11</f>
        <v>0.34920634920634924</v>
      </c>
      <c r="G12" s="14">
        <f t="shared" si="10"/>
        <v>-117.5</v>
      </c>
      <c r="H12" s="20">
        <f t="shared" si="11"/>
        <v>0.7</v>
      </c>
      <c r="I12" s="20">
        <f t="shared" si="12"/>
        <v>35</v>
      </c>
      <c r="J12" s="28">
        <f t="shared" si="13"/>
        <v>0.3</v>
      </c>
      <c r="K12" s="28"/>
      <c r="L12" s="20">
        <f t="shared" si="14"/>
        <v>-343</v>
      </c>
      <c r="M12" s="20">
        <f t="shared" si="14"/>
        <v>-325</v>
      </c>
      <c r="N12" s="29"/>
      <c r="O12" s="17"/>
      <c r="P12" s="18">
        <f t="shared" si="15"/>
        <v>90</v>
      </c>
      <c r="Q12" s="14">
        <f t="shared" si="3"/>
        <v>-90</v>
      </c>
      <c r="R12" s="34"/>
      <c r="S12" s="18">
        <f>'青岛 - 螺纹'!S12</f>
        <v>4290</v>
      </c>
      <c r="T12" s="18">
        <f t="shared" si="16"/>
        <v>4255</v>
      </c>
      <c r="U12" s="20">
        <f t="shared" si="4"/>
        <v>35</v>
      </c>
      <c r="V12" s="30"/>
      <c r="W12" s="30"/>
      <c r="X12" s="30"/>
      <c r="Y12" s="30"/>
      <c r="Z12" s="30"/>
      <c r="AA12" s="30"/>
      <c r="AB12" s="30"/>
      <c r="AC12" s="30"/>
      <c r="AD12" s="30"/>
      <c r="AE12" s="30">
        <f t="shared" ref="AE12:AE15" si="20">AF12-AF11</f>
        <v>1.6999999999999997</v>
      </c>
      <c r="AF12" s="30">
        <v>3.9</v>
      </c>
      <c r="AG12" s="17">
        <f>18.9/6*3</f>
        <v>9.4499999999999993</v>
      </c>
      <c r="AH12" s="20">
        <f t="shared" si="17"/>
        <v>50</v>
      </c>
    </row>
    <row r="13" spans="1:34">
      <c r="A13" s="16">
        <f t="shared" si="8"/>
        <v>44511</v>
      </c>
      <c r="B13" s="17"/>
      <c r="C13" s="18">
        <f t="shared" si="9"/>
        <v>-103.55</v>
      </c>
      <c r="D13" s="18">
        <f t="shared" si="1"/>
        <v>-103.55</v>
      </c>
      <c r="E13" s="18">
        <f t="shared" si="2"/>
        <v>-71.75</v>
      </c>
      <c r="F13" s="19">
        <f>AF12/AG12</f>
        <v>0.41269841269841273</v>
      </c>
      <c r="G13" s="14">
        <f t="shared" si="10"/>
        <v>-117.5</v>
      </c>
      <c r="H13" s="20">
        <f t="shared" si="11"/>
        <v>0.7</v>
      </c>
      <c r="I13" s="20">
        <f t="shared" si="12"/>
        <v>-71</v>
      </c>
      <c r="J13" s="28">
        <f t="shared" si="13"/>
        <v>0.3</v>
      </c>
      <c r="K13" s="28"/>
      <c r="L13" s="20">
        <f t="shared" si="14"/>
        <v>-343</v>
      </c>
      <c r="M13" s="20">
        <f t="shared" si="14"/>
        <v>-325</v>
      </c>
      <c r="N13" s="29"/>
      <c r="O13" s="17"/>
      <c r="P13" s="18">
        <f t="shared" si="15"/>
        <v>90</v>
      </c>
      <c r="Q13" s="14">
        <f t="shared" si="3"/>
        <v>-90</v>
      </c>
      <c r="R13" s="34"/>
      <c r="S13" s="18">
        <f>'青岛 - 螺纹'!S13</f>
        <v>4219</v>
      </c>
      <c r="T13" s="18">
        <f t="shared" si="16"/>
        <v>4290</v>
      </c>
      <c r="U13" s="20">
        <f t="shared" si="4"/>
        <v>-71</v>
      </c>
      <c r="V13" s="30"/>
      <c r="W13" s="30"/>
      <c r="X13" s="30"/>
      <c r="Y13" s="30"/>
      <c r="Z13" s="30"/>
      <c r="AA13" s="30"/>
      <c r="AB13" s="30"/>
      <c r="AC13" s="30"/>
      <c r="AD13" s="30"/>
      <c r="AE13" s="30">
        <f t="shared" si="20"/>
        <v>7.1999999999999993</v>
      </c>
      <c r="AF13" s="30">
        <v>11.1</v>
      </c>
      <c r="AG13" s="17">
        <f>18.9/6*4</f>
        <v>12.6</v>
      </c>
      <c r="AH13" s="20">
        <f t="shared" si="17"/>
        <v>50</v>
      </c>
    </row>
    <row r="14" spans="1:34">
      <c r="A14" s="16">
        <f t="shared" si="8"/>
        <v>44512</v>
      </c>
      <c r="B14" s="17"/>
      <c r="C14" s="18">
        <f t="shared" si="9"/>
        <v>-20.450000000000003</v>
      </c>
      <c r="D14" s="18">
        <f t="shared" si="1"/>
        <v>-20.450000000000003</v>
      </c>
      <c r="E14" s="18">
        <f t="shared" si="2"/>
        <v>-103.55</v>
      </c>
      <c r="F14" s="19">
        <f>AF13/AG13</f>
        <v>0.88095238095238093</v>
      </c>
      <c r="G14" s="14">
        <f t="shared" si="10"/>
        <v>-117.5</v>
      </c>
      <c r="H14" s="20">
        <f t="shared" si="11"/>
        <v>0.7</v>
      </c>
      <c r="I14" s="20">
        <f t="shared" si="12"/>
        <v>206</v>
      </c>
      <c r="J14" s="28">
        <f t="shared" si="13"/>
        <v>0.3</v>
      </c>
      <c r="K14" s="28"/>
      <c r="L14" s="20">
        <f t="shared" si="14"/>
        <v>-343</v>
      </c>
      <c r="M14" s="20">
        <f t="shared" si="14"/>
        <v>-325</v>
      </c>
      <c r="N14" s="29"/>
      <c r="O14" s="17"/>
      <c r="P14" s="18">
        <f t="shared" si="15"/>
        <v>90</v>
      </c>
      <c r="Q14" s="14">
        <f t="shared" si="3"/>
        <v>-90</v>
      </c>
      <c r="R14" s="30"/>
      <c r="S14" s="18">
        <f>'青岛 - 螺纹'!S14</f>
        <v>4425</v>
      </c>
      <c r="T14" s="18">
        <f t="shared" si="16"/>
        <v>4219</v>
      </c>
      <c r="U14" s="20">
        <f t="shared" si="4"/>
        <v>206</v>
      </c>
      <c r="V14" s="30"/>
      <c r="W14" s="30"/>
      <c r="X14" s="30"/>
      <c r="Y14" s="30"/>
      <c r="Z14" s="30"/>
      <c r="AA14" s="30"/>
      <c r="AB14" s="30"/>
      <c r="AC14" s="30"/>
      <c r="AD14" s="30"/>
      <c r="AE14" s="30">
        <f t="shared" si="20"/>
        <v>-11.1</v>
      </c>
      <c r="AF14" s="30"/>
      <c r="AG14" s="17">
        <f>18.9/6*5</f>
        <v>15.75</v>
      </c>
      <c r="AH14" s="20"/>
    </row>
    <row r="15" spans="1:34">
      <c r="A15" s="16">
        <f t="shared" si="8"/>
        <v>44513</v>
      </c>
      <c r="B15" s="17"/>
      <c r="C15" s="18">
        <f t="shared" si="9"/>
        <v>-82.25</v>
      </c>
      <c r="D15" s="18">
        <f t="shared" si="1"/>
        <v>-82.25</v>
      </c>
      <c r="E15" s="18">
        <f t="shared" si="2"/>
        <v>-20.450000000000003</v>
      </c>
      <c r="F15" s="19">
        <f t="shared" ref="F15:F21" si="21">AF14/AG14</f>
        <v>0</v>
      </c>
      <c r="G15" s="14">
        <f t="shared" si="10"/>
        <v>-117.5</v>
      </c>
      <c r="H15" s="20">
        <f t="shared" si="11"/>
        <v>0.7</v>
      </c>
      <c r="I15" s="20">
        <f t="shared" si="12"/>
        <v>0</v>
      </c>
      <c r="J15" s="28">
        <f t="shared" si="13"/>
        <v>0.3</v>
      </c>
      <c r="K15" s="28"/>
      <c r="L15" s="20">
        <f t="shared" si="14"/>
        <v>-343</v>
      </c>
      <c r="M15" s="20">
        <f t="shared" si="14"/>
        <v>-325</v>
      </c>
      <c r="N15" s="29"/>
      <c r="O15" s="17"/>
      <c r="P15" s="18">
        <f t="shared" si="15"/>
        <v>90</v>
      </c>
      <c r="Q15" s="14">
        <f t="shared" si="3"/>
        <v>-90</v>
      </c>
      <c r="R15" s="30"/>
      <c r="S15" s="18">
        <f>'青岛 - 螺纹'!S15</f>
        <v>0</v>
      </c>
      <c r="T15" s="18">
        <f t="shared" si="16"/>
        <v>4425</v>
      </c>
      <c r="U15" s="20"/>
      <c r="V15" s="30"/>
      <c r="W15" s="30"/>
      <c r="X15" s="30"/>
      <c r="Y15" s="30"/>
      <c r="Z15" s="30"/>
      <c r="AA15" s="30"/>
      <c r="AB15" s="30"/>
      <c r="AC15" s="30"/>
      <c r="AD15" s="30"/>
      <c r="AE15" s="30">
        <f t="shared" si="20"/>
        <v>0</v>
      </c>
      <c r="AF15" s="30"/>
      <c r="AG15" s="17">
        <f>18.9/6*5.5</f>
        <v>17.324999999999999</v>
      </c>
      <c r="AH15" s="20"/>
    </row>
    <row r="16" spans="1:34">
      <c r="A16" s="16">
        <f t="shared" si="8"/>
        <v>44514</v>
      </c>
      <c r="B16" s="17"/>
      <c r="C16" s="18">
        <f t="shared" si="9"/>
        <v>-82.25</v>
      </c>
      <c r="D16" s="18">
        <f t="shared" si="1"/>
        <v>-82.25</v>
      </c>
      <c r="E16" s="18">
        <f t="shared" si="2"/>
        <v>-82.25</v>
      </c>
      <c r="F16" s="19">
        <f t="shared" si="21"/>
        <v>0</v>
      </c>
      <c r="G16" s="14">
        <f t="shared" si="10"/>
        <v>-117.5</v>
      </c>
      <c r="H16" s="20">
        <f t="shared" si="11"/>
        <v>0.7</v>
      </c>
      <c r="I16" s="20">
        <f t="shared" si="12"/>
        <v>0</v>
      </c>
      <c r="J16" s="28">
        <f t="shared" si="13"/>
        <v>0.3</v>
      </c>
      <c r="K16" s="28"/>
      <c r="L16" s="20">
        <f t="shared" si="14"/>
        <v>-343</v>
      </c>
      <c r="M16" s="20">
        <f t="shared" si="14"/>
        <v>-325</v>
      </c>
      <c r="N16" s="29"/>
      <c r="O16" s="17">
        <f>4700+350</f>
        <v>5050</v>
      </c>
      <c r="P16" s="18">
        <f t="shared" si="15"/>
        <v>90</v>
      </c>
      <c r="Q16" s="14">
        <f t="shared" si="3"/>
        <v>-90</v>
      </c>
      <c r="R16" s="30"/>
      <c r="S16" s="18">
        <f>'青岛 - 螺纹'!S16</f>
        <v>4425</v>
      </c>
      <c r="T16" s="18">
        <f t="shared" si="16"/>
        <v>0</v>
      </c>
      <c r="U16" s="2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17">
        <f>18.9/6*6</f>
        <v>18.899999999999999</v>
      </c>
      <c r="AH16" s="20"/>
    </row>
    <row r="17" spans="1:34">
      <c r="A17" s="16">
        <f t="shared" si="8"/>
        <v>44515</v>
      </c>
      <c r="B17" s="17">
        <v>4870</v>
      </c>
      <c r="C17" s="18">
        <f t="shared" si="9"/>
        <v>1678.9499999999998</v>
      </c>
      <c r="D17" s="18">
        <f t="shared" si="1"/>
        <v>1678.9499999999998</v>
      </c>
      <c r="E17" s="18">
        <f t="shared" si="2"/>
        <v>-82.25</v>
      </c>
      <c r="F17" s="19">
        <f t="shared" si="21"/>
        <v>0</v>
      </c>
      <c r="G17" s="14">
        <f t="shared" si="10"/>
        <v>2398.5</v>
      </c>
      <c r="H17" s="20">
        <f t="shared" si="11"/>
        <v>0.7</v>
      </c>
      <c r="I17" s="20">
        <f t="shared" si="12"/>
        <v>0</v>
      </c>
      <c r="J17" s="28">
        <f t="shared" si="13"/>
        <v>0.3</v>
      </c>
      <c r="K17" s="28"/>
      <c r="L17" s="20">
        <f t="shared" si="14"/>
        <v>-343</v>
      </c>
      <c r="M17" s="20">
        <f t="shared" si="14"/>
        <v>-325</v>
      </c>
      <c r="N17" s="29"/>
      <c r="O17" s="17">
        <v>5010</v>
      </c>
      <c r="P17" s="18">
        <f t="shared" si="15"/>
        <v>90</v>
      </c>
      <c r="Q17" s="14">
        <f t="shared" si="3"/>
        <v>-5140</v>
      </c>
      <c r="R17" s="30"/>
      <c r="S17" s="18">
        <f>'青岛 - 螺纹'!S17</f>
        <v>4195</v>
      </c>
      <c r="T17" s="18">
        <f t="shared" si="16"/>
        <v>4425</v>
      </c>
      <c r="U17" s="2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20"/>
    </row>
    <row r="18" spans="1:34">
      <c r="A18" s="16">
        <f t="shared" si="8"/>
        <v>44516</v>
      </c>
      <c r="B18" s="17">
        <f>5050-180</f>
        <v>4870</v>
      </c>
      <c r="C18" s="18">
        <f t="shared" si="9"/>
        <v>-33.25</v>
      </c>
      <c r="D18" s="18">
        <f t="shared" si="1"/>
        <v>4836.75</v>
      </c>
      <c r="E18" s="18">
        <f t="shared" si="2"/>
        <v>1678.9499999999998</v>
      </c>
      <c r="F18" s="19" t="e">
        <f t="shared" si="21"/>
        <v>#DIV/0!</v>
      </c>
      <c r="G18" s="14">
        <f t="shared" si="10"/>
        <v>-47.5</v>
      </c>
      <c r="H18" s="20">
        <f t="shared" si="11"/>
        <v>0.7</v>
      </c>
      <c r="I18" s="20">
        <f t="shared" si="12"/>
        <v>0</v>
      </c>
      <c r="J18" s="28">
        <f t="shared" si="13"/>
        <v>0.3</v>
      </c>
      <c r="K18" s="28"/>
      <c r="L18" s="20">
        <f t="shared" si="14"/>
        <v>-343</v>
      </c>
      <c r="M18" s="20">
        <f t="shared" si="14"/>
        <v>-325</v>
      </c>
      <c r="N18" s="29"/>
      <c r="O18" s="17">
        <v>5010</v>
      </c>
      <c r="P18" s="18">
        <f t="shared" si="15"/>
        <v>90</v>
      </c>
      <c r="Q18" s="14">
        <f t="shared" si="3"/>
        <v>-230</v>
      </c>
      <c r="R18" s="34">
        <f>O18-O17</f>
        <v>0</v>
      </c>
      <c r="S18" s="18">
        <f>'青岛 - 螺纹'!S18</f>
        <v>4153</v>
      </c>
      <c r="T18" s="18">
        <f t="shared" si="16"/>
        <v>4195</v>
      </c>
      <c r="U18" s="2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20"/>
    </row>
    <row r="19" spans="1:34">
      <c r="A19" s="16">
        <f t="shared" si="8"/>
        <v>44517</v>
      </c>
      <c r="B19" s="17">
        <v>4870</v>
      </c>
      <c r="C19" s="18">
        <f t="shared" si="9"/>
        <v>-33.25</v>
      </c>
      <c r="D19" s="18">
        <f t="shared" si="1"/>
        <v>4836.75</v>
      </c>
      <c r="E19" s="18">
        <f t="shared" si="2"/>
        <v>4836.75</v>
      </c>
      <c r="F19" s="19" t="e">
        <f t="shared" si="21"/>
        <v>#DIV/0!</v>
      </c>
      <c r="G19" s="14">
        <f t="shared" si="10"/>
        <v>-47.5</v>
      </c>
      <c r="H19" s="20">
        <f t="shared" si="11"/>
        <v>0.7</v>
      </c>
      <c r="I19" s="20">
        <f t="shared" si="12"/>
        <v>0</v>
      </c>
      <c r="J19" s="28">
        <f t="shared" si="13"/>
        <v>0.3</v>
      </c>
      <c r="K19" s="28"/>
      <c r="L19" s="20">
        <f t="shared" si="14"/>
        <v>-343</v>
      </c>
      <c r="M19" s="20">
        <f t="shared" si="14"/>
        <v>-325</v>
      </c>
      <c r="N19" s="29"/>
      <c r="O19" s="17">
        <v>5010</v>
      </c>
      <c r="P19" s="18">
        <f t="shared" si="15"/>
        <v>90</v>
      </c>
      <c r="Q19" s="14">
        <f t="shared" si="3"/>
        <v>-230</v>
      </c>
      <c r="R19" s="34">
        <f t="shared" ref="R19:R21" si="22">O19-O18</f>
        <v>0</v>
      </c>
      <c r="S19" s="18">
        <f>'青岛 - 螺纹'!S19</f>
        <v>4148</v>
      </c>
      <c r="T19" s="18">
        <f t="shared" si="16"/>
        <v>4153</v>
      </c>
      <c r="U19" s="2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20"/>
    </row>
    <row r="20" spans="1:34">
      <c r="A20" s="16">
        <f t="shared" si="8"/>
        <v>44518</v>
      </c>
      <c r="B20" s="17">
        <v>4840</v>
      </c>
      <c r="C20" s="18">
        <f t="shared" si="9"/>
        <v>-33.25</v>
      </c>
      <c r="D20" s="18">
        <f t="shared" si="1"/>
        <v>4836.75</v>
      </c>
      <c r="E20" s="18">
        <f t="shared" si="2"/>
        <v>4836.75</v>
      </c>
      <c r="F20" s="19" t="e">
        <f t="shared" si="21"/>
        <v>#DIV/0!</v>
      </c>
      <c r="G20" s="14">
        <f t="shared" si="10"/>
        <v>-47.5</v>
      </c>
      <c r="H20" s="20">
        <f t="shared" si="11"/>
        <v>0.7</v>
      </c>
      <c r="I20" s="20">
        <f t="shared" si="12"/>
        <v>0</v>
      </c>
      <c r="J20" s="28">
        <f t="shared" si="13"/>
        <v>0.3</v>
      </c>
      <c r="K20" s="28"/>
      <c r="L20" s="20">
        <f t="shared" si="14"/>
        <v>-343</v>
      </c>
      <c r="M20" s="20">
        <f t="shared" si="14"/>
        <v>-325</v>
      </c>
      <c r="N20" s="29"/>
      <c r="O20" s="17">
        <v>5010</v>
      </c>
      <c r="P20" s="18">
        <f t="shared" si="15"/>
        <v>90</v>
      </c>
      <c r="Q20" s="14">
        <f t="shared" si="3"/>
        <v>-230</v>
      </c>
      <c r="R20" s="34">
        <f t="shared" si="22"/>
        <v>0</v>
      </c>
      <c r="S20" s="18">
        <f>'青岛 - 螺纹'!S20</f>
        <v>4216</v>
      </c>
      <c r="T20" s="18">
        <f t="shared" si="16"/>
        <v>4148</v>
      </c>
      <c r="U20" s="2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20"/>
    </row>
    <row r="21" spans="1:34">
      <c r="A21" s="16">
        <f t="shared" si="8"/>
        <v>44519</v>
      </c>
      <c r="B21" s="21">
        <v>4840</v>
      </c>
      <c r="C21" s="18">
        <f t="shared" si="9"/>
        <v>-22.75</v>
      </c>
      <c r="D21" s="18">
        <f t="shared" si="1"/>
        <v>4817.25</v>
      </c>
      <c r="E21" s="18">
        <f t="shared" si="2"/>
        <v>4836.75</v>
      </c>
      <c r="F21" s="19" t="e">
        <f t="shared" si="21"/>
        <v>#DIV/0!</v>
      </c>
      <c r="G21" s="14">
        <f t="shared" si="10"/>
        <v>-32.5</v>
      </c>
      <c r="H21" s="20">
        <f t="shared" si="11"/>
        <v>0.7</v>
      </c>
      <c r="I21" s="20">
        <f t="shared" si="12"/>
        <v>0</v>
      </c>
      <c r="J21" s="28">
        <f t="shared" si="13"/>
        <v>0.3</v>
      </c>
      <c r="K21" s="28"/>
      <c r="L21" s="20">
        <f t="shared" ref="L21:M21" si="23">L20</f>
        <v>-343</v>
      </c>
      <c r="M21" s="20">
        <f t="shared" si="23"/>
        <v>-325</v>
      </c>
      <c r="N21" s="29"/>
      <c r="O21" s="17">
        <v>5010</v>
      </c>
      <c r="P21" s="18">
        <f t="shared" si="15"/>
        <v>90</v>
      </c>
      <c r="Q21" s="14">
        <f t="shared" si="3"/>
        <v>-260</v>
      </c>
      <c r="R21" s="34">
        <f t="shared" si="22"/>
        <v>0</v>
      </c>
      <c r="S21" s="18">
        <f>'青岛 - 螺纹'!S21</f>
        <v>4160</v>
      </c>
      <c r="T21" s="18">
        <f t="shared" si="16"/>
        <v>4216</v>
      </c>
      <c r="U21" s="2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20"/>
    </row>
    <row r="22" spans="1:34">
      <c r="A22" s="16">
        <f t="shared" si="8"/>
        <v>44520</v>
      </c>
      <c r="B22" s="21">
        <v>4870</v>
      </c>
      <c r="C22" s="18">
        <f t="shared" ref="C22:C29" si="24">H22*G22+J22*I22+K22</f>
        <v>-22.75</v>
      </c>
      <c r="D22" s="18">
        <f t="shared" ref="D22:D29" si="25">B21+C22</f>
        <v>4817.25</v>
      </c>
      <c r="E22" s="18">
        <f t="shared" ref="E22:E29" si="26">D21</f>
        <v>4817.25</v>
      </c>
      <c r="F22" s="19" t="e">
        <f t="shared" ref="F22:F29" si="27">AF21/AG21</f>
        <v>#DIV/0!</v>
      </c>
      <c r="G22" s="14">
        <f t="shared" ref="G22:G29" si="28">IF((Q22-L22)&lt;0,-(Q22-L22)/2,IF((Q22-L22)&gt;0,-(Q22-M22)/2,0))+R22</f>
        <v>-32.5</v>
      </c>
      <c r="H22" s="20">
        <f t="shared" si="11"/>
        <v>0.7</v>
      </c>
      <c r="I22" s="20">
        <f t="shared" ref="I22:I29" si="29">U22</f>
        <v>0</v>
      </c>
      <c r="J22" s="28">
        <f t="shared" si="13"/>
        <v>0.3</v>
      </c>
      <c r="K22" s="28"/>
      <c r="L22" s="20">
        <f t="shared" ref="L22:M22" si="30">L21</f>
        <v>-343</v>
      </c>
      <c r="M22" s="20">
        <f t="shared" si="30"/>
        <v>-325</v>
      </c>
      <c r="N22" s="29"/>
      <c r="O22" s="17">
        <v>5010</v>
      </c>
      <c r="P22" s="18">
        <f t="shared" si="15"/>
        <v>90</v>
      </c>
      <c r="Q22" s="14">
        <f t="shared" ref="Q22:Q29" si="31">B21-(O21+P21)</f>
        <v>-260</v>
      </c>
      <c r="R22" s="34">
        <f t="shared" ref="R22:R29" si="32">O22-O21</f>
        <v>0</v>
      </c>
      <c r="S22" s="18">
        <f>'青岛 - 螺纹'!S22</f>
        <v>4160</v>
      </c>
      <c r="T22" s="18">
        <f t="shared" ref="T22:T29" si="33">S21</f>
        <v>4160</v>
      </c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</row>
    <row r="23" spans="1:34">
      <c r="A23" s="16">
        <f t="shared" si="8"/>
        <v>44521</v>
      </c>
      <c r="B23" s="21">
        <v>4870</v>
      </c>
      <c r="C23" s="18">
        <f t="shared" si="24"/>
        <v>-5.25</v>
      </c>
      <c r="D23" s="18">
        <f t="shared" si="25"/>
        <v>4864.75</v>
      </c>
      <c r="E23" s="18">
        <f t="shared" si="26"/>
        <v>4817.25</v>
      </c>
      <c r="F23" s="19" t="e">
        <f t="shared" si="27"/>
        <v>#DIV/0!</v>
      </c>
      <c r="G23" s="14">
        <f t="shared" si="28"/>
        <v>-7.5</v>
      </c>
      <c r="H23" s="20">
        <f t="shared" si="11"/>
        <v>0.7</v>
      </c>
      <c r="I23" s="20">
        <f t="shared" si="29"/>
        <v>0</v>
      </c>
      <c r="J23" s="28">
        <f t="shared" si="13"/>
        <v>0.3</v>
      </c>
      <c r="K23" s="28"/>
      <c r="L23" s="20">
        <f t="shared" ref="L23:M23" si="34">L22</f>
        <v>-343</v>
      </c>
      <c r="M23" s="20">
        <f t="shared" si="34"/>
        <v>-325</v>
      </c>
      <c r="N23" s="29"/>
      <c r="O23" s="17">
        <v>5050</v>
      </c>
      <c r="P23" s="18">
        <f t="shared" si="15"/>
        <v>90</v>
      </c>
      <c r="Q23" s="14">
        <f t="shared" si="31"/>
        <v>-230</v>
      </c>
      <c r="R23" s="34">
        <f t="shared" si="32"/>
        <v>40</v>
      </c>
      <c r="S23" s="18">
        <f>'青岛 - 螺纹'!S23</f>
        <v>4160</v>
      </c>
      <c r="T23" s="18">
        <f t="shared" si="33"/>
        <v>4160</v>
      </c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spans="1:34">
      <c r="A24" s="16">
        <f t="shared" si="8"/>
        <v>44522</v>
      </c>
      <c r="B24" s="17">
        <v>4870</v>
      </c>
      <c r="C24" s="18">
        <f t="shared" si="24"/>
        <v>-19.25</v>
      </c>
      <c r="D24" s="18">
        <f t="shared" si="25"/>
        <v>4850.75</v>
      </c>
      <c r="E24" s="18">
        <f t="shared" si="26"/>
        <v>4864.75</v>
      </c>
      <c r="F24" s="19" t="e">
        <f t="shared" si="27"/>
        <v>#DIV/0!</v>
      </c>
      <c r="G24" s="14">
        <f t="shared" si="28"/>
        <v>-27.5</v>
      </c>
      <c r="H24" s="20">
        <f t="shared" si="11"/>
        <v>0.7</v>
      </c>
      <c r="I24" s="20">
        <f t="shared" si="29"/>
        <v>0</v>
      </c>
      <c r="J24" s="28">
        <f t="shared" si="13"/>
        <v>0.3</v>
      </c>
      <c r="K24" s="28"/>
      <c r="L24" s="20">
        <f t="shared" ref="L24:M24" si="35">L23</f>
        <v>-343</v>
      </c>
      <c r="M24" s="20">
        <f t="shared" si="35"/>
        <v>-325</v>
      </c>
      <c r="N24" s="29"/>
      <c r="O24" s="17">
        <v>5050</v>
      </c>
      <c r="P24" s="18">
        <f t="shared" si="15"/>
        <v>90</v>
      </c>
      <c r="Q24" s="14">
        <f t="shared" si="31"/>
        <v>-270</v>
      </c>
      <c r="R24" s="34">
        <f t="shared" si="32"/>
        <v>0</v>
      </c>
      <c r="S24" s="18">
        <f>'青岛 - 螺纹'!S24</f>
        <v>4250</v>
      </c>
      <c r="T24" s="18">
        <f t="shared" si="33"/>
        <v>4160</v>
      </c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</row>
    <row r="25" spans="1:34">
      <c r="A25" s="16">
        <f t="shared" si="8"/>
        <v>44523</v>
      </c>
      <c r="B25" s="17"/>
      <c r="C25" s="18">
        <f t="shared" si="24"/>
        <v>-19.25</v>
      </c>
      <c r="D25" s="18">
        <f t="shared" si="25"/>
        <v>4850.75</v>
      </c>
      <c r="E25" s="18">
        <f t="shared" si="26"/>
        <v>4850.75</v>
      </c>
      <c r="F25" s="19" t="e">
        <f t="shared" si="27"/>
        <v>#DIV/0!</v>
      </c>
      <c r="G25" s="14">
        <f t="shared" si="28"/>
        <v>-27.5</v>
      </c>
      <c r="H25" s="20">
        <f t="shared" si="11"/>
        <v>0.7</v>
      </c>
      <c r="I25" s="20">
        <f t="shared" si="29"/>
        <v>0</v>
      </c>
      <c r="J25" s="28">
        <f t="shared" si="13"/>
        <v>0.3</v>
      </c>
      <c r="K25" s="28"/>
      <c r="L25" s="20">
        <f t="shared" ref="L25:M25" si="36">L24</f>
        <v>-343</v>
      </c>
      <c r="M25" s="20">
        <f t="shared" si="36"/>
        <v>-325</v>
      </c>
      <c r="N25" s="29"/>
      <c r="O25" s="17">
        <v>5050</v>
      </c>
      <c r="P25" s="18">
        <f t="shared" si="15"/>
        <v>90</v>
      </c>
      <c r="Q25" s="14">
        <f t="shared" si="31"/>
        <v>-270</v>
      </c>
      <c r="R25" s="34">
        <f t="shared" si="32"/>
        <v>0</v>
      </c>
      <c r="S25" s="18">
        <f>'青岛 - 螺纹'!S25</f>
        <v>4300</v>
      </c>
      <c r="T25" s="18">
        <f t="shared" si="33"/>
        <v>4250</v>
      </c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</row>
    <row r="26" spans="1:34">
      <c r="A26" s="16">
        <f t="shared" si="8"/>
        <v>44524</v>
      </c>
      <c r="B26" s="17"/>
      <c r="C26" s="18">
        <f t="shared" si="24"/>
        <v>-1856.05</v>
      </c>
      <c r="D26" s="18">
        <f t="shared" si="25"/>
        <v>-1856.05</v>
      </c>
      <c r="E26" s="18">
        <f t="shared" si="26"/>
        <v>4850.75</v>
      </c>
      <c r="F26" s="19" t="e">
        <f t="shared" si="27"/>
        <v>#DIV/0!</v>
      </c>
      <c r="G26" s="14">
        <f t="shared" si="28"/>
        <v>-2651.5</v>
      </c>
      <c r="H26" s="20">
        <f t="shared" si="11"/>
        <v>0.7</v>
      </c>
      <c r="I26" s="20">
        <f t="shared" si="29"/>
        <v>0</v>
      </c>
      <c r="J26" s="28">
        <f t="shared" si="13"/>
        <v>0.3</v>
      </c>
      <c r="K26" s="28"/>
      <c r="L26" s="20">
        <f t="shared" ref="L26:M26" si="37">L25</f>
        <v>-343</v>
      </c>
      <c r="M26" s="20">
        <f t="shared" si="37"/>
        <v>-325</v>
      </c>
      <c r="N26" s="29"/>
      <c r="O26" s="17"/>
      <c r="P26" s="18">
        <f t="shared" si="15"/>
        <v>90</v>
      </c>
      <c r="Q26" s="14">
        <f t="shared" si="31"/>
        <v>-5140</v>
      </c>
      <c r="R26" s="34">
        <f t="shared" si="32"/>
        <v>-5050</v>
      </c>
      <c r="S26" s="18">
        <f>'青岛 - 螺纹'!S26</f>
        <v>4315</v>
      </c>
      <c r="T26" s="18">
        <f t="shared" si="33"/>
        <v>4300</v>
      </c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</row>
    <row r="27" spans="1:34">
      <c r="A27" s="16">
        <f t="shared" si="8"/>
        <v>44525</v>
      </c>
      <c r="B27" s="17"/>
      <c r="C27" s="18">
        <f t="shared" si="24"/>
        <v>-82.25</v>
      </c>
      <c r="D27" s="18">
        <f t="shared" si="25"/>
        <v>-82.25</v>
      </c>
      <c r="E27" s="18">
        <f t="shared" si="26"/>
        <v>-1856.05</v>
      </c>
      <c r="F27" s="19" t="e">
        <f t="shared" si="27"/>
        <v>#DIV/0!</v>
      </c>
      <c r="G27" s="14">
        <f t="shared" si="28"/>
        <v>-117.5</v>
      </c>
      <c r="H27" s="20">
        <f t="shared" si="11"/>
        <v>0.7</v>
      </c>
      <c r="I27" s="20">
        <f t="shared" si="29"/>
        <v>0</v>
      </c>
      <c r="J27" s="28">
        <f t="shared" si="13"/>
        <v>0.3</v>
      </c>
      <c r="K27" s="28"/>
      <c r="L27" s="20">
        <f t="shared" ref="L27:M27" si="38">L26</f>
        <v>-343</v>
      </c>
      <c r="M27" s="20">
        <f t="shared" si="38"/>
        <v>-325</v>
      </c>
      <c r="N27" s="29"/>
      <c r="O27" s="17"/>
      <c r="P27" s="18">
        <f t="shared" si="15"/>
        <v>90</v>
      </c>
      <c r="Q27" s="14">
        <f t="shared" si="31"/>
        <v>-90</v>
      </c>
      <c r="R27" s="34">
        <f t="shared" si="32"/>
        <v>0</v>
      </c>
      <c r="S27" s="18">
        <f>'青岛 - 螺纹'!S27</f>
        <v>4475</v>
      </c>
      <c r="T27" s="18">
        <f t="shared" si="33"/>
        <v>4315</v>
      </c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</row>
    <row r="28" spans="1:34">
      <c r="A28" s="16">
        <f t="shared" si="8"/>
        <v>44526</v>
      </c>
      <c r="B28" s="17"/>
      <c r="C28" s="18">
        <f t="shared" si="24"/>
        <v>-82.25</v>
      </c>
      <c r="D28" s="18">
        <f t="shared" si="25"/>
        <v>-82.25</v>
      </c>
      <c r="E28" s="18">
        <f t="shared" si="26"/>
        <v>-82.25</v>
      </c>
      <c r="F28" s="19" t="e">
        <f t="shared" si="27"/>
        <v>#DIV/0!</v>
      </c>
      <c r="G28" s="14">
        <f t="shared" si="28"/>
        <v>-117.5</v>
      </c>
      <c r="H28" s="20">
        <f t="shared" si="11"/>
        <v>0.7</v>
      </c>
      <c r="I28" s="20">
        <f t="shared" si="29"/>
        <v>0</v>
      </c>
      <c r="J28" s="28">
        <f t="shared" si="13"/>
        <v>0.3</v>
      </c>
      <c r="K28" s="28"/>
      <c r="L28" s="20">
        <f t="shared" ref="L28:M28" si="39">L27</f>
        <v>-343</v>
      </c>
      <c r="M28" s="20">
        <f t="shared" si="39"/>
        <v>-325</v>
      </c>
      <c r="N28" s="29"/>
      <c r="O28" s="17"/>
      <c r="P28" s="18">
        <f t="shared" si="15"/>
        <v>90</v>
      </c>
      <c r="Q28" s="14">
        <f t="shared" si="31"/>
        <v>-90</v>
      </c>
      <c r="R28" s="34">
        <f t="shared" si="32"/>
        <v>0</v>
      </c>
      <c r="S28" s="18">
        <f>'青岛 - 螺纹'!S28</f>
        <v>4248</v>
      </c>
      <c r="T28" s="18">
        <f t="shared" si="33"/>
        <v>4475</v>
      </c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</row>
    <row r="29" spans="1:34">
      <c r="A29" s="16">
        <f t="shared" si="8"/>
        <v>44527</v>
      </c>
      <c r="B29" s="17"/>
      <c r="C29" s="18">
        <f t="shared" si="24"/>
        <v>-82.25</v>
      </c>
      <c r="D29" s="18">
        <f t="shared" si="25"/>
        <v>-82.25</v>
      </c>
      <c r="E29" s="18">
        <f t="shared" si="26"/>
        <v>-82.25</v>
      </c>
      <c r="F29" s="19" t="e">
        <f t="shared" si="27"/>
        <v>#DIV/0!</v>
      </c>
      <c r="G29" s="14">
        <f t="shared" si="28"/>
        <v>-117.5</v>
      </c>
      <c r="H29" s="20">
        <f t="shared" si="11"/>
        <v>0.7</v>
      </c>
      <c r="I29" s="20">
        <f t="shared" si="29"/>
        <v>0</v>
      </c>
      <c r="J29" s="28">
        <f t="shared" si="13"/>
        <v>0.3</v>
      </c>
      <c r="K29" s="28"/>
      <c r="L29" s="20">
        <f t="shared" ref="L29:M29" si="40">L28</f>
        <v>-343</v>
      </c>
      <c r="M29" s="20">
        <f t="shared" si="40"/>
        <v>-325</v>
      </c>
      <c r="N29" s="29"/>
      <c r="O29" s="17"/>
      <c r="P29" s="18">
        <f t="shared" si="15"/>
        <v>90</v>
      </c>
      <c r="Q29" s="14">
        <f t="shared" si="31"/>
        <v>-90</v>
      </c>
      <c r="R29" s="34">
        <f t="shared" si="32"/>
        <v>0</v>
      </c>
      <c r="S29" s="18">
        <f>'青岛 - 螺纹'!S29</f>
        <v>4100</v>
      </c>
      <c r="T29" s="18">
        <f t="shared" si="33"/>
        <v>4248</v>
      </c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</row>
  </sheetData>
  <phoneticPr fontId="16" type="noConversion"/>
  <conditionalFormatting sqref="A3">
    <cfRule type="cellIs" dxfId="14" priority="3" operator="equal">
      <formula>$A$1</formula>
    </cfRule>
  </conditionalFormatting>
  <conditionalFormatting sqref="A4">
    <cfRule type="cellIs" dxfId="13" priority="2" operator="equal">
      <formula>$A$1</formula>
    </cfRule>
  </conditionalFormatting>
  <conditionalFormatting sqref="A5:A21">
    <cfRule type="cellIs" dxfId="12" priority="1" operator="equal">
      <formula>$A$1</formula>
    </cfRule>
  </conditionalFormatting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"/>
  <sheetViews>
    <sheetView zoomScale="70" zoomScaleNormal="70" workbookViewId="0">
      <pane xSplit="1" ySplit="2" topLeftCell="B3" activePane="bottomRight" state="frozen"/>
      <selection pane="topRight"/>
      <selection pane="bottomLeft"/>
      <selection pane="bottomRight" activeCell="O3" sqref="O3:O25"/>
    </sheetView>
  </sheetViews>
  <sheetFormatPr defaultColWidth="9" defaultRowHeight="14.25"/>
  <cols>
    <col min="1" max="1" width="12.25" customWidth="1"/>
    <col min="2" max="2" width="10.125" customWidth="1"/>
    <col min="3" max="3" width="8.875" hidden="1" customWidth="1"/>
    <col min="4" max="4" width="8.875" style="1" hidden="1" customWidth="1"/>
    <col min="5" max="5" width="9.5" hidden="1" customWidth="1"/>
    <col min="6" max="6" width="10.5" hidden="1" customWidth="1"/>
    <col min="7" max="7" width="13.125" hidden="1" customWidth="1"/>
    <col min="8" max="8" width="9.125" hidden="1" customWidth="1"/>
    <col min="9" max="9" width="13.125" style="1" hidden="1" customWidth="1"/>
    <col min="10" max="10" width="9.125" hidden="1" customWidth="1"/>
    <col min="11" max="11" width="14.75" hidden="1" customWidth="1"/>
    <col min="12" max="14" width="9.875" hidden="1" customWidth="1"/>
    <col min="15" max="15" width="8.875" customWidth="1"/>
    <col min="16" max="16" width="4.875" hidden="1" customWidth="1"/>
    <col min="17" max="17" width="13.5" hidden="1" customWidth="1"/>
    <col min="18" max="18" width="11" customWidth="1"/>
    <col min="19" max="32" width="11.125" hidden="1" customWidth="1"/>
    <col min="33" max="33" width="10.125" hidden="1" customWidth="1"/>
    <col min="34" max="34" width="9" hidden="1" customWidth="1"/>
  </cols>
  <sheetData>
    <row r="1" spans="1:34">
      <c r="A1" s="2">
        <f ca="1">TODAY()</f>
        <v>44536</v>
      </c>
      <c r="B1" s="3"/>
      <c r="O1" s="3"/>
      <c r="R1" s="3"/>
      <c r="S1" s="3"/>
      <c r="T1" s="3"/>
      <c r="U1" s="3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"/>
      <c r="AG1" s="3"/>
    </row>
    <row r="2" spans="1:34" ht="42" customHeight="1">
      <c r="A2" s="4" t="s">
        <v>41</v>
      </c>
      <c r="B2" s="4" t="s">
        <v>74</v>
      </c>
      <c r="C2" s="5" t="s">
        <v>75</v>
      </c>
      <c r="D2" s="6" t="s">
        <v>5</v>
      </c>
      <c r="E2" s="7" t="s">
        <v>76</v>
      </c>
      <c r="F2" s="7" t="s">
        <v>77</v>
      </c>
      <c r="G2" s="8" t="s">
        <v>78</v>
      </c>
      <c r="H2" s="9" t="s">
        <v>79</v>
      </c>
      <c r="I2" s="22" t="s">
        <v>80</v>
      </c>
      <c r="J2" s="23" t="s">
        <v>81</v>
      </c>
      <c r="K2" s="24" t="s">
        <v>82</v>
      </c>
      <c r="L2" s="8" t="s">
        <v>10</v>
      </c>
      <c r="M2" s="9" t="s">
        <v>11</v>
      </c>
      <c r="N2" s="9" t="s">
        <v>83</v>
      </c>
      <c r="O2" s="9" t="s">
        <v>186</v>
      </c>
      <c r="P2" s="9" t="s">
        <v>85</v>
      </c>
      <c r="Q2" s="9" t="s">
        <v>86</v>
      </c>
      <c r="R2" s="9" t="s">
        <v>87</v>
      </c>
      <c r="S2" s="32" t="s">
        <v>61</v>
      </c>
      <c r="T2" s="32" t="s">
        <v>62</v>
      </c>
      <c r="U2" s="32" t="s">
        <v>88</v>
      </c>
      <c r="V2" s="32" t="s">
        <v>89</v>
      </c>
      <c r="W2" s="32" t="s">
        <v>90</v>
      </c>
      <c r="X2" s="32" t="s">
        <v>91</v>
      </c>
      <c r="Y2" s="32" t="s">
        <v>92</v>
      </c>
      <c r="Z2" s="32" t="s">
        <v>93</v>
      </c>
      <c r="AA2" s="32" t="s">
        <v>94</v>
      </c>
      <c r="AB2" s="32" t="s">
        <v>95</v>
      </c>
      <c r="AC2" s="32" t="s">
        <v>96</v>
      </c>
      <c r="AD2" s="32" t="s">
        <v>97</v>
      </c>
      <c r="AE2" s="39" t="s">
        <v>183</v>
      </c>
      <c r="AF2" s="39" t="s">
        <v>184</v>
      </c>
      <c r="AG2" s="39" t="s">
        <v>103</v>
      </c>
      <c r="AH2" s="24" t="s">
        <v>185</v>
      </c>
    </row>
    <row r="3" spans="1:34">
      <c r="A3" s="10">
        <v>44501</v>
      </c>
      <c r="B3" s="11">
        <v>5440</v>
      </c>
      <c r="C3" s="12">
        <f t="shared" ref="C3:C4" si="0">H3*G3+J3*I3+K3</f>
        <v>-1829.1999999999998</v>
      </c>
      <c r="D3" s="12">
        <f>5190+C3</f>
        <v>3360.8</v>
      </c>
      <c r="E3" s="12"/>
      <c r="F3" s="13">
        <v>0</v>
      </c>
      <c r="G3" s="14">
        <f>IF((Q3-L3)&lt;0,-(Q3-L3)/2,IF((Q3-L3)&gt;0,-(Q3-M3)/2,0))+R3</f>
        <v>-2578</v>
      </c>
      <c r="H3" s="15">
        <v>0.7</v>
      </c>
      <c r="I3" s="15">
        <f>U3</f>
        <v>-82</v>
      </c>
      <c r="J3" s="25">
        <v>0.3</v>
      </c>
      <c r="K3" s="25"/>
      <c r="L3" s="26">
        <v>1</v>
      </c>
      <c r="M3" s="26">
        <v>14</v>
      </c>
      <c r="N3" s="27"/>
      <c r="O3" s="11"/>
      <c r="P3" s="11">
        <f>40-20</f>
        <v>20</v>
      </c>
      <c r="Q3" s="33">
        <f>5190-(P3+O3)</f>
        <v>5170</v>
      </c>
      <c r="R3" s="26">
        <v>0</v>
      </c>
      <c r="S3" s="15">
        <v>4630</v>
      </c>
      <c r="T3" s="12">
        <v>4712</v>
      </c>
      <c r="U3" s="15">
        <f>S3-T3</f>
        <v>-82</v>
      </c>
      <c r="V3" s="26">
        <v>565</v>
      </c>
      <c r="W3" s="26">
        <v>577.5</v>
      </c>
      <c r="X3" s="26">
        <f>V3-W3</f>
        <v>-12.5</v>
      </c>
      <c r="Y3" s="26">
        <v>3040</v>
      </c>
      <c r="Z3" s="26">
        <v>3041</v>
      </c>
      <c r="AA3" s="26">
        <f>Y3-Z3</f>
        <v>-1</v>
      </c>
      <c r="AB3" s="26"/>
      <c r="AC3" s="26"/>
      <c r="AD3" s="26">
        <f>AB3-AC3</f>
        <v>0</v>
      </c>
      <c r="AE3" s="26"/>
      <c r="AF3" s="26"/>
      <c r="AG3" s="26"/>
      <c r="AH3" s="15">
        <v>50</v>
      </c>
    </row>
    <row r="4" spans="1:34">
      <c r="A4" s="16">
        <f>A3+1</f>
        <v>44502</v>
      </c>
      <c r="B4" s="17">
        <v>5320</v>
      </c>
      <c r="C4" s="18">
        <f t="shared" si="0"/>
        <v>-1931.3999999999999</v>
      </c>
      <c r="D4" s="18">
        <f t="shared" ref="D4:D21" si="1">B3+C4</f>
        <v>3508.6000000000004</v>
      </c>
      <c r="E4" s="18">
        <f t="shared" ref="E4:E21" si="2">D3</f>
        <v>3360.8</v>
      </c>
      <c r="F4" s="19">
        <v>0</v>
      </c>
      <c r="G4" s="14">
        <f>IF((Q4-L4)&lt;0,-(Q4-L4)/2,IF((Q4-L4)&gt;0,-(Q4-M4)/2,0))+R4</f>
        <v>-2703</v>
      </c>
      <c r="H4" s="20">
        <f>H3</f>
        <v>0.7</v>
      </c>
      <c r="I4" s="20">
        <f>U4</f>
        <v>-131</v>
      </c>
      <c r="J4" s="28">
        <f>J3</f>
        <v>0.3</v>
      </c>
      <c r="K4" s="28"/>
      <c r="L4" s="20">
        <f>L3</f>
        <v>1</v>
      </c>
      <c r="M4" s="20">
        <f>M3</f>
        <v>14</v>
      </c>
      <c r="N4" s="29"/>
      <c r="O4" s="17"/>
      <c r="P4" s="18">
        <f>P3</f>
        <v>20</v>
      </c>
      <c r="Q4" s="14">
        <f t="shared" ref="Q4:Q21" si="3">B3-(O3+P3)</f>
        <v>5420</v>
      </c>
      <c r="R4" s="34">
        <f>O4-O3</f>
        <v>0</v>
      </c>
      <c r="S4" s="20">
        <f>'青岛 - 螺纹'!S4</f>
        <v>4499</v>
      </c>
      <c r="T4" s="18">
        <f>S3</f>
        <v>4630</v>
      </c>
      <c r="U4" s="20">
        <f t="shared" ref="U4:U14" si="4">S4-T4</f>
        <v>-131</v>
      </c>
      <c r="V4" s="30"/>
      <c r="W4" s="30"/>
      <c r="X4" s="30">
        <f t="shared" ref="X4" si="5">V4-W4</f>
        <v>0</v>
      </c>
      <c r="Y4" s="30"/>
      <c r="Z4" s="30"/>
      <c r="AA4" s="30">
        <f t="shared" ref="AA4" si="6">Y4-Z4</f>
        <v>0</v>
      </c>
      <c r="AB4" s="30"/>
      <c r="AC4" s="30"/>
      <c r="AD4" s="30">
        <f t="shared" ref="AD4" si="7">AB4-AC4</f>
        <v>0</v>
      </c>
      <c r="AE4" s="30">
        <v>2.4</v>
      </c>
      <c r="AF4" s="30">
        <v>2.4</v>
      </c>
      <c r="AG4" s="30">
        <v>9</v>
      </c>
      <c r="AH4" s="20">
        <f>AH3</f>
        <v>50</v>
      </c>
    </row>
    <row r="5" spans="1:34">
      <c r="A5" s="16">
        <f t="shared" ref="A5:A29" si="8">A4+1</f>
        <v>44503</v>
      </c>
      <c r="B5" s="17">
        <v>5200</v>
      </c>
      <c r="C5" s="18">
        <f t="shared" ref="C5:C21" si="9">H5*G5+J5*I5+K5</f>
        <v>-1924.8</v>
      </c>
      <c r="D5" s="18">
        <f t="shared" si="1"/>
        <v>3395.2</v>
      </c>
      <c r="E5" s="18">
        <f t="shared" si="2"/>
        <v>3508.6000000000004</v>
      </c>
      <c r="F5" s="19">
        <f>AF4/AG4</f>
        <v>0.26666666666666666</v>
      </c>
      <c r="G5" s="14">
        <f t="shared" ref="G5:G21" si="10">IF((Q5-L5)&lt;0,-(Q5-L5)/2,IF((Q5-L5)&gt;0,-(Q5-M5)/2,0))+R5</f>
        <v>-2643</v>
      </c>
      <c r="H5" s="20">
        <f t="shared" ref="H5:H29" si="11">H4</f>
        <v>0.7</v>
      </c>
      <c r="I5" s="20">
        <f t="shared" ref="I5:I21" si="12">U5</f>
        <v>-249</v>
      </c>
      <c r="J5" s="28">
        <f t="shared" ref="J5:J29" si="13">J4</f>
        <v>0.3</v>
      </c>
      <c r="K5" s="28"/>
      <c r="L5" s="20">
        <f t="shared" ref="L5:M20" si="14">L4</f>
        <v>1</v>
      </c>
      <c r="M5" s="20">
        <f t="shared" si="14"/>
        <v>14</v>
      </c>
      <c r="N5" s="29"/>
      <c r="O5" s="17"/>
      <c r="P5" s="18">
        <f t="shared" ref="P5:P29" si="15">P4</f>
        <v>20</v>
      </c>
      <c r="Q5" s="14">
        <f t="shared" si="3"/>
        <v>5300</v>
      </c>
      <c r="R5" s="34">
        <f t="shared" ref="R5:R21" si="16">O5-O4</f>
        <v>0</v>
      </c>
      <c r="S5" s="20">
        <f>'青岛 - 螺纹'!S5</f>
        <v>4250</v>
      </c>
      <c r="T5" s="18">
        <f t="shared" ref="T5:T21" si="17">S4</f>
        <v>4499</v>
      </c>
      <c r="U5" s="20">
        <f t="shared" si="4"/>
        <v>-249</v>
      </c>
      <c r="V5" s="30"/>
      <c r="W5" s="30"/>
      <c r="X5" s="30"/>
      <c r="Y5" s="30"/>
      <c r="Z5" s="30"/>
      <c r="AA5" s="30"/>
      <c r="AB5" s="30"/>
      <c r="AC5" s="30"/>
      <c r="AD5" s="30"/>
      <c r="AE5" s="30">
        <f>AF5-AF4</f>
        <v>4.3000000000000007</v>
      </c>
      <c r="AF5" s="30">
        <v>6.7</v>
      </c>
      <c r="AG5" s="30">
        <f>AG4+3</f>
        <v>12</v>
      </c>
      <c r="AH5" s="20">
        <f t="shared" ref="AH5:AH13" si="18">AH4</f>
        <v>50</v>
      </c>
    </row>
    <row r="6" spans="1:34">
      <c r="A6" s="16">
        <f t="shared" si="8"/>
        <v>44504</v>
      </c>
      <c r="B6" s="17">
        <v>5200</v>
      </c>
      <c r="C6" s="18">
        <f t="shared" si="9"/>
        <v>-1763.6999999999998</v>
      </c>
      <c r="D6" s="18">
        <f t="shared" si="1"/>
        <v>3436.3</v>
      </c>
      <c r="E6" s="18">
        <f t="shared" si="2"/>
        <v>3395.2</v>
      </c>
      <c r="F6" s="19">
        <f>AF5/AG5</f>
        <v>0.55833333333333335</v>
      </c>
      <c r="G6" s="14">
        <f t="shared" si="10"/>
        <v>-2583</v>
      </c>
      <c r="H6" s="20">
        <f t="shared" si="11"/>
        <v>0.7</v>
      </c>
      <c r="I6" s="20">
        <f t="shared" si="12"/>
        <v>148</v>
      </c>
      <c r="J6" s="28">
        <f t="shared" si="13"/>
        <v>0.3</v>
      </c>
      <c r="K6" s="28"/>
      <c r="L6" s="20">
        <f t="shared" si="14"/>
        <v>1</v>
      </c>
      <c r="M6" s="20">
        <f t="shared" si="14"/>
        <v>14</v>
      </c>
      <c r="N6" s="29"/>
      <c r="O6" s="17"/>
      <c r="P6" s="18">
        <f t="shared" si="15"/>
        <v>20</v>
      </c>
      <c r="Q6" s="14">
        <f t="shared" si="3"/>
        <v>5180</v>
      </c>
      <c r="R6" s="34">
        <f t="shared" si="16"/>
        <v>0</v>
      </c>
      <c r="S6" s="20">
        <f>'青岛 - 螺纹'!S6</f>
        <v>4398</v>
      </c>
      <c r="T6" s="18">
        <f t="shared" si="17"/>
        <v>4250</v>
      </c>
      <c r="U6" s="20">
        <f t="shared" si="4"/>
        <v>148</v>
      </c>
      <c r="V6" s="30"/>
      <c r="W6" s="30"/>
      <c r="X6" s="30"/>
      <c r="Y6" s="30"/>
      <c r="Z6" s="30"/>
      <c r="AA6" s="30"/>
      <c r="AB6" s="30"/>
      <c r="AC6" s="30"/>
      <c r="AD6" s="30"/>
      <c r="AE6" s="30">
        <f t="shared" ref="AE6:AE8" si="19">AF6-AF5</f>
        <v>1.0999999999999996</v>
      </c>
      <c r="AF6" s="30">
        <v>7.8</v>
      </c>
      <c r="AG6" s="30">
        <f t="shared" ref="AG6:AG7" si="20">AG5+3</f>
        <v>15</v>
      </c>
      <c r="AH6" s="20">
        <f t="shared" si="18"/>
        <v>50</v>
      </c>
    </row>
    <row r="7" spans="1:34">
      <c r="A7" s="16">
        <f t="shared" si="8"/>
        <v>44505</v>
      </c>
      <c r="B7" s="17">
        <v>5130</v>
      </c>
      <c r="C7" s="18">
        <f t="shared" si="9"/>
        <v>-1856.1</v>
      </c>
      <c r="D7" s="18">
        <f t="shared" si="1"/>
        <v>3343.9</v>
      </c>
      <c r="E7" s="18">
        <f t="shared" si="2"/>
        <v>3436.3</v>
      </c>
      <c r="F7" s="19">
        <f>AF6/AG6</f>
        <v>0.52</v>
      </c>
      <c r="G7" s="14">
        <f t="shared" si="10"/>
        <v>-2583</v>
      </c>
      <c r="H7" s="20">
        <f t="shared" si="11"/>
        <v>0.7</v>
      </c>
      <c r="I7" s="20">
        <f t="shared" si="12"/>
        <v>-160</v>
      </c>
      <c r="J7" s="28">
        <f t="shared" si="13"/>
        <v>0.3</v>
      </c>
      <c r="K7" s="28"/>
      <c r="L7" s="20">
        <f t="shared" si="14"/>
        <v>1</v>
      </c>
      <c r="M7" s="20">
        <f t="shared" si="14"/>
        <v>14</v>
      </c>
      <c r="N7" s="29"/>
      <c r="O7" s="17"/>
      <c r="P7" s="18">
        <f t="shared" si="15"/>
        <v>20</v>
      </c>
      <c r="Q7" s="14">
        <f t="shared" si="3"/>
        <v>5180</v>
      </c>
      <c r="R7" s="34">
        <f t="shared" si="16"/>
        <v>0</v>
      </c>
      <c r="S7" s="20">
        <f>'青岛 - 螺纹'!S7</f>
        <v>4238</v>
      </c>
      <c r="T7" s="18">
        <f t="shared" si="17"/>
        <v>4398</v>
      </c>
      <c r="U7" s="20">
        <f t="shared" si="4"/>
        <v>-160</v>
      </c>
      <c r="V7" s="30"/>
      <c r="W7" s="30"/>
      <c r="X7" s="30"/>
      <c r="Y7" s="30"/>
      <c r="Z7" s="30"/>
      <c r="AA7" s="30"/>
      <c r="AB7" s="30"/>
      <c r="AC7" s="30"/>
      <c r="AD7" s="30"/>
      <c r="AE7" s="30">
        <f t="shared" si="19"/>
        <v>2.5000000000000009</v>
      </c>
      <c r="AF7" s="30">
        <v>10.3</v>
      </c>
      <c r="AG7" s="30">
        <f t="shared" si="20"/>
        <v>18</v>
      </c>
      <c r="AH7" s="20">
        <f t="shared" si="18"/>
        <v>50</v>
      </c>
    </row>
    <row r="8" spans="1:34">
      <c r="A8" s="16">
        <f t="shared" si="8"/>
        <v>44506</v>
      </c>
      <c r="B8" s="17">
        <v>5130</v>
      </c>
      <c r="C8" s="18">
        <f t="shared" si="9"/>
        <v>-1783.6</v>
      </c>
      <c r="D8" s="18">
        <f t="shared" si="1"/>
        <v>3346.4</v>
      </c>
      <c r="E8" s="18">
        <f t="shared" si="2"/>
        <v>3343.9</v>
      </c>
      <c r="F8" s="19">
        <f>AF7/AG7</f>
        <v>0.5722222222222223</v>
      </c>
      <c r="G8" s="14">
        <f t="shared" si="10"/>
        <v>-2548</v>
      </c>
      <c r="H8" s="20">
        <f t="shared" si="11"/>
        <v>0.7</v>
      </c>
      <c r="I8" s="20">
        <f t="shared" si="12"/>
        <v>0</v>
      </c>
      <c r="J8" s="28">
        <f t="shared" si="13"/>
        <v>0.3</v>
      </c>
      <c r="K8" s="28"/>
      <c r="L8" s="20">
        <f t="shared" si="14"/>
        <v>1</v>
      </c>
      <c r="M8" s="20">
        <f t="shared" si="14"/>
        <v>14</v>
      </c>
      <c r="N8" s="29"/>
      <c r="O8" s="17"/>
      <c r="P8" s="18">
        <f t="shared" si="15"/>
        <v>20</v>
      </c>
      <c r="Q8" s="14">
        <f t="shared" si="3"/>
        <v>5110</v>
      </c>
      <c r="R8" s="34">
        <f t="shared" si="16"/>
        <v>0</v>
      </c>
      <c r="S8" s="20">
        <f>'青岛 - 螺纹'!S8</f>
        <v>4238</v>
      </c>
      <c r="T8" s="18">
        <f t="shared" si="17"/>
        <v>4238</v>
      </c>
      <c r="U8" s="20">
        <f t="shared" si="4"/>
        <v>0</v>
      </c>
      <c r="V8" s="30"/>
      <c r="W8" s="30"/>
      <c r="X8" s="30"/>
      <c r="Y8" s="30"/>
      <c r="Z8" s="30"/>
      <c r="AA8" s="30"/>
      <c r="AB8" s="30"/>
      <c r="AC8" s="30"/>
      <c r="AD8" s="30"/>
      <c r="AE8" s="30">
        <f t="shared" si="19"/>
        <v>6</v>
      </c>
      <c r="AF8" s="30">
        <v>16.3</v>
      </c>
      <c r="AG8" s="30">
        <v>18</v>
      </c>
      <c r="AH8" s="20">
        <f t="shared" si="18"/>
        <v>50</v>
      </c>
    </row>
    <row r="9" spans="1:34">
      <c r="A9" s="16">
        <f t="shared" si="8"/>
        <v>44507</v>
      </c>
      <c r="B9" s="17">
        <v>5150</v>
      </c>
      <c r="C9" s="18">
        <f t="shared" si="9"/>
        <v>-1783.6</v>
      </c>
      <c r="D9" s="18">
        <f t="shared" si="1"/>
        <v>3346.4</v>
      </c>
      <c r="E9" s="18">
        <f t="shared" si="2"/>
        <v>3346.4</v>
      </c>
      <c r="F9" s="19">
        <v>1</v>
      </c>
      <c r="G9" s="14">
        <f t="shared" si="10"/>
        <v>-2548</v>
      </c>
      <c r="H9" s="20">
        <f t="shared" si="11"/>
        <v>0.7</v>
      </c>
      <c r="I9" s="20">
        <f t="shared" si="12"/>
        <v>0</v>
      </c>
      <c r="J9" s="28">
        <f t="shared" si="13"/>
        <v>0.3</v>
      </c>
      <c r="K9" s="28"/>
      <c r="L9" s="20">
        <f t="shared" si="14"/>
        <v>1</v>
      </c>
      <c r="M9" s="20">
        <f t="shared" si="14"/>
        <v>14</v>
      </c>
      <c r="N9" s="29"/>
      <c r="O9" s="17"/>
      <c r="P9" s="18">
        <f t="shared" si="15"/>
        <v>20</v>
      </c>
      <c r="Q9" s="14">
        <f t="shared" si="3"/>
        <v>5110</v>
      </c>
      <c r="R9" s="34">
        <f t="shared" si="16"/>
        <v>0</v>
      </c>
      <c r="S9" s="20">
        <f>'青岛 - 螺纹'!S9</f>
        <v>4238</v>
      </c>
      <c r="T9" s="18">
        <f t="shared" si="17"/>
        <v>4238</v>
      </c>
      <c r="U9" s="20">
        <f t="shared" si="4"/>
        <v>0</v>
      </c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>
        <v>21</v>
      </c>
      <c r="AH9" s="20">
        <f t="shared" si="18"/>
        <v>50</v>
      </c>
    </row>
    <row r="10" spans="1:34">
      <c r="A10" s="16">
        <f t="shared" si="8"/>
        <v>44508</v>
      </c>
      <c r="B10" s="17">
        <v>5100</v>
      </c>
      <c r="C10" s="18">
        <f t="shared" si="9"/>
        <v>-1785.5</v>
      </c>
      <c r="D10" s="18">
        <f t="shared" si="1"/>
        <v>3364.5</v>
      </c>
      <c r="E10" s="18">
        <f t="shared" si="2"/>
        <v>3346.4</v>
      </c>
      <c r="F10" s="19">
        <f>AF9/AG9</f>
        <v>0</v>
      </c>
      <c r="G10" s="14">
        <f t="shared" si="10"/>
        <v>-2558</v>
      </c>
      <c r="H10" s="20">
        <f t="shared" si="11"/>
        <v>0.7</v>
      </c>
      <c r="I10" s="20">
        <f t="shared" si="12"/>
        <v>17</v>
      </c>
      <c r="J10" s="28">
        <f t="shared" si="13"/>
        <v>0.3</v>
      </c>
      <c r="K10" s="28"/>
      <c r="L10" s="20">
        <f t="shared" si="14"/>
        <v>1</v>
      </c>
      <c r="M10" s="20">
        <f t="shared" si="14"/>
        <v>14</v>
      </c>
      <c r="N10" s="29"/>
      <c r="O10" s="17"/>
      <c r="P10" s="18">
        <f t="shared" si="15"/>
        <v>20</v>
      </c>
      <c r="Q10" s="14">
        <f t="shared" si="3"/>
        <v>5130</v>
      </c>
      <c r="R10" s="34">
        <f t="shared" si="16"/>
        <v>0</v>
      </c>
      <c r="S10" s="20">
        <f>'青岛 - 螺纹'!S10</f>
        <v>4255</v>
      </c>
      <c r="T10" s="18">
        <f t="shared" si="17"/>
        <v>4238</v>
      </c>
      <c r="U10" s="20">
        <f t="shared" si="4"/>
        <v>17</v>
      </c>
      <c r="V10" s="30"/>
      <c r="W10" s="30"/>
      <c r="X10" s="30"/>
      <c r="Y10" s="30"/>
      <c r="Z10" s="30"/>
      <c r="AA10" s="30"/>
      <c r="AB10" s="30"/>
      <c r="AC10" s="30"/>
      <c r="AD10" s="30"/>
      <c r="AE10" s="30">
        <v>1.2</v>
      </c>
      <c r="AF10" s="30">
        <v>1.2</v>
      </c>
      <c r="AG10" s="17">
        <f>18.9/6</f>
        <v>3.15</v>
      </c>
      <c r="AH10" s="20">
        <f t="shared" si="18"/>
        <v>50</v>
      </c>
    </row>
    <row r="11" spans="1:34">
      <c r="A11" s="16">
        <f t="shared" si="8"/>
        <v>44509</v>
      </c>
      <c r="B11" s="17"/>
      <c r="C11" s="18">
        <f t="shared" si="9"/>
        <v>-1773.1</v>
      </c>
      <c r="D11" s="18">
        <f t="shared" si="1"/>
        <v>3326.9</v>
      </c>
      <c r="E11" s="18">
        <f t="shared" si="2"/>
        <v>3364.5</v>
      </c>
      <c r="F11" s="19">
        <f>AF10/AG10</f>
        <v>0.38095238095238093</v>
      </c>
      <c r="G11" s="14">
        <f t="shared" si="10"/>
        <v>-2533</v>
      </c>
      <c r="H11" s="20">
        <f t="shared" si="11"/>
        <v>0.7</v>
      </c>
      <c r="I11" s="20">
        <f t="shared" si="12"/>
        <v>0</v>
      </c>
      <c r="J11" s="28">
        <f t="shared" si="13"/>
        <v>0.3</v>
      </c>
      <c r="K11" s="28"/>
      <c r="L11" s="20">
        <f t="shared" si="14"/>
        <v>1</v>
      </c>
      <c r="M11" s="20">
        <f t="shared" si="14"/>
        <v>14</v>
      </c>
      <c r="N11" s="29"/>
      <c r="O11" s="17"/>
      <c r="P11" s="18">
        <f t="shared" si="15"/>
        <v>20</v>
      </c>
      <c r="Q11" s="14">
        <f t="shared" si="3"/>
        <v>5080</v>
      </c>
      <c r="R11" s="34">
        <f t="shared" si="16"/>
        <v>0</v>
      </c>
      <c r="S11" s="20">
        <f>'青岛 - 螺纹'!S11</f>
        <v>4255</v>
      </c>
      <c r="T11" s="18">
        <f t="shared" si="17"/>
        <v>4255</v>
      </c>
      <c r="U11" s="20">
        <f t="shared" si="4"/>
        <v>0</v>
      </c>
      <c r="V11" s="30"/>
      <c r="W11" s="30"/>
      <c r="X11" s="30"/>
      <c r="Y11" s="30"/>
      <c r="Z11" s="30"/>
      <c r="AA11" s="30"/>
      <c r="AB11" s="30"/>
      <c r="AC11" s="30"/>
      <c r="AD11" s="30"/>
      <c r="AE11" s="30">
        <f>AF11-AF10</f>
        <v>1.0000000000000002</v>
      </c>
      <c r="AF11" s="30">
        <v>2.2000000000000002</v>
      </c>
      <c r="AG11" s="17">
        <f>18.9/6*2</f>
        <v>6.3</v>
      </c>
      <c r="AH11" s="20">
        <f t="shared" si="18"/>
        <v>50</v>
      </c>
    </row>
    <row r="12" spans="1:34">
      <c r="A12" s="16">
        <f t="shared" si="8"/>
        <v>44510</v>
      </c>
      <c r="B12" s="17"/>
      <c r="C12" s="18">
        <f t="shared" si="9"/>
        <v>17.850000000000001</v>
      </c>
      <c r="D12" s="18">
        <f t="shared" si="1"/>
        <v>17.850000000000001</v>
      </c>
      <c r="E12" s="18">
        <f t="shared" si="2"/>
        <v>3326.9</v>
      </c>
      <c r="F12" s="19">
        <f>AF11/AG11</f>
        <v>0.34920634920634924</v>
      </c>
      <c r="G12" s="14">
        <f t="shared" si="10"/>
        <v>10.5</v>
      </c>
      <c r="H12" s="20">
        <f t="shared" si="11"/>
        <v>0.7</v>
      </c>
      <c r="I12" s="20">
        <f t="shared" si="12"/>
        <v>35</v>
      </c>
      <c r="J12" s="28">
        <f t="shared" si="13"/>
        <v>0.3</v>
      </c>
      <c r="K12" s="28"/>
      <c r="L12" s="20">
        <f t="shared" si="14"/>
        <v>1</v>
      </c>
      <c r="M12" s="20">
        <f t="shared" si="14"/>
        <v>14</v>
      </c>
      <c r="N12" s="29"/>
      <c r="O12" s="17"/>
      <c r="P12" s="18">
        <f t="shared" si="15"/>
        <v>20</v>
      </c>
      <c r="Q12" s="14">
        <f t="shared" si="3"/>
        <v>-20</v>
      </c>
      <c r="R12" s="34">
        <f t="shared" si="16"/>
        <v>0</v>
      </c>
      <c r="S12" s="20">
        <f>'青岛 - 螺纹'!S12</f>
        <v>4290</v>
      </c>
      <c r="T12" s="18">
        <f t="shared" si="17"/>
        <v>4255</v>
      </c>
      <c r="U12" s="20">
        <f t="shared" si="4"/>
        <v>35</v>
      </c>
      <c r="V12" s="30"/>
      <c r="W12" s="30"/>
      <c r="X12" s="30"/>
      <c r="Y12" s="30"/>
      <c r="Z12" s="30"/>
      <c r="AA12" s="30"/>
      <c r="AB12" s="30"/>
      <c r="AC12" s="30"/>
      <c r="AD12" s="30"/>
      <c r="AE12" s="30">
        <f t="shared" ref="AE12:AE15" si="21">AF12-AF11</f>
        <v>1.6999999999999997</v>
      </c>
      <c r="AF12" s="30">
        <v>3.9</v>
      </c>
      <c r="AG12" s="17">
        <f>18.9/6*3</f>
        <v>9.4499999999999993</v>
      </c>
      <c r="AH12" s="20">
        <f t="shared" si="18"/>
        <v>50</v>
      </c>
    </row>
    <row r="13" spans="1:34">
      <c r="A13" s="16">
        <f t="shared" si="8"/>
        <v>44511</v>
      </c>
      <c r="B13" s="17"/>
      <c r="C13" s="18">
        <f t="shared" si="9"/>
        <v>-13.950000000000001</v>
      </c>
      <c r="D13" s="18">
        <f t="shared" si="1"/>
        <v>-13.950000000000001</v>
      </c>
      <c r="E13" s="18">
        <f t="shared" si="2"/>
        <v>17.850000000000001</v>
      </c>
      <c r="F13" s="19">
        <f>AF12/AG12</f>
        <v>0.41269841269841273</v>
      </c>
      <c r="G13" s="14">
        <f t="shared" si="10"/>
        <v>10.5</v>
      </c>
      <c r="H13" s="20">
        <f t="shared" si="11"/>
        <v>0.7</v>
      </c>
      <c r="I13" s="20">
        <f t="shared" si="12"/>
        <v>-71</v>
      </c>
      <c r="J13" s="28">
        <f t="shared" si="13"/>
        <v>0.3</v>
      </c>
      <c r="K13" s="28"/>
      <c r="L13" s="20">
        <f t="shared" si="14"/>
        <v>1</v>
      </c>
      <c r="M13" s="20">
        <f t="shared" si="14"/>
        <v>14</v>
      </c>
      <c r="N13" s="29"/>
      <c r="O13" s="17"/>
      <c r="P13" s="18">
        <f t="shared" si="15"/>
        <v>20</v>
      </c>
      <c r="Q13" s="14">
        <f t="shared" si="3"/>
        <v>-20</v>
      </c>
      <c r="R13" s="34">
        <f t="shared" si="16"/>
        <v>0</v>
      </c>
      <c r="S13" s="20">
        <f>'青岛 - 螺纹'!S13</f>
        <v>4219</v>
      </c>
      <c r="T13" s="18">
        <f t="shared" si="17"/>
        <v>4290</v>
      </c>
      <c r="U13" s="20">
        <f t="shared" si="4"/>
        <v>-71</v>
      </c>
      <c r="V13" s="30"/>
      <c r="W13" s="30"/>
      <c r="X13" s="30"/>
      <c r="Y13" s="30"/>
      <c r="Z13" s="30"/>
      <c r="AA13" s="30"/>
      <c r="AB13" s="30"/>
      <c r="AC13" s="30"/>
      <c r="AD13" s="30"/>
      <c r="AE13" s="30">
        <f t="shared" si="21"/>
        <v>7.1999999999999993</v>
      </c>
      <c r="AF13" s="30">
        <v>11.1</v>
      </c>
      <c r="AG13" s="17">
        <f>18.9/6*4</f>
        <v>12.6</v>
      </c>
      <c r="AH13" s="20">
        <f t="shared" si="18"/>
        <v>50</v>
      </c>
    </row>
    <row r="14" spans="1:34">
      <c r="A14" s="16">
        <f t="shared" si="8"/>
        <v>44512</v>
      </c>
      <c r="B14" s="17"/>
      <c r="C14" s="18">
        <f t="shared" si="9"/>
        <v>69.149999999999991</v>
      </c>
      <c r="D14" s="18">
        <f t="shared" si="1"/>
        <v>69.149999999999991</v>
      </c>
      <c r="E14" s="18">
        <f t="shared" si="2"/>
        <v>-13.950000000000001</v>
      </c>
      <c r="F14" s="19">
        <f>AF13/AG13</f>
        <v>0.88095238095238093</v>
      </c>
      <c r="G14" s="14">
        <f t="shared" si="10"/>
        <v>10.5</v>
      </c>
      <c r="H14" s="20">
        <f t="shared" si="11"/>
        <v>0.7</v>
      </c>
      <c r="I14" s="20">
        <f t="shared" si="12"/>
        <v>206</v>
      </c>
      <c r="J14" s="28">
        <f t="shared" si="13"/>
        <v>0.3</v>
      </c>
      <c r="K14" s="28"/>
      <c r="L14" s="20">
        <f t="shared" si="14"/>
        <v>1</v>
      </c>
      <c r="M14" s="20">
        <f t="shared" si="14"/>
        <v>14</v>
      </c>
      <c r="N14" s="29"/>
      <c r="O14" s="17"/>
      <c r="P14" s="18">
        <f t="shared" si="15"/>
        <v>20</v>
      </c>
      <c r="Q14" s="14">
        <f t="shared" si="3"/>
        <v>-20</v>
      </c>
      <c r="R14" s="34">
        <f t="shared" si="16"/>
        <v>0</v>
      </c>
      <c r="S14" s="20">
        <f>'青岛 - 螺纹'!S14</f>
        <v>4425</v>
      </c>
      <c r="T14" s="18">
        <f t="shared" si="17"/>
        <v>4219</v>
      </c>
      <c r="U14" s="20">
        <f t="shared" si="4"/>
        <v>206</v>
      </c>
      <c r="V14" s="30"/>
      <c r="W14" s="30"/>
      <c r="X14" s="30"/>
      <c r="Y14" s="30"/>
      <c r="Z14" s="30"/>
      <c r="AA14" s="30"/>
      <c r="AB14" s="30"/>
      <c r="AC14" s="30"/>
      <c r="AD14" s="30"/>
      <c r="AE14" s="30">
        <f t="shared" si="21"/>
        <v>-11.1</v>
      </c>
      <c r="AF14" s="30"/>
      <c r="AG14" s="17">
        <f>18.9/6*5</f>
        <v>15.75</v>
      </c>
      <c r="AH14" s="20"/>
    </row>
    <row r="15" spans="1:34">
      <c r="A15" s="16">
        <f t="shared" si="8"/>
        <v>44513</v>
      </c>
      <c r="B15" s="17"/>
      <c r="C15" s="18">
        <f t="shared" si="9"/>
        <v>7.35</v>
      </c>
      <c r="D15" s="18">
        <f t="shared" si="1"/>
        <v>7.35</v>
      </c>
      <c r="E15" s="18">
        <f t="shared" si="2"/>
        <v>69.149999999999991</v>
      </c>
      <c r="F15" s="19">
        <f t="shared" ref="F15:F21" si="22">AF14/AG14</f>
        <v>0</v>
      </c>
      <c r="G15" s="14">
        <f t="shared" si="10"/>
        <v>10.5</v>
      </c>
      <c r="H15" s="20">
        <f t="shared" si="11"/>
        <v>0.7</v>
      </c>
      <c r="I15" s="20">
        <f t="shared" si="12"/>
        <v>0</v>
      </c>
      <c r="J15" s="28">
        <f t="shared" si="13"/>
        <v>0.3</v>
      </c>
      <c r="K15" s="28"/>
      <c r="L15" s="20">
        <f t="shared" si="14"/>
        <v>1</v>
      </c>
      <c r="M15" s="20">
        <f t="shared" si="14"/>
        <v>14</v>
      </c>
      <c r="N15" s="29"/>
      <c r="O15" s="17"/>
      <c r="P15" s="18">
        <f t="shared" si="15"/>
        <v>20</v>
      </c>
      <c r="Q15" s="14">
        <f t="shared" si="3"/>
        <v>-20</v>
      </c>
      <c r="R15" s="34">
        <f t="shared" si="16"/>
        <v>0</v>
      </c>
      <c r="S15" s="20">
        <f>'青岛 - 螺纹'!S15</f>
        <v>0</v>
      </c>
      <c r="T15" s="18">
        <f t="shared" si="17"/>
        <v>4425</v>
      </c>
      <c r="U15" s="20"/>
      <c r="V15" s="30"/>
      <c r="W15" s="30"/>
      <c r="X15" s="30"/>
      <c r="Y15" s="30"/>
      <c r="Z15" s="30"/>
      <c r="AA15" s="30"/>
      <c r="AB15" s="30"/>
      <c r="AC15" s="30"/>
      <c r="AD15" s="30"/>
      <c r="AE15" s="30">
        <f t="shared" si="21"/>
        <v>0</v>
      </c>
      <c r="AF15" s="30"/>
      <c r="AG15" s="17">
        <f>18.9/6*5.5</f>
        <v>17.324999999999999</v>
      </c>
      <c r="AH15" s="20"/>
    </row>
    <row r="16" spans="1:34">
      <c r="A16" s="16">
        <f t="shared" si="8"/>
        <v>44514</v>
      </c>
      <c r="B16" s="17">
        <v>4900</v>
      </c>
      <c r="C16" s="18">
        <f t="shared" si="9"/>
        <v>7.35</v>
      </c>
      <c r="D16" s="18">
        <f t="shared" si="1"/>
        <v>7.35</v>
      </c>
      <c r="E16" s="18">
        <f t="shared" si="2"/>
        <v>7.35</v>
      </c>
      <c r="F16" s="19">
        <f t="shared" si="22"/>
        <v>0</v>
      </c>
      <c r="G16" s="14">
        <f t="shared" si="10"/>
        <v>10.5</v>
      </c>
      <c r="H16" s="20">
        <f t="shared" si="11"/>
        <v>0.7</v>
      </c>
      <c r="I16" s="20">
        <f t="shared" si="12"/>
        <v>0</v>
      </c>
      <c r="J16" s="28">
        <f t="shared" si="13"/>
        <v>0.3</v>
      </c>
      <c r="K16" s="28"/>
      <c r="L16" s="20">
        <f t="shared" si="14"/>
        <v>1</v>
      </c>
      <c r="M16" s="20">
        <f t="shared" si="14"/>
        <v>14</v>
      </c>
      <c r="N16" s="29"/>
      <c r="O16" s="17"/>
      <c r="P16" s="18">
        <f t="shared" si="15"/>
        <v>20</v>
      </c>
      <c r="Q16" s="14">
        <f t="shared" si="3"/>
        <v>-20</v>
      </c>
      <c r="R16" s="34">
        <f t="shared" si="16"/>
        <v>0</v>
      </c>
      <c r="S16" s="20">
        <f>'青岛 - 螺纹'!S16</f>
        <v>4425</v>
      </c>
      <c r="T16" s="18">
        <f t="shared" si="17"/>
        <v>0</v>
      </c>
      <c r="U16" s="2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17">
        <f>18.9/6*6</f>
        <v>18.899999999999999</v>
      </c>
      <c r="AH16" s="20"/>
    </row>
    <row r="17" spans="1:34">
      <c r="A17" s="16">
        <f t="shared" si="8"/>
        <v>44515</v>
      </c>
      <c r="B17" s="17">
        <v>4870</v>
      </c>
      <c r="C17" s="18">
        <f t="shared" si="9"/>
        <v>1663.8999999999999</v>
      </c>
      <c r="D17" s="18">
        <f t="shared" si="1"/>
        <v>6563.9</v>
      </c>
      <c r="E17" s="18">
        <f t="shared" si="2"/>
        <v>7.35</v>
      </c>
      <c r="F17" s="19">
        <f t="shared" si="22"/>
        <v>0</v>
      </c>
      <c r="G17" s="14">
        <f t="shared" si="10"/>
        <v>2377</v>
      </c>
      <c r="H17" s="20">
        <f t="shared" si="11"/>
        <v>0.7</v>
      </c>
      <c r="I17" s="20">
        <f t="shared" si="12"/>
        <v>0</v>
      </c>
      <c r="J17" s="28">
        <f t="shared" si="13"/>
        <v>0.3</v>
      </c>
      <c r="K17" s="28"/>
      <c r="L17" s="20">
        <f t="shared" si="14"/>
        <v>1</v>
      </c>
      <c r="M17" s="20">
        <f t="shared" si="14"/>
        <v>14</v>
      </c>
      <c r="N17" s="29"/>
      <c r="O17" s="17">
        <v>4810</v>
      </c>
      <c r="P17" s="18">
        <f t="shared" si="15"/>
        <v>20</v>
      </c>
      <c r="Q17" s="14">
        <f t="shared" si="3"/>
        <v>4880</v>
      </c>
      <c r="R17" s="34">
        <f t="shared" si="16"/>
        <v>4810</v>
      </c>
      <c r="S17" s="20">
        <f>'青岛 - 螺纹'!S17</f>
        <v>4195</v>
      </c>
      <c r="T17" s="18">
        <f t="shared" si="17"/>
        <v>4425</v>
      </c>
      <c r="U17" s="2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20"/>
    </row>
    <row r="18" spans="1:34">
      <c r="A18" s="16">
        <f t="shared" si="8"/>
        <v>44516</v>
      </c>
      <c r="B18" s="17">
        <f>5050-180</f>
        <v>4870</v>
      </c>
      <c r="C18" s="18">
        <f t="shared" si="9"/>
        <v>-9.1</v>
      </c>
      <c r="D18" s="18">
        <f t="shared" si="1"/>
        <v>4860.8999999999996</v>
      </c>
      <c r="E18" s="18">
        <f t="shared" si="2"/>
        <v>6563.9</v>
      </c>
      <c r="F18" s="19" t="e">
        <f t="shared" si="22"/>
        <v>#DIV/0!</v>
      </c>
      <c r="G18" s="14">
        <f t="shared" si="10"/>
        <v>-13</v>
      </c>
      <c r="H18" s="20">
        <f t="shared" si="11"/>
        <v>0.7</v>
      </c>
      <c r="I18" s="20">
        <f t="shared" si="12"/>
        <v>0</v>
      </c>
      <c r="J18" s="28">
        <f t="shared" si="13"/>
        <v>0.3</v>
      </c>
      <c r="K18" s="28"/>
      <c r="L18" s="20">
        <f t="shared" si="14"/>
        <v>1</v>
      </c>
      <c r="M18" s="20">
        <f t="shared" si="14"/>
        <v>14</v>
      </c>
      <c r="N18" s="29"/>
      <c r="O18" s="17">
        <v>4810</v>
      </c>
      <c r="P18" s="18">
        <f t="shared" si="15"/>
        <v>20</v>
      </c>
      <c r="Q18" s="14">
        <f t="shared" si="3"/>
        <v>40</v>
      </c>
      <c r="R18" s="34">
        <f t="shared" si="16"/>
        <v>0</v>
      </c>
      <c r="S18" s="20">
        <f>'青岛 - 螺纹'!S18</f>
        <v>4153</v>
      </c>
      <c r="T18" s="18">
        <f t="shared" si="17"/>
        <v>4195</v>
      </c>
      <c r="U18" s="2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20"/>
    </row>
    <row r="19" spans="1:34">
      <c r="A19" s="16">
        <f t="shared" si="8"/>
        <v>44517</v>
      </c>
      <c r="B19" s="17">
        <v>4870</v>
      </c>
      <c r="C19" s="18">
        <f t="shared" si="9"/>
        <v>-9.1</v>
      </c>
      <c r="D19" s="18">
        <f t="shared" si="1"/>
        <v>4860.8999999999996</v>
      </c>
      <c r="E19" s="18">
        <f t="shared" si="2"/>
        <v>4860.8999999999996</v>
      </c>
      <c r="F19" s="19" t="e">
        <f t="shared" si="22"/>
        <v>#DIV/0!</v>
      </c>
      <c r="G19" s="14">
        <f t="shared" si="10"/>
        <v>-13</v>
      </c>
      <c r="H19" s="20">
        <f t="shared" si="11"/>
        <v>0.7</v>
      </c>
      <c r="I19" s="20">
        <f t="shared" si="12"/>
        <v>0</v>
      </c>
      <c r="J19" s="28">
        <f t="shared" si="13"/>
        <v>0.3</v>
      </c>
      <c r="K19" s="28"/>
      <c r="L19" s="20">
        <f t="shared" si="14"/>
        <v>1</v>
      </c>
      <c r="M19" s="20">
        <f t="shared" si="14"/>
        <v>14</v>
      </c>
      <c r="N19" s="29"/>
      <c r="O19" s="17">
        <v>4810</v>
      </c>
      <c r="P19" s="18">
        <f t="shared" si="15"/>
        <v>20</v>
      </c>
      <c r="Q19" s="14">
        <f t="shared" si="3"/>
        <v>40</v>
      </c>
      <c r="R19" s="34">
        <f t="shared" si="16"/>
        <v>0</v>
      </c>
      <c r="S19" s="20">
        <f>'青岛 - 螺纹'!S19</f>
        <v>4148</v>
      </c>
      <c r="T19" s="18">
        <f t="shared" si="17"/>
        <v>4153</v>
      </c>
      <c r="U19" s="2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20"/>
    </row>
    <row r="20" spans="1:34">
      <c r="A20" s="16">
        <f t="shared" si="8"/>
        <v>44518</v>
      </c>
      <c r="B20" s="17">
        <v>4840</v>
      </c>
      <c r="C20" s="18">
        <f t="shared" si="9"/>
        <v>-9.1</v>
      </c>
      <c r="D20" s="18">
        <f t="shared" si="1"/>
        <v>4860.8999999999996</v>
      </c>
      <c r="E20" s="18">
        <f t="shared" si="2"/>
        <v>4860.8999999999996</v>
      </c>
      <c r="F20" s="19" t="e">
        <f t="shared" si="22"/>
        <v>#DIV/0!</v>
      </c>
      <c r="G20" s="14">
        <f t="shared" si="10"/>
        <v>-13</v>
      </c>
      <c r="H20" s="20">
        <f t="shared" si="11"/>
        <v>0.7</v>
      </c>
      <c r="I20" s="20">
        <f t="shared" si="12"/>
        <v>0</v>
      </c>
      <c r="J20" s="28">
        <f t="shared" si="13"/>
        <v>0.3</v>
      </c>
      <c r="K20" s="28"/>
      <c r="L20" s="20">
        <f t="shared" si="14"/>
        <v>1</v>
      </c>
      <c r="M20" s="20">
        <f t="shared" si="14"/>
        <v>14</v>
      </c>
      <c r="N20" s="29"/>
      <c r="O20" s="30">
        <v>4810</v>
      </c>
      <c r="P20" s="18">
        <f t="shared" si="15"/>
        <v>20</v>
      </c>
      <c r="Q20" s="14">
        <f t="shared" si="3"/>
        <v>40</v>
      </c>
      <c r="R20" s="34">
        <f t="shared" si="16"/>
        <v>0</v>
      </c>
      <c r="S20" s="20">
        <f>'青岛 - 螺纹'!S20</f>
        <v>4216</v>
      </c>
      <c r="T20" s="18">
        <f t="shared" si="17"/>
        <v>4148</v>
      </c>
      <c r="U20" s="2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20"/>
    </row>
    <row r="21" spans="1:34">
      <c r="A21" s="16">
        <f t="shared" si="8"/>
        <v>44519</v>
      </c>
      <c r="B21" s="21">
        <v>4820</v>
      </c>
      <c r="C21" s="18">
        <f t="shared" si="9"/>
        <v>1.4</v>
      </c>
      <c r="D21" s="18">
        <f t="shared" si="1"/>
        <v>4841.3999999999996</v>
      </c>
      <c r="E21" s="18">
        <f t="shared" si="2"/>
        <v>4860.8999999999996</v>
      </c>
      <c r="F21" s="19" t="e">
        <f t="shared" si="22"/>
        <v>#DIV/0!</v>
      </c>
      <c r="G21" s="14">
        <f t="shared" si="10"/>
        <v>2</v>
      </c>
      <c r="H21" s="20">
        <f t="shared" si="11"/>
        <v>0.7</v>
      </c>
      <c r="I21" s="20">
        <f t="shared" si="12"/>
        <v>0</v>
      </c>
      <c r="J21" s="28">
        <f t="shared" si="13"/>
        <v>0.3</v>
      </c>
      <c r="K21" s="28"/>
      <c r="L21" s="20">
        <f t="shared" ref="L21:M21" si="23">L20</f>
        <v>1</v>
      </c>
      <c r="M21" s="20">
        <f t="shared" si="23"/>
        <v>14</v>
      </c>
      <c r="N21" s="29"/>
      <c r="O21" s="30">
        <v>4810</v>
      </c>
      <c r="P21" s="18">
        <f t="shared" si="15"/>
        <v>20</v>
      </c>
      <c r="Q21" s="14">
        <f t="shared" si="3"/>
        <v>10</v>
      </c>
      <c r="R21" s="34">
        <f t="shared" si="16"/>
        <v>0</v>
      </c>
      <c r="S21" s="20">
        <f>'青岛 - 螺纹'!S21</f>
        <v>4160</v>
      </c>
      <c r="T21" s="18">
        <f t="shared" si="17"/>
        <v>4216</v>
      </c>
      <c r="U21" s="2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20"/>
    </row>
    <row r="22" spans="1:34">
      <c r="A22" s="16">
        <f t="shared" si="8"/>
        <v>44520</v>
      </c>
      <c r="B22" s="21">
        <v>4850</v>
      </c>
      <c r="C22" s="18">
        <f t="shared" ref="C22:C29" si="24">H22*G22+J22*I22+K22</f>
        <v>3.8499999999999996</v>
      </c>
      <c r="D22" s="18">
        <f t="shared" ref="D22:D29" si="25">B21+C22</f>
        <v>4823.8500000000004</v>
      </c>
      <c r="E22" s="18">
        <f t="shared" ref="E22:E29" si="26">D21</f>
        <v>4841.3999999999996</v>
      </c>
      <c r="F22" s="19" t="e">
        <f t="shared" ref="F22:F29" si="27">AF21/AG21</f>
        <v>#DIV/0!</v>
      </c>
      <c r="G22" s="14">
        <f t="shared" ref="G22:G29" si="28">IF((Q22-L22)&lt;0,-(Q22-L22)/2,IF((Q22-L22)&gt;0,-(Q22-M22)/2,0))+R22</f>
        <v>5.5</v>
      </c>
      <c r="H22" s="20">
        <f t="shared" si="11"/>
        <v>0.7</v>
      </c>
      <c r="I22" s="20">
        <f t="shared" ref="I22:I29" si="29">U22</f>
        <v>0</v>
      </c>
      <c r="J22" s="28">
        <f t="shared" si="13"/>
        <v>0.3</v>
      </c>
      <c r="K22" s="28"/>
      <c r="L22" s="20">
        <f t="shared" ref="L22:M22" si="30">L21</f>
        <v>1</v>
      </c>
      <c r="M22" s="20">
        <f t="shared" si="30"/>
        <v>14</v>
      </c>
      <c r="N22" s="29"/>
      <c r="O22" s="30">
        <v>4810</v>
      </c>
      <c r="P22" s="18">
        <f t="shared" si="15"/>
        <v>20</v>
      </c>
      <c r="Q22" s="14">
        <f t="shared" ref="Q22:Q29" si="31">B21-(O21+P21)</f>
        <v>-10</v>
      </c>
      <c r="R22" s="34">
        <f t="shared" ref="R22:R29" si="32">O22-O21</f>
        <v>0</v>
      </c>
      <c r="S22" s="20">
        <f>'青岛 - 螺纹'!S22</f>
        <v>4160</v>
      </c>
      <c r="T22" s="18">
        <f t="shared" ref="T22:T29" si="33">S21</f>
        <v>4160</v>
      </c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</row>
    <row r="23" spans="1:34">
      <c r="A23" s="16">
        <f t="shared" si="8"/>
        <v>44521</v>
      </c>
      <c r="B23" s="21">
        <v>4850</v>
      </c>
      <c r="C23" s="18">
        <f t="shared" si="24"/>
        <v>-2.0999999999999996</v>
      </c>
      <c r="D23" s="18">
        <f t="shared" si="25"/>
        <v>4847.8999999999996</v>
      </c>
      <c r="E23" s="18">
        <f t="shared" si="26"/>
        <v>4823.8500000000004</v>
      </c>
      <c r="F23" s="19" t="e">
        <f t="shared" si="27"/>
        <v>#DIV/0!</v>
      </c>
      <c r="G23" s="14">
        <f t="shared" si="28"/>
        <v>-3</v>
      </c>
      <c r="H23" s="20">
        <f t="shared" si="11"/>
        <v>0.7</v>
      </c>
      <c r="I23" s="20">
        <f t="shared" si="29"/>
        <v>0</v>
      </c>
      <c r="J23" s="28">
        <f t="shared" si="13"/>
        <v>0.3</v>
      </c>
      <c r="K23" s="28"/>
      <c r="L23" s="20">
        <f t="shared" ref="L23:M23" si="34">L22</f>
        <v>1</v>
      </c>
      <c r="M23" s="20">
        <f t="shared" si="34"/>
        <v>14</v>
      </c>
      <c r="N23" s="29"/>
      <c r="O23" s="30">
        <v>4810</v>
      </c>
      <c r="P23" s="18">
        <f t="shared" si="15"/>
        <v>20</v>
      </c>
      <c r="Q23" s="14">
        <f t="shared" si="31"/>
        <v>20</v>
      </c>
      <c r="R23" s="34">
        <f t="shared" si="32"/>
        <v>0</v>
      </c>
      <c r="S23" s="20">
        <f>'青岛 - 螺纹'!S23</f>
        <v>4160</v>
      </c>
      <c r="T23" s="18">
        <f t="shared" si="33"/>
        <v>4160</v>
      </c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spans="1:34">
      <c r="A24" s="16">
        <f t="shared" si="8"/>
        <v>44522</v>
      </c>
      <c r="B24" s="17">
        <v>4850</v>
      </c>
      <c r="C24" s="18">
        <f t="shared" si="24"/>
        <v>-2.0999999999999996</v>
      </c>
      <c r="D24" s="18">
        <f t="shared" si="25"/>
        <v>4847.8999999999996</v>
      </c>
      <c r="E24" s="18">
        <f t="shared" si="26"/>
        <v>4847.8999999999996</v>
      </c>
      <c r="F24" s="19" t="e">
        <f t="shared" si="27"/>
        <v>#DIV/0!</v>
      </c>
      <c r="G24" s="14">
        <f t="shared" si="28"/>
        <v>-3</v>
      </c>
      <c r="H24" s="20">
        <f t="shared" si="11"/>
        <v>0.7</v>
      </c>
      <c r="I24" s="20">
        <f t="shared" si="29"/>
        <v>0</v>
      </c>
      <c r="J24" s="28">
        <f t="shared" si="13"/>
        <v>0.3</v>
      </c>
      <c r="K24" s="28"/>
      <c r="L24" s="20">
        <f t="shared" ref="L24:M24" si="35">L23</f>
        <v>1</v>
      </c>
      <c r="M24" s="20">
        <f t="shared" si="35"/>
        <v>14</v>
      </c>
      <c r="N24" s="29"/>
      <c r="O24" s="30">
        <v>4810</v>
      </c>
      <c r="P24" s="18">
        <f t="shared" si="15"/>
        <v>20</v>
      </c>
      <c r="Q24" s="14">
        <f t="shared" si="31"/>
        <v>20</v>
      </c>
      <c r="R24" s="34">
        <f t="shared" si="32"/>
        <v>0</v>
      </c>
      <c r="S24" s="20">
        <f>'青岛 - 螺纹'!S24</f>
        <v>4250</v>
      </c>
      <c r="T24" s="18">
        <f t="shared" si="33"/>
        <v>4160</v>
      </c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</row>
    <row r="25" spans="1:34">
      <c r="A25" s="16">
        <f t="shared" si="8"/>
        <v>44523</v>
      </c>
      <c r="B25" s="17"/>
      <c r="C25" s="18">
        <f t="shared" si="24"/>
        <v>-2.0999999999999996</v>
      </c>
      <c r="D25" s="18">
        <f t="shared" si="25"/>
        <v>4847.8999999999996</v>
      </c>
      <c r="E25" s="18">
        <f t="shared" si="26"/>
        <v>4847.8999999999996</v>
      </c>
      <c r="F25" s="19" t="e">
        <f t="shared" si="27"/>
        <v>#DIV/0!</v>
      </c>
      <c r="G25" s="14">
        <f t="shared" si="28"/>
        <v>-3</v>
      </c>
      <c r="H25" s="20">
        <f t="shared" si="11"/>
        <v>0.7</v>
      </c>
      <c r="I25" s="20">
        <f t="shared" si="29"/>
        <v>0</v>
      </c>
      <c r="J25" s="28">
        <f t="shared" si="13"/>
        <v>0.3</v>
      </c>
      <c r="K25" s="28"/>
      <c r="L25" s="20">
        <f t="shared" ref="L25:M25" si="36">L24</f>
        <v>1</v>
      </c>
      <c r="M25" s="20">
        <f t="shared" si="36"/>
        <v>14</v>
      </c>
      <c r="N25" s="29"/>
      <c r="O25" s="30">
        <v>4810</v>
      </c>
      <c r="P25" s="18">
        <f t="shared" si="15"/>
        <v>20</v>
      </c>
      <c r="Q25" s="14">
        <f t="shared" si="31"/>
        <v>20</v>
      </c>
      <c r="R25" s="34">
        <f t="shared" si="32"/>
        <v>0</v>
      </c>
      <c r="S25" s="20">
        <f>'青岛 - 螺纹'!S25</f>
        <v>4300</v>
      </c>
      <c r="T25" s="18">
        <f t="shared" si="33"/>
        <v>4250</v>
      </c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</row>
    <row r="26" spans="1:34">
      <c r="A26" s="16">
        <f t="shared" si="8"/>
        <v>44524</v>
      </c>
      <c r="B26" s="17"/>
      <c r="C26" s="18">
        <f t="shared" si="24"/>
        <v>-1676.1499999999999</v>
      </c>
      <c r="D26" s="18">
        <f t="shared" si="25"/>
        <v>-1676.1499999999999</v>
      </c>
      <c r="E26" s="18">
        <f t="shared" si="26"/>
        <v>4847.8999999999996</v>
      </c>
      <c r="F26" s="19" t="e">
        <f t="shared" si="27"/>
        <v>#DIV/0!</v>
      </c>
      <c r="G26" s="14">
        <f t="shared" si="28"/>
        <v>-2394.5</v>
      </c>
      <c r="H26" s="20">
        <f t="shared" si="11"/>
        <v>0.7</v>
      </c>
      <c r="I26" s="20">
        <f t="shared" si="29"/>
        <v>0</v>
      </c>
      <c r="J26" s="28">
        <f t="shared" si="13"/>
        <v>0.3</v>
      </c>
      <c r="K26" s="28"/>
      <c r="L26" s="20">
        <f t="shared" ref="L26:M26" si="37">L25</f>
        <v>1</v>
      </c>
      <c r="M26" s="20">
        <f t="shared" si="37"/>
        <v>14</v>
      </c>
      <c r="N26" s="29"/>
      <c r="O26" s="30"/>
      <c r="P26" s="18">
        <f t="shared" si="15"/>
        <v>20</v>
      </c>
      <c r="Q26" s="14">
        <f t="shared" si="31"/>
        <v>-4830</v>
      </c>
      <c r="R26" s="34">
        <f t="shared" si="32"/>
        <v>-4810</v>
      </c>
      <c r="S26" s="20">
        <f>'青岛 - 螺纹'!S26</f>
        <v>4315</v>
      </c>
      <c r="T26" s="18">
        <f t="shared" si="33"/>
        <v>4300</v>
      </c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</row>
    <row r="27" spans="1:34">
      <c r="A27" s="16">
        <f t="shared" si="8"/>
        <v>44525</v>
      </c>
      <c r="B27" s="17"/>
      <c r="C27" s="18">
        <f t="shared" si="24"/>
        <v>7.35</v>
      </c>
      <c r="D27" s="18">
        <f t="shared" si="25"/>
        <v>7.35</v>
      </c>
      <c r="E27" s="18">
        <f t="shared" si="26"/>
        <v>-1676.1499999999999</v>
      </c>
      <c r="F27" s="19" t="e">
        <f t="shared" si="27"/>
        <v>#DIV/0!</v>
      </c>
      <c r="G27" s="14">
        <f t="shared" si="28"/>
        <v>10.5</v>
      </c>
      <c r="H27" s="20">
        <f t="shared" si="11"/>
        <v>0.7</v>
      </c>
      <c r="I27" s="20">
        <f t="shared" si="29"/>
        <v>0</v>
      </c>
      <c r="J27" s="28">
        <f t="shared" si="13"/>
        <v>0.3</v>
      </c>
      <c r="K27" s="28"/>
      <c r="L27" s="20">
        <f t="shared" ref="L27:M27" si="38">L26</f>
        <v>1</v>
      </c>
      <c r="M27" s="20">
        <f t="shared" si="38"/>
        <v>14</v>
      </c>
      <c r="N27" s="29"/>
      <c r="O27" s="30"/>
      <c r="P27" s="18">
        <f t="shared" si="15"/>
        <v>20</v>
      </c>
      <c r="Q27" s="14">
        <f t="shared" si="31"/>
        <v>-20</v>
      </c>
      <c r="R27" s="34">
        <f t="shared" si="32"/>
        <v>0</v>
      </c>
      <c r="S27" s="20">
        <f>'青岛 - 螺纹'!S27</f>
        <v>4475</v>
      </c>
      <c r="T27" s="18">
        <f t="shared" si="33"/>
        <v>4315</v>
      </c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</row>
    <row r="28" spans="1:34">
      <c r="A28" s="16">
        <f t="shared" si="8"/>
        <v>44526</v>
      </c>
      <c r="B28" s="17"/>
      <c r="C28" s="18">
        <f t="shared" si="24"/>
        <v>7.35</v>
      </c>
      <c r="D28" s="18">
        <f t="shared" si="25"/>
        <v>7.35</v>
      </c>
      <c r="E28" s="18">
        <f t="shared" si="26"/>
        <v>7.35</v>
      </c>
      <c r="F28" s="19" t="e">
        <f t="shared" si="27"/>
        <v>#DIV/0!</v>
      </c>
      <c r="G28" s="14">
        <f t="shared" si="28"/>
        <v>10.5</v>
      </c>
      <c r="H28" s="20">
        <f t="shared" si="11"/>
        <v>0.7</v>
      </c>
      <c r="I28" s="20">
        <f t="shared" si="29"/>
        <v>0</v>
      </c>
      <c r="J28" s="28">
        <f t="shared" si="13"/>
        <v>0.3</v>
      </c>
      <c r="K28" s="28"/>
      <c r="L28" s="20">
        <f t="shared" ref="L28:M28" si="39">L27</f>
        <v>1</v>
      </c>
      <c r="M28" s="20">
        <f t="shared" si="39"/>
        <v>14</v>
      </c>
      <c r="N28" s="29"/>
      <c r="O28" s="30"/>
      <c r="P28" s="18">
        <f t="shared" si="15"/>
        <v>20</v>
      </c>
      <c r="Q28" s="14">
        <f t="shared" si="31"/>
        <v>-20</v>
      </c>
      <c r="R28" s="34">
        <f t="shared" si="32"/>
        <v>0</v>
      </c>
      <c r="S28" s="20">
        <f>'青岛 - 螺纹'!S28</f>
        <v>4248</v>
      </c>
      <c r="T28" s="18">
        <f t="shared" si="33"/>
        <v>4475</v>
      </c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</row>
    <row r="29" spans="1:34">
      <c r="A29" s="16">
        <f t="shared" si="8"/>
        <v>44527</v>
      </c>
      <c r="B29" s="17"/>
      <c r="C29" s="18">
        <f t="shared" si="24"/>
        <v>7.35</v>
      </c>
      <c r="D29" s="18">
        <f t="shared" si="25"/>
        <v>7.35</v>
      </c>
      <c r="E29" s="18">
        <f t="shared" si="26"/>
        <v>7.35</v>
      </c>
      <c r="F29" s="19" t="e">
        <f t="shared" si="27"/>
        <v>#DIV/0!</v>
      </c>
      <c r="G29" s="14">
        <f t="shared" si="28"/>
        <v>10.5</v>
      </c>
      <c r="H29" s="20">
        <f t="shared" si="11"/>
        <v>0.7</v>
      </c>
      <c r="I29" s="20">
        <f t="shared" si="29"/>
        <v>0</v>
      </c>
      <c r="J29" s="28">
        <f t="shared" si="13"/>
        <v>0.3</v>
      </c>
      <c r="K29" s="28"/>
      <c r="L29" s="20">
        <f t="shared" ref="L29:M29" si="40">L28</f>
        <v>1</v>
      </c>
      <c r="M29" s="20">
        <f t="shared" si="40"/>
        <v>14</v>
      </c>
      <c r="N29" s="29"/>
      <c r="O29" s="30"/>
      <c r="P29" s="18">
        <f t="shared" si="15"/>
        <v>20</v>
      </c>
      <c r="Q29" s="14">
        <f t="shared" si="31"/>
        <v>-20</v>
      </c>
      <c r="R29" s="34">
        <f t="shared" si="32"/>
        <v>0</v>
      </c>
      <c r="S29" s="20">
        <f>'青岛 - 螺纹'!S29</f>
        <v>4100</v>
      </c>
      <c r="T29" s="18">
        <f t="shared" si="33"/>
        <v>4248</v>
      </c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</row>
  </sheetData>
  <phoneticPr fontId="16" type="noConversion"/>
  <conditionalFormatting sqref="A3">
    <cfRule type="cellIs" dxfId="11" priority="3" operator="equal">
      <formula>$A$1</formula>
    </cfRule>
  </conditionalFormatting>
  <conditionalFormatting sqref="A4">
    <cfRule type="cellIs" dxfId="10" priority="2" operator="equal">
      <formula>$A$1</formula>
    </cfRule>
  </conditionalFormatting>
  <conditionalFormatting sqref="A5:A21">
    <cfRule type="cellIs" dxfId="9" priority="1" operator="equal">
      <formula>$A$1</formula>
    </cfRule>
  </conditionalFormatting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zoomScale="55" zoomScaleNormal="55" workbookViewId="0">
      <pane xSplit="1" ySplit="2" topLeftCell="B3" activePane="bottomRight" state="frozen"/>
      <selection pane="topRight"/>
      <selection pane="bottomLeft"/>
      <selection pane="bottomRight" activeCell="O3" sqref="O3:O25"/>
    </sheetView>
  </sheetViews>
  <sheetFormatPr defaultColWidth="9" defaultRowHeight="14.25"/>
  <cols>
    <col min="1" max="1" width="12.25" customWidth="1"/>
    <col min="2" max="2" width="10.125" customWidth="1"/>
    <col min="3" max="3" width="8.875" customWidth="1"/>
    <col min="4" max="4" width="8.875" style="1" customWidth="1"/>
    <col min="5" max="5" width="9.5" customWidth="1"/>
    <col min="6" max="6" width="10.5" customWidth="1"/>
    <col min="7" max="7" width="13.125" customWidth="1"/>
    <col min="8" max="8" width="9.125" customWidth="1"/>
    <col min="9" max="9" width="13.125" style="1" customWidth="1"/>
    <col min="10" max="10" width="9.125" customWidth="1"/>
    <col min="11" max="11" width="14.75" customWidth="1"/>
    <col min="12" max="14" width="9.875" customWidth="1"/>
    <col min="15" max="15" width="8.875" customWidth="1"/>
    <col min="16" max="16" width="4.875" customWidth="1"/>
    <col min="17" max="17" width="13.5" customWidth="1"/>
    <col min="18" max="18" width="11" customWidth="1"/>
    <col min="19" max="32" width="11.125" customWidth="1"/>
    <col min="33" max="33" width="10.125" customWidth="1"/>
  </cols>
  <sheetData>
    <row r="1" spans="1:33">
      <c r="A1" s="2">
        <f ca="1">TODAY()</f>
        <v>44536</v>
      </c>
      <c r="B1" s="3"/>
      <c r="O1" s="3"/>
      <c r="R1" s="3"/>
      <c r="S1" s="3"/>
      <c r="T1" s="3"/>
      <c r="U1" s="3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"/>
      <c r="AG1" s="3"/>
    </row>
    <row r="2" spans="1:33" ht="42" customHeight="1">
      <c r="A2" s="4" t="s">
        <v>41</v>
      </c>
      <c r="B2" s="4" t="s">
        <v>74</v>
      </c>
      <c r="C2" s="5" t="s">
        <v>75</v>
      </c>
      <c r="D2" s="6" t="s">
        <v>5</v>
      </c>
      <c r="E2" s="7" t="s">
        <v>76</v>
      </c>
      <c r="F2" s="7" t="s">
        <v>77</v>
      </c>
      <c r="G2" s="8" t="s">
        <v>78</v>
      </c>
      <c r="H2" s="9" t="s">
        <v>79</v>
      </c>
      <c r="I2" s="22" t="s">
        <v>80</v>
      </c>
      <c r="J2" s="23" t="s">
        <v>81</v>
      </c>
      <c r="K2" s="24" t="s">
        <v>82</v>
      </c>
      <c r="L2" s="8" t="s">
        <v>10</v>
      </c>
      <c r="M2" s="9" t="s">
        <v>11</v>
      </c>
      <c r="N2" s="9" t="s">
        <v>83</v>
      </c>
      <c r="O2" s="9" t="s">
        <v>187</v>
      </c>
      <c r="P2" s="9" t="s">
        <v>85</v>
      </c>
      <c r="Q2" s="9" t="s">
        <v>86</v>
      </c>
      <c r="R2" s="9" t="s">
        <v>87</v>
      </c>
      <c r="S2" s="32" t="s">
        <v>61</v>
      </c>
      <c r="T2" s="32" t="s">
        <v>62</v>
      </c>
      <c r="U2" s="32" t="s">
        <v>88</v>
      </c>
      <c r="V2" s="32" t="s">
        <v>89</v>
      </c>
      <c r="W2" s="32" t="s">
        <v>90</v>
      </c>
      <c r="X2" s="32" t="s">
        <v>91</v>
      </c>
      <c r="Y2" s="32" t="s">
        <v>92</v>
      </c>
      <c r="Z2" s="32" t="s">
        <v>93</v>
      </c>
      <c r="AA2" s="32" t="s">
        <v>94</v>
      </c>
      <c r="AB2" s="32" t="s">
        <v>95</v>
      </c>
      <c r="AC2" s="32" t="s">
        <v>96</v>
      </c>
      <c r="AD2" s="32" t="s">
        <v>97</v>
      </c>
      <c r="AE2" s="39" t="s">
        <v>188</v>
      </c>
      <c r="AF2" s="39" t="s">
        <v>184</v>
      </c>
      <c r="AG2" s="39" t="s">
        <v>103</v>
      </c>
    </row>
    <row r="3" spans="1:33">
      <c r="A3" s="10">
        <v>44501</v>
      </c>
      <c r="B3" s="11"/>
      <c r="C3" s="12">
        <f t="shared" ref="C3:C4" si="0">H3*G3+J3*I3+K3</f>
        <v>-1826.0499999999997</v>
      </c>
      <c r="D3" s="12">
        <f>5190+C3</f>
        <v>3363.9500000000003</v>
      </c>
      <c r="E3" s="12"/>
      <c r="F3" s="13">
        <v>0</v>
      </c>
      <c r="G3" s="14">
        <f>IF((Q3-L3)&lt;0,-(Q3-L3)/2,IF((Q3-L3)&gt;0,-(Q3-M3)/2,0))+R3</f>
        <v>-2573.5</v>
      </c>
      <c r="H3" s="15">
        <v>0.7</v>
      </c>
      <c r="I3" s="15">
        <f>U3</f>
        <v>-82</v>
      </c>
      <c r="J3" s="25">
        <v>0.3</v>
      </c>
      <c r="K3" s="25"/>
      <c r="L3" s="26">
        <v>16</v>
      </c>
      <c r="M3" s="26">
        <v>23</v>
      </c>
      <c r="N3" s="27"/>
      <c r="O3" s="11"/>
      <c r="P3" s="11">
        <f>40-20</f>
        <v>20</v>
      </c>
      <c r="Q3" s="33">
        <f>5190-(P3+O3)</f>
        <v>5170</v>
      </c>
      <c r="R3" s="35">
        <v>0</v>
      </c>
      <c r="S3" s="12">
        <f>'青岛 - 螺纹'!S3</f>
        <v>4630</v>
      </c>
      <c r="T3" s="36">
        <v>4712</v>
      </c>
      <c r="U3" s="15">
        <f>S3-T3</f>
        <v>-82</v>
      </c>
      <c r="V3" s="26">
        <v>565</v>
      </c>
      <c r="W3" s="26">
        <v>577.5</v>
      </c>
      <c r="X3" s="26">
        <f>V3-W3</f>
        <v>-12.5</v>
      </c>
      <c r="Y3" s="26">
        <v>3040</v>
      </c>
      <c r="Z3" s="26">
        <v>3041</v>
      </c>
      <c r="AA3" s="26">
        <f>Y3-Z3</f>
        <v>-1</v>
      </c>
      <c r="AB3" s="26"/>
      <c r="AC3" s="26"/>
      <c r="AD3" s="26">
        <f>AB3-AC3</f>
        <v>0</v>
      </c>
      <c r="AE3" s="26"/>
      <c r="AF3" s="26"/>
      <c r="AG3" s="26"/>
    </row>
    <row r="4" spans="1:33">
      <c r="A4" s="16">
        <f>A3+1</f>
        <v>44502</v>
      </c>
      <c r="B4" s="17"/>
      <c r="C4" s="18">
        <f t="shared" si="0"/>
        <v>-26.699999999999996</v>
      </c>
      <c r="D4" s="18">
        <f t="shared" ref="D4:D21" si="1">B3+C4</f>
        <v>-26.699999999999996</v>
      </c>
      <c r="E4" s="18">
        <f t="shared" ref="E4:E21" si="2">D3</f>
        <v>3363.9500000000003</v>
      </c>
      <c r="F4" s="19">
        <v>0</v>
      </c>
      <c r="G4" s="14">
        <f>IF((Q4-L4)&lt;0,-(Q4-L4)/2,IF((Q4-L4)&gt;0,-(Q4-M4)/2,0))+R4</f>
        <v>18</v>
      </c>
      <c r="H4" s="20">
        <f>H3</f>
        <v>0.7</v>
      </c>
      <c r="I4" s="20">
        <f>U4</f>
        <v>-131</v>
      </c>
      <c r="J4" s="28">
        <f>J3</f>
        <v>0.3</v>
      </c>
      <c r="K4" s="28"/>
      <c r="L4" s="20">
        <f>L3</f>
        <v>16</v>
      </c>
      <c r="M4" s="20">
        <f>M3</f>
        <v>23</v>
      </c>
      <c r="N4" s="29"/>
      <c r="O4" s="17"/>
      <c r="P4" s="18">
        <f>P3</f>
        <v>20</v>
      </c>
      <c r="Q4" s="14">
        <f t="shared" ref="Q4:Q21" si="3">B3-(O3+P3)</f>
        <v>-20</v>
      </c>
      <c r="R4" s="37">
        <f>O4-O3</f>
        <v>0</v>
      </c>
      <c r="S4" s="18">
        <f>'青岛 - 螺纹'!S4</f>
        <v>4499</v>
      </c>
      <c r="T4" s="38">
        <f>S3</f>
        <v>4630</v>
      </c>
      <c r="U4" s="20">
        <f t="shared" ref="U4:U21" si="4">S4-T4</f>
        <v>-131</v>
      </c>
      <c r="V4" s="30"/>
      <c r="W4" s="30"/>
      <c r="X4" s="30">
        <f t="shared" ref="X4" si="5">V4-W4</f>
        <v>0</v>
      </c>
      <c r="Y4" s="30"/>
      <c r="Z4" s="30"/>
      <c r="AA4" s="30">
        <f t="shared" ref="AA4" si="6">Y4-Z4</f>
        <v>0</v>
      </c>
      <c r="AB4" s="30"/>
      <c r="AC4" s="30"/>
      <c r="AD4" s="30">
        <f t="shared" ref="AD4" si="7">AB4-AC4</f>
        <v>0</v>
      </c>
      <c r="AE4" s="30">
        <v>2.4</v>
      </c>
      <c r="AF4" s="30">
        <v>2.4</v>
      </c>
      <c r="AG4" s="30">
        <v>9</v>
      </c>
    </row>
    <row r="5" spans="1:33">
      <c r="A5" s="16">
        <f t="shared" ref="A5:A29" si="8">A4+1</f>
        <v>44503</v>
      </c>
      <c r="B5" s="17"/>
      <c r="C5" s="18">
        <f t="shared" ref="C5:C21" si="9">H5*G5+J5*I5+K5</f>
        <v>-62.1</v>
      </c>
      <c r="D5" s="18">
        <f t="shared" si="1"/>
        <v>-62.1</v>
      </c>
      <c r="E5" s="18">
        <f t="shared" si="2"/>
        <v>-26.699999999999996</v>
      </c>
      <c r="F5" s="19">
        <f>AF4/AG4</f>
        <v>0.26666666666666666</v>
      </c>
      <c r="G5" s="14">
        <f t="shared" ref="G5:G21" si="10">IF((Q5-L5)&lt;0,-(Q5-L5)/2,IF((Q5-L5)&gt;0,-(Q5-M5)/2,0))+R5</f>
        <v>18</v>
      </c>
      <c r="H5" s="20">
        <f t="shared" ref="H5:H29" si="11">H4</f>
        <v>0.7</v>
      </c>
      <c r="I5" s="20">
        <f t="shared" ref="I5:I21" si="12">U5</f>
        <v>-249</v>
      </c>
      <c r="J5" s="28">
        <f t="shared" ref="J5:J29" si="13">J4</f>
        <v>0.3</v>
      </c>
      <c r="K5" s="28"/>
      <c r="L5" s="20">
        <f t="shared" ref="L5:M20" si="14">L4</f>
        <v>16</v>
      </c>
      <c r="M5" s="20">
        <f t="shared" si="14"/>
        <v>23</v>
      </c>
      <c r="N5" s="29"/>
      <c r="O5" s="17"/>
      <c r="P5" s="18">
        <f t="shared" ref="P5:P29" si="15">P4</f>
        <v>20</v>
      </c>
      <c r="Q5" s="14">
        <f t="shared" si="3"/>
        <v>-20</v>
      </c>
      <c r="R5" s="37">
        <f t="shared" ref="R5:R21" si="16">O5-O4</f>
        <v>0</v>
      </c>
      <c r="S5" s="18">
        <f>'青岛 - 螺纹'!S5</f>
        <v>4250</v>
      </c>
      <c r="T5" s="38">
        <f t="shared" ref="T5:T21" si="17">S4</f>
        <v>4499</v>
      </c>
      <c r="U5" s="20">
        <f t="shared" si="4"/>
        <v>-249</v>
      </c>
      <c r="V5" s="30"/>
      <c r="W5" s="30"/>
      <c r="X5" s="30"/>
      <c r="Y5" s="30"/>
      <c r="Z5" s="30"/>
      <c r="AA5" s="30"/>
      <c r="AB5" s="30"/>
      <c r="AC5" s="30"/>
      <c r="AD5" s="30"/>
      <c r="AE5" s="30">
        <f>AF5-AF4</f>
        <v>4.3000000000000007</v>
      </c>
      <c r="AF5" s="30">
        <v>6.7</v>
      </c>
      <c r="AG5" s="30">
        <f>AG4+3</f>
        <v>12</v>
      </c>
    </row>
    <row r="6" spans="1:33">
      <c r="A6" s="16">
        <f t="shared" si="8"/>
        <v>44504</v>
      </c>
      <c r="B6" s="17"/>
      <c r="C6" s="18">
        <f t="shared" si="9"/>
        <v>57</v>
      </c>
      <c r="D6" s="18">
        <f t="shared" si="1"/>
        <v>57</v>
      </c>
      <c r="E6" s="18">
        <f t="shared" si="2"/>
        <v>-62.1</v>
      </c>
      <c r="F6" s="19">
        <f>AF5/AG5</f>
        <v>0.55833333333333335</v>
      </c>
      <c r="G6" s="14">
        <f t="shared" si="10"/>
        <v>18</v>
      </c>
      <c r="H6" s="20">
        <f t="shared" si="11"/>
        <v>0.7</v>
      </c>
      <c r="I6" s="20">
        <f t="shared" si="12"/>
        <v>148</v>
      </c>
      <c r="J6" s="28">
        <f t="shared" si="13"/>
        <v>0.3</v>
      </c>
      <c r="K6" s="28"/>
      <c r="L6" s="20">
        <f t="shared" si="14"/>
        <v>16</v>
      </c>
      <c r="M6" s="20">
        <f t="shared" si="14"/>
        <v>23</v>
      </c>
      <c r="N6" s="29"/>
      <c r="O6" s="17"/>
      <c r="P6" s="18">
        <f t="shared" si="15"/>
        <v>20</v>
      </c>
      <c r="Q6" s="14">
        <f t="shared" si="3"/>
        <v>-20</v>
      </c>
      <c r="R6" s="37">
        <f t="shared" si="16"/>
        <v>0</v>
      </c>
      <c r="S6" s="18">
        <f>'青岛 - 螺纹'!S6</f>
        <v>4398</v>
      </c>
      <c r="T6" s="38">
        <f t="shared" si="17"/>
        <v>4250</v>
      </c>
      <c r="U6" s="20">
        <f t="shared" si="4"/>
        <v>148</v>
      </c>
      <c r="V6" s="30"/>
      <c r="W6" s="30"/>
      <c r="X6" s="30"/>
      <c r="Y6" s="30"/>
      <c r="Z6" s="30"/>
      <c r="AA6" s="30"/>
      <c r="AB6" s="30"/>
      <c r="AC6" s="30"/>
      <c r="AD6" s="30"/>
      <c r="AE6" s="30">
        <f t="shared" ref="AE6:AE8" si="18">AF6-AF5</f>
        <v>1.0999999999999996</v>
      </c>
      <c r="AF6" s="30">
        <v>7.8</v>
      </c>
      <c r="AG6" s="30">
        <f t="shared" ref="AG6:AG7" si="19">AG5+3</f>
        <v>15</v>
      </c>
    </row>
    <row r="7" spans="1:33">
      <c r="A7" s="16">
        <f t="shared" si="8"/>
        <v>44505</v>
      </c>
      <c r="B7" s="17"/>
      <c r="C7" s="18">
        <f t="shared" si="9"/>
        <v>-35.4</v>
      </c>
      <c r="D7" s="18">
        <f t="shared" si="1"/>
        <v>-35.4</v>
      </c>
      <c r="E7" s="18">
        <f t="shared" si="2"/>
        <v>57</v>
      </c>
      <c r="F7" s="19">
        <f>AF6/AG6</f>
        <v>0.52</v>
      </c>
      <c r="G7" s="14">
        <f t="shared" si="10"/>
        <v>18</v>
      </c>
      <c r="H7" s="20">
        <f t="shared" si="11"/>
        <v>0.7</v>
      </c>
      <c r="I7" s="20">
        <f t="shared" si="12"/>
        <v>-160</v>
      </c>
      <c r="J7" s="28">
        <f t="shared" si="13"/>
        <v>0.3</v>
      </c>
      <c r="K7" s="28"/>
      <c r="L7" s="20">
        <f t="shared" si="14"/>
        <v>16</v>
      </c>
      <c r="M7" s="20">
        <f t="shared" si="14"/>
        <v>23</v>
      </c>
      <c r="N7" s="29"/>
      <c r="O7" s="17"/>
      <c r="P7" s="18">
        <f t="shared" si="15"/>
        <v>20</v>
      </c>
      <c r="Q7" s="14">
        <f t="shared" si="3"/>
        <v>-20</v>
      </c>
      <c r="R7" s="37">
        <f t="shared" si="16"/>
        <v>0</v>
      </c>
      <c r="S7" s="18">
        <f>'青岛 - 螺纹'!S7</f>
        <v>4238</v>
      </c>
      <c r="T7" s="38">
        <f t="shared" si="17"/>
        <v>4398</v>
      </c>
      <c r="U7" s="20">
        <f t="shared" si="4"/>
        <v>-160</v>
      </c>
      <c r="V7" s="30"/>
      <c r="W7" s="30"/>
      <c r="X7" s="30"/>
      <c r="Y7" s="30"/>
      <c r="Z7" s="30"/>
      <c r="AA7" s="30"/>
      <c r="AB7" s="30"/>
      <c r="AC7" s="30"/>
      <c r="AD7" s="30"/>
      <c r="AE7" s="30">
        <f t="shared" si="18"/>
        <v>2.5000000000000009</v>
      </c>
      <c r="AF7" s="30">
        <v>10.3</v>
      </c>
      <c r="AG7" s="30">
        <f t="shared" si="19"/>
        <v>18</v>
      </c>
    </row>
    <row r="8" spans="1:33">
      <c r="A8" s="16">
        <f t="shared" si="8"/>
        <v>44506</v>
      </c>
      <c r="B8" s="17"/>
      <c r="C8" s="18">
        <f t="shared" si="9"/>
        <v>12.6</v>
      </c>
      <c r="D8" s="18">
        <f t="shared" si="1"/>
        <v>12.6</v>
      </c>
      <c r="E8" s="18">
        <f t="shared" si="2"/>
        <v>-35.4</v>
      </c>
      <c r="F8" s="19">
        <f>AF7/AG7</f>
        <v>0.5722222222222223</v>
      </c>
      <c r="G8" s="14">
        <f t="shared" si="10"/>
        <v>18</v>
      </c>
      <c r="H8" s="20">
        <f t="shared" si="11"/>
        <v>0.7</v>
      </c>
      <c r="I8" s="20">
        <f t="shared" si="12"/>
        <v>0</v>
      </c>
      <c r="J8" s="28">
        <f t="shared" si="13"/>
        <v>0.3</v>
      </c>
      <c r="K8" s="28"/>
      <c r="L8" s="20">
        <f t="shared" si="14"/>
        <v>16</v>
      </c>
      <c r="M8" s="20">
        <f t="shared" si="14"/>
        <v>23</v>
      </c>
      <c r="N8" s="29"/>
      <c r="O8" s="17"/>
      <c r="P8" s="18">
        <f t="shared" si="15"/>
        <v>20</v>
      </c>
      <c r="Q8" s="14">
        <f t="shared" si="3"/>
        <v>-20</v>
      </c>
      <c r="R8" s="37">
        <f t="shared" si="16"/>
        <v>0</v>
      </c>
      <c r="S8" s="18">
        <f>'青岛 - 螺纹'!S8</f>
        <v>4238</v>
      </c>
      <c r="T8" s="38">
        <f t="shared" si="17"/>
        <v>4238</v>
      </c>
      <c r="U8" s="20">
        <f t="shared" si="4"/>
        <v>0</v>
      </c>
      <c r="V8" s="30"/>
      <c r="W8" s="30"/>
      <c r="X8" s="30"/>
      <c r="Y8" s="30"/>
      <c r="Z8" s="30"/>
      <c r="AA8" s="30"/>
      <c r="AB8" s="30"/>
      <c r="AC8" s="30"/>
      <c r="AD8" s="30"/>
      <c r="AE8" s="30">
        <f t="shared" si="18"/>
        <v>6</v>
      </c>
      <c r="AF8" s="30">
        <v>16.3</v>
      </c>
      <c r="AG8" s="30">
        <v>18</v>
      </c>
    </row>
    <row r="9" spans="1:33">
      <c r="A9" s="16">
        <f t="shared" si="8"/>
        <v>44507</v>
      </c>
      <c r="B9" s="17"/>
      <c r="C9" s="18">
        <f t="shared" si="9"/>
        <v>12.6</v>
      </c>
      <c r="D9" s="18">
        <f t="shared" si="1"/>
        <v>12.6</v>
      </c>
      <c r="E9" s="18">
        <f t="shared" si="2"/>
        <v>12.6</v>
      </c>
      <c r="F9" s="19">
        <v>1</v>
      </c>
      <c r="G9" s="14">
        <f t="shared" si="10"/>
        <v>18</v>
      </c>
      <c r="H9" s="20">
        <f t="shared" si="11"/>
        <v>0.7</v>
      </c>
      <c r="I9" s="20">
        <f t="shared" si="12"/>
        <v>0</v>
      </c>
      <c r="J9" s="28">
        <f t="shared" si="13"/>
        <v>0.3</v>
      </c>
      <c r="K9" s="28"/>
      <c r="L9" s="20">
        <f t="shared" si="14"/>
        <v>16</v>
      </c>
      <c r="M9" s="20">
        <f t="shared" si="14"/>
        <v>23</v>
      </c>
      <c r="N9" s="29"/>
      <c r="O9" s="17"/>
      <c r="P9" s="18">
        <f t="shared" si="15"/>
        <v>20</v>
      </c>
      <c r="Q9" s="14">
        <f t="shared" si="3"/>
        <v>-20</v>
      </c>
      <c r="R9" s="37">
        <f t="shared" si="16"/>
        <v>0</v>
      </c>
      <c r="S9" s="18">
        <f>'青岛 - 螺纹'!S9</f>
        <v>4238</v>
      </c>
      <c r="T9" s="38">
        <f t="shared" si="17"/>
        <v>4238</v>
      </c>
      <c r="U9" s="20">
        <f t="shared" si="4"/>
        <v>0</v>
      </c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>
        <v>21</v>
      </c>
    </row>
    <row r="10" spans="1:33">
      <c r="A10" s="16">
        <f t="shared" si="8"/>
        <v>44508</v>
      </c>
      <c r="B10" s="17"/>
      <c r="C10" s="18">
        <f t="shared" si="9"/>
        <v>17.7</v>
      </c>
      <c r="D10" s="18">
        <f t="shared" si="1"/>
        <v>17.7</v>
      </c>
      <c r="E10" s="18">
        <f t="shared" si="2"/>
        <v>12.6</v>
      </c>
      <c r="F10" s="19">
        <f>AF9/AG9</f>
        <v>0</v>
      </c>
      <c r="G10" s="14">
        <f t="shared" si="10"/>
        <v>18</v>
      </c>
      <c r="H10" s="20">
        <f t="shared" si="11"/>
        <v>0.7</v>
      </c>
      <c r="I10" s="20">
        <f t="shared" si="12"/>
        <v>17</v>
      </c>
      <c r="J10" s="28">
        <f t="shared" si="13"/>
        <v>0.3</v>
      </c>
      <c r="K10" s="28"/>
      <c r="L10" s="20">
        <f t="shared" si="14"/>
        <v>16</v>
      </c>
      <c r="M10" s="20">
        <f t="shared" si="14"/>
        <v>23</v>
      </c>
      <c r="N10" s="29"/>
      <c r="O10" s="17"/>
      <c r="P10" s="18">
        <f t="shared" si="15"/>
        <v>20</v>
      </c>
      <c r="Q10" s="14">
        <f t="shared" si="3"/>
        <v>-20</v>
      </c>
      <c r="R10" s="37">
        <f t="shared" si="16"/>
        <v>0</v>
      </c>
      <c r="S10" s="18">
        <f>'青岛 - 螺纹'!S10</f>
        <v>4255</v>
      </c>
      <c r="T10" s="38">
        <f t="shared" si="17"/>
        <v>4238</v>
      </c>
      <c r="U10" s="20">
        <f t="shared" si="4"/>
        <v>17</v>
      </c>
      <c r="V10" s="30"/>
      <c r="W10" s="30"/>
      <c r="X10" s="30"/>
      <c r="Y10" s="30"/>
      <c r="Z10" s="30"/>
      <c r="AA10" s="30"/>
      <c r="AB10" s="30"/>
      <c r="AC10" s="30"/>
      <c r="AD10" s="30"/>
      <c r="AE10" s="30">
        <v>1.2</v>
      </c>
      <c r="AF10" s="30">
        <v>1.2</v>
      </c>
      <c r="AG10" s="17">
        <f>18.9/6</f>
        <v>3.15</v>
      </c>
    </row>
    <row r="11" spans="1:33">
      <c r="A11" s="16">
        <f t="shared" si="8"/>
        <v>44509</v>
      </c>
      <c r="B11" s="17"/>
      <c r="C11" s="18">
        <f t="shared" si="9"/>
        <v>12.6</v>
      </c>
      <c r="D11" s="18">
        <f t="shared" si="1"/>
        <v>12.6</v>
      </c>
      <c r="E11" s="18">
        <f t="shared" si="2"/>
        <v>17.7</v>
      </c>
      <c r="F11" s="19">
        <f>AF10/AG10</f>
        <v>0.38095238095238093</v>
      </c>
      <c r="G11" s="14">
        <f t="shared" si="10"/>
        <v>18</v>
      </c>
      <c r="H11" s="20">
        <f t="shared" si="11"/>
        <v>0.7</v>
      </c>
      <c r="I11" s="20">
        <f t="shared" si="12"/>
        <v>0</v>
      </c>
      <c r="J11" s="28">
        <f t="shared" si="13"/>
        <v>0.3</v>
      </c>
      <c r="K11" s="28"/>
      <c r="L11" s="20">
        <f t="shared" si="14"/>
        <v>16</v>
      </c>
      <c r="M11" s="20">
        <f t="shared" si="14"/>
        <v>23</v>
      </c>
      <c r="N11" s="29"/>
      <c r="O11" s="17"/>
      <c r="P11" s="18">
        <f t="shared" si="15"/>
        <v>20</v>
      </c>
      <c r="Q11" s="14">
        <f t="shared" si="3"/>
        <v>-20</v>
      </c>
      <c r="R11" s="37">
        <f t="shared" si="16"/>
        <v>0</v>
      </c>
      <c r="S11" s="18">
        <f>'青岛 - 螺纹'!S11</f>
        <v>4255</v>
      </c>
      <c r="T11" s="38">
        <f t="shared" si="17"/>
        <v>4255</v>
      </c>
      <c r="U11" s="20">
        <f t="shared" si="4"/>
        <v>0</v>
      </c>
      <c r="V11" s="30"/>
      <c r="W11" s="30"/>
      <c r="X11" s="30"/>
      <c r="Y11" s="30"/>
      <c r="Z11" s="30"/>
      <c r="AA11" s="30"/>
      <c r="AB11" s="30"/>
      <c r="AC11" s="30"/>
      <c r="AD11" s="30"/>
      <c r="AE11" s="30">
        <f>AF11-AF10</f>
        <v>1.0000000000000002</v>
      </c>
      <c r="AF11" s="30">
        <v>2.2000000000000002</v>
      </c>
      <c r="AG11" s="17">
        <f>18.9/6*2</f>
        <v>6.3</v>
      </c>
    </row>
    <row r="12" spans="1:33">
      <c r="A12" s="16">
        <f t="shared" si="8"/>
        <v>44510</v>
      </c>
      <c r="B12" s="17"/>
      <c r="C12" s="18">
        <f t="shared" si="9"/>
        <v>23.1</v>
      </c>
      <c r="D12" s="18">
        <f t="shared" si="1"/>
        <v>23.1</v>
      </c>
      <c r="E12" s="18">
        <f t="shared" si="2"/>
        <v>12.6</v>
      </c>
      <c r="F12" s="19">
        <f>AF11/AG11</f>
        <v>0.34920634920634924</v>
      </c>
      <c r="G12" s="14">
        <f t="shared" si="10"/>
        <v>18</v>
      </c>
      <c r="H12" s="20">
        <f t="shared" si="11"/>
        <v>0.7</v>
      </c>
      <c r="I12" s="20">
        <f t="shared" si="12"/>
        <v>35</v>
      </c>
      <c r="J12" s="28">
        <f t="shared" si="13"/>
        <v>0.3</v>
      </c>
      <c r="K12" s="28"/>
      <c r="L12" s="20">
        <f t="shared" si="14"/>
        <v>16</v>
      </c>
      <c r="M12" s="20">
        <f t="shared" si="14"/>
        <v>23</v>
      </c>
      <c r="N12" s="29"/>
      <c r="O12" s="17"/>
      <c r="P12" s="18">
        <f t="shared" si="15"/>
        <v>20</v>
      </c>
      <c r="Q12" s="14">
        <f t="shared" si="3"/>
        <v>-20</v>
      </c>
      <c r="R12" s="37">
        <f t="shared" si="16"/>
        <v>0</v>
      </c>
      <c r="S12" s="18">
        <f>'青岛 - 螺纹'!S12</f>
        <v>4290</v>
      </c>
      <c r="T12" s="38">
        <f t="shared" si="17"/>
        <v>4255</v>
      </c>
      <c r="U12" s="20">
        <f t="shared" si="4"/>
        <v>35</v>
      </c>
      <c r="V12" s="30"/>
      <c r="W12" s="30"/>
      <c r="X12" s="30"/>
      <c r="Y12" s="30"/>
      <c r="Z12" s="30"/>
      <c r="AA12" s="30"/>
      <c r="AB12" s="30"/>
      <c r="AC12" s="30"/>
      <c r="AD12" s="30"/>
      <c r="AE12" s="30">
        <f t="shared" ref="AE12:AE15" si="20">AF12-AF11</f>
        <v>1.6999999999999997</v>
      </c>
      <c r="AF12" s="30">
        <v>3.9</v>
      </c>
      <c r="AG12" s="17">
        <f>18.9/6*3</f>
        <v>9.4499999999999993</v>
      </c>
    </row>
    <row r="13" spans="1:33">
      <c r="A13" s="16">
        <f t="shared" si="8"/>
        <v>44511</v>
      </c>
      <c r="B13" s="17"/>
      <c r="C13" s="18">
        <f t="shared" si="9"/>
        <v>-8.7000000000000011</v>
      </c>
      <c r="D13" s="18">
        <f t="shared" si="1"/>
        <v>-8.7000000000000011</v>
      </c>
      <c r="E13" s="18">
        <f t="shared" si="2"/>
        <v>23.1</v>
      </c>
      <c r="F13" s="19">
        <f>AF12/AG12</f>
        <v>0.41269841269841273</v>
      </c>
      <c r="G13" s="14">
        <f t="shared" si="10"/>
        <v>18</v>
      </c>
      <c r="H13" s="20">
        <f t="shared" si="11"/>
        <v>0.7</v>
      </c>
      <c r="I13" s="20">
        <f t="shared" si="12"/>
        <v>-71</v>
      </c>
      <c r="J13" s="28">
        <f t="shared" si="13"/>
        <v>0.3</v>
      </c>
      <c r="K13" s="28"/>
      <c r="L13" s="20">
        <f t="shared" si="14"/>
        <v>16</v>
      </c>
      <c r="M13" s="20">
        <f t="shared" si="14"/>
        <v>23</v>
      </c>
      <c r="N13" s="29"/>
      <c r="O13" s="17"/>
      <c r="P13" s="18">
        <f t="shared" si="15"/>
        <v>20</v>
      </c>
      <c r="Q13" s="14">
        <f t="shared" si="3"/>
        <v>-20</v>
      </c>
      <c r="R13" s="37">
        <f t="shared" si="16"/>
        <v>0</v>
      </c>
      <c r="S13" s="18">
        <f>'青岛 - 螺纹'!S13</f>
        <v>4219</v>
      </c>
      <c r="T13" s="38">
        <f t="shared" si="17"/>
        <v>4290</v>
      </c>
      <c r="U13" s="20">
        <f t="shared" si="4"/>
        <v>-71</v>
      </c>
      <c r="V13" s="30"/>
      <c r="W13" s="30"/>
      <c r="X13" s="30"/>
      <c r="Y13" s="30"/>
      <c r="Z13" s="30"/>
      <c r="AA13" s="30"/>
      <c r="AB13" s="30"/>
      <c r="AC13" s="30"/>
      <c r="AD13" s="30"/>
      <c r="AE13" s="30">
        <f t="shared" si="20"/>
        <v>7.1999999999999993</v>
      </c>
      <c r="AF13" s="30">
        <v>11.1</v>
      </c>
      <c r="AG13" s="17">
        <f>18.9/6*4</f>
        <v>12.6</v>
      </c>
    </row>
    <row r="14" spans="1:33">
      <c r="A14" s="16">
        <f t="shared" si="8"/>
        <v>44512</v>
      </c>
      <c r="B14" s="17"/>
      <c r="C14" s="18">
        <f t="shared" si="9"/>
        <v>74.399999999999991</v>
      </c>
      <c r="D14" s="18">
        <f t="shared" si="1"/>
        <v>74.399999999999991</v>
      </c>
      <c r="E14" s="18">
        <f t="shared" si="2"/>
        <v>-8.7000000000000011</v>
      </c>
      <c r="F14" s="19">
        <f>AF13/AG13</f>
        <v>0.88095238095238093</v>
      </c>
      <c r="G14" s="14">
        <f t="shared" si="10"/>
        <v>18</v>
      </c>
      <c r="H14" s="20">
        <f t="shared" si="11"/>
        <v>0.7</v>
      </c>
      <c r="I14" s="20">
        <f t="shared" si="12"/>
        <v>206</v>
      </c>
      <c r="J14" s="28">
        <f t="shared" si="13"/>
        <v>0.3</v>
      </c>
      <c r="K14" s="28"/>
      <c r="L14" s="20">
        <f t="shared" si="14"/>
        <v>16</v>
      </c>
      <c r="M14" s="20">
        <f t="shared" si="14"/>
        <v>23</v>
      </c>
      <c r="N14" s="29"/>
      <c r="O14" s="17"/>
      <c r="P14" s="18">
        <f t="shared" si="15"/>
        <v>20</v>
      </c>
      <c r="Q14" s="14">
        <f t="shared" si="3"/>
        <v>-20</v>
      </c>
      <c r="R14" s="37">
        <f t="shared" si="16"/>
        <v>0</v>
      </c>
      <c r="S14" s="18">
        <f>'青岛 - 螺纹'!S14</f>
        <v>4425</v>
      </c>
      <c r="T14" s="38">
        <f t="shared" si="17"/>
        <v>4219</v>
      </c>
      <c r="U14" s="20">
        <f t="shared" si="4"/>
        <v>206</v>
      </c>
      <c r="V14" s="30"/>
      <c r="W14" s="30"/>
      <c r="X14" s="30"/>
      <c r="Y14" s="30"/>
      <c r="Z14" s="30"/>
      <c r="AA14" s="30"/>
      <c r="AB14" s="30"/>
      <c r="AC14" s="30"/>
      <c r="AD14" s="30"/>
      <c r="AE14" s="30">
        <f t="shared" si="20"/>
        <v>-11.1</v>
      </c>
      <c r="AF14" s="30"/>
      <c r="AG14" s="17">
        <f>18.9/6*5</f>
        <v>15.75</v>
      </c>
    </row>
    <row r="15" spans="1:33">
      <c r="A15" s="16">
        <f t="shared" si="8"/>
        <v>44513</v>
      </c>
      <c r="B15" s="17"/>
      <c r="C15" s="18">
        <f t="shared" si="9"/>
        <v>-1314.9</v>
      </c>
      <c r="D15" s="18">
        <f t="shared" si="1"/>
        <v>-1314.9</v>
      </c>
      <c r="E15" s="18">
        <f t="shared" si="2"/>
        <v>74.399999999999991</v>
      </c>
      <c r="F15" s="19">
        <f t="shared" ref="F15:F21" si="21">AF14/AG14</f>
        <v>0</v>
      </c>
      <c r="G15" s="14">
        <f t="shared" si="10"/>
        <v>18</v>
      </c>
      <c r="H15" s="20">
        <f t="shared" si="11"/>
        <v>0.7</v>
      </c>
      <c r="I15" s="20">
        <f t="shared" si="12"/>
        <v>-4425</v>
      </c>
      <c r="J15" s="28">
        <f t="shared" si="13"/>
        <v>0.3</v>
      </c>
      <c r="K15" s="28"/>
      <c r="L15" s="20">
        <f t="shared" si="14"/>
        <v>16</v>
      </c>
      <c r="M15" s="20">
        <f t="shared" si="14"/>
        <v>23</v>
      </c>
      <c r="N15" s="29"/>
      <c r="O15" s="17"/>
      <c r="P15" s="18">
        <f t="shared" si="15"/>
        <v>20</v>
      </c>
      <c r="Q15" s="14">
        <f t="shared" si="3"/>
        <v>-20</v>
      </c>
      <c r="R15" s="37">
        <f t="shared" si="16"/>
        <v>0</v>
      </c>
      <c r="S15" s="18">
        <f>'青岛 - 螺纹'!S15</f>
        <v>0</v>
      </c>
      <c r="T15" s="38">
        <f t="shared" si="17"/>
        <v>4425</v>
      </c>
      <c r="U15" s="20">
        <f t="shared" si="4"/>
        <v>-4425</v>
      </c>
      <c r="V15" s="30"/>
      <c r="W15" s="30"/>
      <c r="X15" s="30"/>
      <c r="Y15" s="30"/>
      <c r="Z15" s="30"/>
      <c r="AA15" s="30"/>
      <c r="AB15" s="30"/>
      <c r="AC15" s="30"/>
      <c r="AD15" s="30"/>
      <c r="AE15" s="30">
        <f t="shared" si="20"/>
        <v>0</v>
      </c>
      <c r="AF15" s="30"/>
      <c r="AG15" s="17">
        <f>18.9/6*5.5</f>
        <v>17.324999999999999</v>
      </c>
    </row>
    <row r="16" spans="1:33">
      <c r="A16" s="16">
        <f t="shared" si="8"/>
        <v>44514</v>
      </c>
      <c r="B16" s="17"/>
      <c r="C16" s="18">
        <f t="shared" si="9"/>
        <v>1340.1</v>
      </c>
      <c r="D16" s="18">
        <f t="shared" si="1"/>
        <v>1340.1</v>
      </c>
      <c r="E16" s="18">
        <f t="shared" si="2"/>
        <v>-1314.9</v>
      </c>
      <c r="F16" s="19">
        <f t="shared" si="21"/>
        <v>0</v>
      </c>
      <c r="G16" s="14">
        <f t="shared" si="10"/>
        <v>18</v>
      </c>
      <c r="H16" s="20">
        <f t="shared" si="11"/>
        <v>0.7</v>
      </c>
      <c r="I16" s="20">
        <f t="shared" si="12"/>
        <v>4425</v>
      </c>
      <c r="J16" s="28">
        <f t="shared" si="13"/>
        <v>0.3</v>
      </c>
      <c r="K16" s="28"/>
      <c r="L16" s="20">
        <f t="shared" si="14"/>
        <v>16</v>
      </c>
      <c r="M16" s="20">
        <f t="shared" si="14"/>
        <v>23</v>
      </c>
      <c r="N16" s="29"/>
      <c r="O16" s="17"/>
      <c r="P16" s="18">
        <f t="shared" si="15"/>
        <v>20</v>
      </c>
      <c r="Q16" s="14">
        <f t="shared" si="3"/>
        <v>-20</v>
      </c>
      <c r="R16" s="37">
        <f t="shared" si="16"/>
        <v>0</v>
      </c>
      <c r="S16" s="18">
        <f>'青岛 - 螺纹'!S16</f>
        <v>4425</v>
      </c>
      <c r="T16" s="38">
        <f t="shared" si="17"/>
        <v>0</v>
      </c>
      <c r="U16" s="20">
        <f t="shared" si="4"/>
        <v>4425</v>
      </c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17">
        <f>18.9/6*6</f>
        <v>18.899999999999999</v>
      </c>
    </row>
    <row r="17" spans="1:33">
      <c r="A17" s="16">
        <f t="shared" si="8"/>
        <v>44515</v>
      </c>
      <c r="B17" s="17">
        <v>4620</v>
      </c>
      <c r="C17" s="18">
        <f t="shared" si="9"/>
        <v>3149.6</v>
      </c>
      <c r="D17" s="18">
        <f t="shared" si="1"/>
        <v>3149.6</v>
      </c>
      <c r="E17" s="18">
        <f t="shared" si="2"/>
        <v>1340.1</v>
      </c>
      <c r="F17" s="19">
        <f t="shared" si="21"/>
        <v>0</v>
      </c>
      <c r="G17" s="14">
        <f t="shared" si="10"/>
        <v>4598</v>
      </c>
      <c r="H17" s="20">
        <f t="shared" si="11"/>
        <v>0.7</v>
      </c>
      <c r="I17" s="20">
        <f t="shared" si="12"/>
        <v>-230</v>
      </c>
      <c r="J17" s="28">
        <f t="shared" si="13"/>
        <v>0.3</v>
      </c>
      <c r="K17" s="28"/>
      <c r="L17" s="20">
        <f t="shared" si="14"/>
        <v>16</v>
      </c>
      <c r="M17" s="20">
        <f t="shared" si="14"/>
        <v>23</v>
      </c>
      <c r="N17" s="29"/>
      <c r="O17" s="17">
        <v>4580</v>
      </c>
      <c r="P17" s="18">
        <f t="shared" si="15"/>
        <v>20</v>
      </c>
      <c r="Q17" s="14">
        <f t="shared" si="3"/>
        <v>-20</v>
      </c>
      <c r="R17" s="37">
        <f t="shared" si="16"/>
        <v>4580</v>
      </c>
      <c r="S17" s="18">
        <f>'青岛 - 螺纹'!S17</f>
        <v>4195</v>
      </c>
      <c r="T17" s="38">
        <f t="shared" si="17"/>
        <v>4425</v>
      </c>
      <c r="U17" s="20">
        <f t="shared" si="4"/>
        <v>-230</v>
      </c>
      <c r="V17" s="30"/>
      <c r="W17" s="30"/>
      <c r="X17" s="30"/>
      <c r="Y17" s="30"/>
      <c r="Z17" s="30"/>
      <c r="AA17" s="30"/>
      <c r="AB17" s="30"/>
      <c r="AC17" s="30"/>
      <c r="AD17" s="30"/>
      <c r="AE17" s="17">
        <v>3432</v>
      </c>
      <c r="AF17" s="17">
        <v>3432</v>
      </c>
      <c r="AG17" s="17">
        <v>9807</v>
      </c>
    </row>
    <row r="18" spans="1:33">
      <c r="A18" s="16">
        <f t="shared" si="8"/>
        <v>44516</v>
      </c>
      <c r="B18" s="17">
        <f>4800-180</f>
        <v>4620</v>
      </c>
      <c r="C18" s="18">
        <f t="shared" si="9"/>
        <v>2.4499999999999993</v>
      </c>
      <c r="D18" s="18">
        <f t="shared" si="1"/>
        <v>4622.45</v>
      </c>
      <c r="E18" s="18">
        <f t="shared" si="2"/>
        <v>3149.6</v>
      </c>
      <c r="F18" s="19">
        <f t="shared" si="21"/>
        <v>0.34995411440807589</v>
      </c>
      <c r="G18" s="14">
        <f t="shared" si="10"/>
        <v>21.5</v>
      </c>
      <c r="H18" s="20">
        <f t="shared" si="11"/>
        <v>0.7</v>
      </c>
      <c r="I18" s="20">
        <f t="shared" si="12"/>
        <v>-42</v>
      </c>
      <c r="J18" s="28">
        <f t="shared" si="13"/>
        <v>0.3</v>
      </c>
      <c r="K18" s="28"/>
      <c r="L18" s="20">
        <f t="shared" si="14"/>
        <v>16</v>
      </c>
      <c r="M18" s="20">
        <f t="shared" si="14"/>
        <v>23</v>
      </c>
      <c r="N18" s="29"/>
      <c r="O18" s="17">
        <v>4600</v>
      </c>
      <c r="P18" s="18">
        <f t="shared" si="15"/>
        <v>20</v>
      </c>
      <c r="Q18" s="14">
        <f t="shared" si="3"/>
        <v>20</v>
      </c>
      <c r="R18" s="37">
        <f t="shared" si="16"/>
        <v>20</v>
      </c>
      <c r="S18" s="18">
        <f>'青岛 - 螺纹'!S18</f>
        <v>4153</v>
      </c>
      <c r="T18" s="38">
        <f t="shared" si="17"/>
        <v>4195</v>
      </c>
      <c r="U18" s="20">
        <f t="shared" si="4"/>
        <v>-42</v>
      </c>
      <c r="V18" s="30"/>
      <c r="W18" s="30"/>
      <c r="X18" s="30"/>
      <c r="Y18" s="30"/>
      <c r="Z18" s="30"/>
      <c r="AA18" s="30"/>
      <c r="AB18" s="30"/>
      <c r="AC18" s="30"/>
      <c r="AD18" s="30"/>
      <c r="AE18" s="17"/>
      <c r="AF18" s="17"/>
      <c r="AG18" s="17"/>
    </row>
    <row r="19" spans="1:33">
      <c r="A19" s="16">
        <f t="shared" si="8"/>
        <v>44517</v>
      </c>
      <c r="B19" s="17">
        <v>4620</v>
      </c>
      <c r="C19" s="18">
        <f t="shared" si="9"/>
        <v>-2.9</v>
      </c>
      <c r="D19" s="18">
        <f t="shared" si="1"/>
        <v>4617.1000000000004</v>
      </c>
      <c r="E19" s="18">
        <f t="shared" si="2"/>
        <v>4622.45</v>
      </c>
      <c r="F19" s="19" t="e">
        <f t="shared" si="21"/>
        <v>#DIV/0!</v>
      </c>
      <c r="G19" s="14">
        <f t="shared" si="10"/>
        <v>-2</v>
      </c>
      <c r="H19" s="20">
        <f t="shared" si="11"/>
        <v>0.7</v>
      </c>
      <c r="I19" s="20">
        <f t="shared" si="12"/>
        <v>-5</v>
      </c>
      <c r="J19" s="28">
        <f t="shared" si="13"/>
        <v>0.3</v>
      </c>
      <c r="K19" s="28"/>
      <c r="L19" s="20">
        <f t="shared" si="14"/>
        <v>16</v>
      </c>
      <c r="M19" s="20">
        <f t="shared" si="14"/>
        <v>23</v>
      </c>
      <c r="N19" s="29"/>
      <c r="O19" s="17">
        <v>4590</v>
      </c>
      <c r="P19" s="18">
        <f t="shared" si="15"/>
        <v>20</v>
      </c>
      <c r="Q19" s="14">
        <f t="shared" si="3"/>
        <v>0</v>
      </c>
      <c r="R19" s="37">
        <f t="shared" si="16"/>
        <v>-10</v>
      </c>
      <c r="S19" s="18">
        <f>'青岛 - 螺纹'!S19</f>
        <v>4148</v>
      </c>
      <c r="T19" s="38">
        <f t="shared" si="17"/>
        <v>4153</v>
      </c>
      <c r="U19" s="20">
        <f t="shared" si="4"/>
        <v>-5</v>
      </c>
      <c r="V19" s="30"/>
      <c r="W19" s="30"/>
      <c r="X19" s="30"/>
      <c r="Y19" s="30"/>
      <c r="Z19" s="30"/>
      <c r="AA19" s="30"/>
      <c r="AB19" s="30"/>
      <c r="AC19" s="30"/>
      <c r="AD19" s="30"/>
      <c r="AE19" s="17"/>
      <c r="AF19" s="17"/>
      <c r="AG19" s="17"/>
    </row>
    <row r="20" spans="1:33">
      <c r="A20" s="16">
        <f t="shared" si="8"/>
        <v>44518</v>
      </c>
      <c r="B20" s="17">
        <v>4590</v>
      </c>
      <c r="C20" s="18">
        <f t="shared" si="9"/>
        <v>8.5</v>
      </c>
      <c r="D20" s="18">
        <f t="shared" si="1"/>
        <v>4628.5</v>
      </c>
      <c r="E20" s="18">
        <f t="shared" si="2"/>
        <v>4617.1000000000004</v>
      </c>
      <c r="F20" s="19" t="e">
        <f t="shared" si="21"/>
        <v>#DIV/0!</v>
      </c>
      <c r="G20" s="14">
        <f t="shared" si="10"/>
        <v>-17</v>
      </c>
      <c r="H20" s="20">
        <f t="shared" si="11"/>
        <v>0.7</v>
      </c>
      <c r="I20" s="20">
        <f t="shared" si="12"/>
        <v>68</v>
      </c>
      <c r="J20" s="28">
        <f t="shared" si="13"/>
        <v>0.3</v>
      </c>
      <c r="K20" s="28"/>
      <c r="L20" s="20">
        <f t="shared" si="14"/>
        <v>16</v>
      </c>
      <c r="M20" s="20">
        <f t="shared" si="14"/>
        <v>23</v>
      </c>
      <c r="N20" s="29"/>
      <c r="O20" s="30">
        <v>4570</v>
      </c>
      <c r="P20" s="18">
        <f t="shared" si="15"/>
        <v>20</v>
      </c>
      <c r="Q20" s="14">
        <f t="shared" si="3"/>
        <v>10</v>
      </c>
      <c r="R20" s="37">
        <f t="shared" si="16"/>
        <v>-20</v>
      </c>
      <c r="S20" s="18">
        <f>'青岛 - 螺纹'!S20</f>
        <v>4216</v>
      </c>
      <c r="T20" s="38">
        <f t="shared" si="17"/>
        <v>4148</v>
      </c>
      <c r="U20" s="20">
        <f t="shared" si="4"/>
        <v>68</v>
      </c>
      <c r="V20" s="30"/>
      <c r="W20" s="30"/>
      <c r="X20" s="30"/>
      <c r="Y20" s="30"/>
      <c r="Z20" s="30"/>
      <c r="AA20" s="30"/>
      <c r="AB20" s="30"/>
      <c r="AC20" s="30"/>
      <c r="AD20" s="30"/>
      <c r="AE20" s="17"/>
      <c r="AF20" s="17"/>
      <c r="AG20" s="17"/>
    </row>
    <row r="21" spans="1:33">
      <c r="A21" s="16">
        <f t="shared" si="8"/>
        <v>44519</v>
      </c>
      <c r="B21" s="17">
        <v>4570</v>
      </c>
      <c r="C21" s="18">
        <f t="shared" si="9"/>
        <v>-18.2</v>
      </c>
      <c r="D21" s="18">
        <f t="shared" si="1"/>
        <v>4571.8</v>
      </c>
      <c r="E21" s="18">
        <f t="shared" si="2"/>
        <v>4628.5</v>
      </c>
      <c r="F21" s="19" t="e">
        <f t="shared" si="21"/>
        <v>#DIV/0!</v>
      </c>
      <c r="G21" s="14">
        <f t="shared" si="10"/>
        <v>-2</v>
      </c>
      <c r="H21" s="20">
        <f t="shared" si="11"/>
        <v>0.7</v>
      </c>
      <c r="I21" s="20">
        <f t="shared" si="12"/>
        <v>-56</v>
      </c>
      <c r="J21" s="28">
        <f t="shared" si="13"/>
        <v>0.3</v>
      </c>
      <c r="K21" s="28"/>
      <c r="L21" s="20">
        <f t="shared" ref="L21:M21" si="22">L20</f>
        <v>16</v>
      </c>
      <c r="M21" s="20">
        <f t="shared" si="22"/>
        <v>23</v>
      </c>
      <c r="N21" s="29"/>
      <c r="O21" s="30">
        <v>4560</v>
      </c>
      <c r="P21" s="18">
        <f t="shared" si="15"/>
        <v>20</v>
      </c>
      <c r="Q21" s="14">
        <f t="shared" si="3"/>
        <v>0</v>
      </c>
      <c r="R21" s="37">
        <f t="shared" si="16"/>
        <v>-10</v>
      </c>
      <c r="S21" s="18">
        <f>'青岛 - 螺纹'!S21</f>
        <v>4160</v>
      </c>
      <c r="T21" s="38">
        <f t="shared" si="17"/>
        <v>4216</v>
      </c>
      <c r="U21" s="20">
        <f t="shared" si="4"/>
        <v>-56</v>
      </c>
      <c r="V21" s="30"/>
      <c r="W21" s="30"/>
      <c r="X21" s="30"/>
      <c r="Y21" s="30"/>
      <c r="Z21" s="30"/>
      <c r="AA21" s="30"/>
      <c r="AB21" s="30"/>
      <c r="AC21" s="30"/>
      <c r="AD21" s="30"/>
      <c r="AE21" s="17"/>
      <c r="AF21" s="17"/>
      <c r="AG21" s="17"/>
    </row>
    <row r="22" spans="1:33">
      <c r="A22" s="16">
        <f t="shared" si="8"/>
        <v>44520</v>
      </c>
      <c r="B22" s="17">
        <v>4600</v>
      </c>
      <c r="C22" s="18">
        <f t="shared" ref="C22:C29" si="23">H22*G22+J22*I22+K22</f>
        <v>2.0999999999999996</v>
      </c>
      <c r="D22" s="18">
        <f t="shared" ref="D22:D29" si="24">B21+C22</f>
        <v>4572.1000000000004</v>
      </c>
      <c r="E22" s="18">
        <f t="shared" ref="E22:E29" si="25">D21</f>
        <v>4571.8</v>
      </c>
      <c r="F22" s="19" t="e">
        <f t="shared" ref="F22:F29" si="26">AF21/AG21</f>
        <v>#DIV/0!</v>
      </c>
      <c r="G22" s="14">
        <f t="shared" ref="G22:G29" si="27">IF((Q22-L22)&lt;0,-(Q22-L22)/2,IF((Q22-L22)&gt;0,-(Q22-M22)/2,0))+R22</f>
        <v>3</v>
      </c>
      <c r="H22" s="20">
        <f t="shared" si="11"/>
        <v>0.7</v>
      </c>
      <c r="I22" s="20">
        <f t="shared" ref="I22:I29" si="28">U22</f>
        <v>0</v>
      </c>
      <c r="J22" s="28">
        <f t="shared" si="13"/>
        <v>0.3</v>
      </c>
      <c r="K22" s="28"/>
      <c r="L22" s="20">
        <f t="shared" ref="L22:M22" si="29">L21</f>
        <v>16</v>
      </c>
      <c r="M22" s="20">
        <f t="shared" si="29"/>
        <v>23</v>
      </c>
      <c r="N22" s="29"/>
      <c r="O22" s="30">
        <v>4550</v>
      </c>
      <c r="P22" s="18">
        <f t="shared" si="15"/>
        <v>20</v>
      </c>
      <c r="Q22" s="14">
        <f t="shared" ref="Q22:Q29" si="30">B21-(O21+P21)</f>
        <v>-10</v>
      </c>
      <c r="R22" s="37">
        <f t="shared" ref="R22:R29" si="31">O22-O21</f>
        <v>-10</v>
      </c>
      <c r="S22" s="18">
        <f>'青岛 - 螺纹'!S22</f>
        <v>4160</v>
      </c>
      <c r="T22" s="38">
        <f t="shared" ref="T22:T29" si="32">S21</f>
        <v>4160</v>
      </c>
      <c r="U22" s="20">
        <f t="shared" ref="U22:U29" si="33">S22-T22</f>
        <v>0</v>
      </c>
      <c r="V22" s="30"/>
      <c r="W22" s="30"/>
      <c r="X22" s="30"/>
      <c r="Y22" s="30"/>
      <c r="Z22" s="30"/>
      <c r="AA22" s="30"/>
      <c r="AB22" s="30"/>
      <c r="AC22" s="30"/>
      <c r="AD22" s="30"/>
      <c r="AE22" s="17"/>
      <c r="AF22" s="17"/>
      <c r="AG22" s="17"/>
    </row>
    <row r="23" spans="1:33">
      <c r="A23" s="16">
        <f t="shared" si="8"/>
        <v>44521</v>
      </c>
      <c r="B23" s="17">
        <v>4600</v>
      </c>
      <c r="C23" s="18">
        <f t="shared" si="23"/>
        <v>39.549999999999997</v>
      </c>
      <c r="D23" s="18">
        <f t="shared" si="24"/>
        <v>4639.55</v>
      </c>
      <c r="E23" s="18">
        <f t="shared" si="25"/>
        <v>4572.1000000000004</v>
      </c>
      <c r="F23" s="19" t="e">
        <f t="shared" si="26"/>
        <v>#DIV/0!</v>
      </c>
      <c r="G23" s="14">
        <f t="shared" si="27"/>
        <v>56.5</v>
      </c>
      <c r="H23" s="20">
        <f t="shared" si="11"/>
        <v>0.7</v>
      </c>
      <c r="I23" s="20">
        <f t="shared" si="28"/>
        <v>0</v>
      </c>
      <c r="J23" s="28">
        <f t="shared" si="13"/>
        <v>0.3</v>
      </c>
      <c r="K23" s="28"/>
      <c r="L23" s="20">
        <f t="shared" ref="L23:M23" si="34">L22</f>
        <v>16</v>
      </c>
      <c r="M23" s="20">
        <f t="shared" si="34"/>
        <v>23</v>
      </c>
      <c r="N23" s="29"/>
      <c r="O23" s="30">
        <v>4610</v>
      </c>
      <c r="P23" s="18">
        <f t="shared" si="15"/>
        <v>20</v>
      </c>
      <c r="Q23" s="14">
        <f t="shared" si="30"/>
        <v>30</v>
      </c>
      <c r="R23" s="37">
        <f t="shared" si="31"/>
        <v>60</v>
      </c>
      <c r="S23" s="18">
        <f>'青岛 - 螺纹'!S23</f>
        <v>4160</v>
      </c>
      <c r="T23" s="38">
        <f t="shared" si="32"/>
        <v>4160</v>
      </c>
      <c r="U23" s="20">
        <f t="shared" si="33"/>
        <v>0</v>
      </c>
      <c r="V23" s="30"/>
      <c r="W23" s="30"/>
      <c r="X23" s="30"/>
      <c r="Y23" s="30"/>
      <c r="Z23" s="30"/>
      <c r="AA23" s="30"/>
      <c r="AB23" s="30"/>
      <c r="AC23" s="30"/>
      <c r="AD23" s="30"/>
      <c r="AE23" s="17"/>
      <c r="AF23" s="17"/>
      <c r="AG23" s="17"/>
    </row>
    <row r="24" spans="1:33">
      <c r="A24" s="16">
        <f t="shared" si="8"/>
        <v>44522</v>
      </c>
      <c r="B24" s="17">
        <v>4600</v>
      </c>
      <c r="C24" s="18">
        <f t="shared" si="23"/>
        <v>57.099999999999994</v>
      </c>
      <c r="D24" s="18">
        <f t="shared" si="24"/>
        <v>4657.1000000000004</v>
      </c>
      <c r="E24" s="18">
        <f t="shared" si="25"/>
        <v>4639.55</v>
      </c>
      <c r="F24" s="19" t="e">
        <f t="shared" si="26"/>
        <v>#DIV/0!</v>
      </c>
      <c r="G24" s="14">
        <f t="shared" si="27"/>
        <v>43</v>
      </c>
      <c r="H24" s="20">
        <f t="shared" si="11"/>
        <v>0.7</v>
      </c>
      <c r="I24" s="20">
        <f t="shared" si="28"/>
        <v>90</v>
      </c>
      <c r="J24" s="28">
        <f t="shared" si="13"/>
        <v>0.3</v>
      </c>
      <c r="K24" s="28"/>
      <c r="L24" s="20">
        <f t="shared" ref="L24:M24" si="35">L23</f>
        <v>16</v>
      </c>
      <c r="M24" s="20">
        <f t="shared" si="35"/>
        <v>23</v>
      </c>
      <c r="N24" s="29"/>
      <c r="O24" s="30">
        <v>4630</v>
      </c>
      <c r="P24" s="18">
        <f t="shared" si="15"/>
        <v>20</v>
      </c>
      <c r="Q24" s="14">
        <f t="shared" si="30"/>
        <v>-30</v>
      </c>
      <c r="R24" s="37">
        <f t="shared" si="31"/>
        <v>20</v>
      </c>
      <c r="S24" s="18">
        <f>'青岛 - 螺纹'!S24</f>
        <v>4250</v>
      </c>
      <c r="T24" s="38">
        <f t="shared" si="32"/>
        <v>4160</v>
      </c>
      <c r="U24" s="20">
        <f t="shared" si="33"/>
        <v>90</v>
      </c>
      <c r="V24" s="30"/>
      <c r="W24" s="30"/>
      <c r="X24" s="30"/>
      <c r="Y24" s="30"/>
      <c r="Z24" s="30"/>
      <c r="AA24" s="30"/>
      <c r="AB24" s="30"/>
      <c r="AC24" s="30"/>
      <c r="AD24" s="30"/>
      <c r="AE24" s="17"/>
      <c r="AF24" s="17"/>
      <c r="AG24" s="17"/>
    </row>
    <row r="25" spans="1:33">
      <c r="A25" s="16">
        <f t="shared" si="8"/>
        <v>44523</v>
      </c>
      <c r="B25" s="17"/>
      <c r="C25" s="18">
        <f t="shared" si="23"/>
        <v>38.099999999999994</v>
      </c>
      <c r="D25" s="18">
        <f t="shared" si="24"/>
        <v>4638.1000000000004</v>
      </c>
      <c r="E25" s="18">
        <f t="shared" si="25"/>
        <v>4657.1000000000004</v>
      </c>
      <c r="F25" s="19" t="e">
        <f t="shared" si="26"/>
        <v>#DIV/0!</v>
      </c>
      <c r="G25" s="14">
        <f t="shared" si="27"/>
        <v>33</v>
      </c>
      <c r="H25" s="20">
        <f t="shared" si="11"/>
        <v>0.7</v>
      </c>
      <c r="I25" s="20">
        <f t="shared" si="28"/>
        <v>50</v>
      </c>
      <c r="J25" s="28">
        <f t="shared" si="13"/>
        <v>0.3</v>
      </c>
      <c r="K25" s="28"/>
      <c r="L25" s="20">
        <f t="shared" ref="L25:M25" si="36">L24</f>
        <v>16</v>
      </c>
      <c r="M25" s="20">
        <f t="shared" si="36"/>
        <v>23</v>
      </c>
      <c r="N25" s="29"/>
      <c r="O25" s="30">
        <v>4630</v>
      </c>
      <c r="P25" s="18">
        <f t="shared" si="15"/>
        <v>20</v>
      </c>
      <c r="Q25" s="14">
        <f t="shared" si="30"/>
        <v>-50</v>
      </c>
      <c r="R25" s="37">
        <f t="shared" si="31"/>
        <v>0</v>
      </c>
      <c r="S25" s="18">
        <f>'青岛 - 螺纹'!S25</f>
        <v>4300</v>
      </c>
      <c r="T25" s="38">
        <f t="shared" si="32"/>
        <v>4250</v>
      </c>
      <c r="U25" s="20">
        <f t="shared" si="33"/>
        <v>50</v>
      </c>
      <c r="V25" s="30"/>
      <c r="W25" s="30"/>
      <c r="X25" s="30"/>
      <c r="Y25" s="30"/>
      <c r="Z25" s="30"/>
      <c r="AA25" s="30"/>
      <c r="AB25" s="30"/>
      <c r="AC25" s="30"/>
      <c r="AD25" s="30"/>
      <c r="AE25" s="17"/>
      <c r="AF25" s="17"/>
      <c r="AG25" s="17"/>
    </row>
    <row r="26" spans="1:33">
      <c r="A26" s="16">
        <f t="shared" si="8"/>
        <v>44524</v>
      </c>
      <c r="B26" s="17"/>
      <c r="C26" s="18">
        <f t="shared" si="23"/>
        <v>-1603.3999999999999</v>
      </c>
      <c r="D26" s="18">
        <f t="shared" si="24"/>
        <v>-1603.3999999999999</v>
      </c>
      <c r="E26" s="18">
        <f t="shared" si="25"/>
        <v>4638.1000000000004</v>
      </c>
      <c r="F26" s="19" t="e">
        <f t="shared" si="26"/>
        <v>#DIV/0!</v>
      </c>
      <c r="G26" s="14">
        <f t="shared" si="27"/>
        <v>-2297</v>
      </c>
      <c r="H26" s="20">
        <f t="shared" si="11"/>
        <v>0.7</v>
      </c>
      <c r="I26" s="20">
        <f t="shared" si="28"/>
        <v>15</v>
      </c>
      <c r="J26" s="28">
        <f t="shared" si="13"/>
        <v>0.3</v>
      </c>
      <c r="K26" s="28"/>
      <c r="L26" s="20">
        <f t="shared" ref="L26:M26" si="37">L25</f>
        <v>16</v>
      </c>
      <c r="M26" s="20">
        <f t="shared" si="37"/>
        <v>23</v>
      </c>
      <c r="N26" s="29"/>
      <c r="O26" s="30"/>
      <c r="P26" s="18">
        <f t="shared" si="15"/>
        <v>20</v>
      </c>
      <c r="Q26" s="14">
        <f t="shared" si="30"/>
        <v>-4650</v>
      </c>
      <c r="R26" s="37">
        <f t="shared" si="31"/>
        <v>-4630</v>
      </c>
      <c r="S26" s="18">
        <f>'青岛 - 螺纹'!S26</f>
        <v>4315</v>
      </c>
      <c r="T26" s="38">
        <f t="shared" si="32"/>
        <v>4300</v>
      </c>
      <c r="U26" s="20">
        <f t="shared" si="33"/>
        <v>15</v>
      </c>
      <c r="V26" s="30"/>
      <c r="W26" s="30"/>
      <c r="X26" s="30"/>
      <c r="Y26" s="30"/>
      <c r="Z26" s="30"/>
      <c r="AA26" s="30"/>
      <c r="AB26" s="30"/>
      <c r="AC26" s="30"/>
      <c r="AD26" s="30"/>
      <c r="AE26" s="17"/>
      <c r="AF26" s="17"/>
      <c r="AG26" s="17"/>
    </row>
    <row r="27" spans="1:33">
      <c r="A27" s="16">
        <f t="shared" si="8"/>
        <v>44525</v>
      </c>
      <c r="B27" s="17"/>
      <c r="C27" s="18">
        <f t="shared" si="23"/>
        <v>60.6</v>
      </c>
      <c r="D27" s="18">
        <f t="shared" si="24"/>
        <v>60.6</v>
      </c>
      <c r="E27" s="18">
        <f t="shared" si="25"/>
        <v>-1603.3999999999999</v>
      </c>
      <c r="F27" s="19" t="e">
        <f t="shared" si="26"/>
        <v>#DIV/0!</v>
      </c>
      <c r="G27" s="14">
        <f t="shared" si="27"/>
        <v>18</v>
      </c>
      <c r="H27" s="20">
        <f t="shared" si="11"/>
        <v>0.7</v>
      </c>
      <c r="I27" s="20">
        <f t="shared" si="28"/>
        <v>160</v>
      </c>
      <c r="J27" s="28">
        <f t="shared" si="13"/>
        <v>0.3</v>
      </c>
      <c r="K27" s="28"/>
      <c r="L27" s="20">
        <f t="shared" ref="L27:M27" si="38">L26</f>
        <v>16</v>
      </c>
      <c r="M27" s="20">
        <f t="shared" si="38"/>
        <v>23</v>
      </c>
      <c r="N27" s="29"/>
      <c r="O27" s="30"/>
      <c r="P27" s="18">
        <f t="shared" si="15"/>
        <v>20</v>
      </c>
      <c r="Q27" s="14">
        <f t="shared" si="30"/>
        <v>-20</v>
      </c>
      <c r="R27" s="37">
        <f t="shared" si="31"/>
        <v>0</v>
      </c>
      <c r="S27" s="18">
        <f>'青岛 - 螺纹'!S27</f>
        <v>4475</v>
      </c>
      <c r="T27" s="38">
        <f t="shared" si="32"/>
        <v>4315</v>
      </c>
      <c r="U27" s="20">
        <f t="shared" si="33"/>
        <v>160</v>
      </c>
      <c r="V27" s="30"/>
      <c r="W27" s="30"/>
      <c r="X27" s="30"/>
      <c r="Y27" s="30"/>
      <c r="Z27" s="30"/>
      <c r="AA27" s="30"/>
      <c r="AB27" s="30"/>
      <c r="AC27" s="30"/>
      <c r="AD27" s="30"/>
      <c r="AE27" s="17"/>
      <c r="AF27" s="17"/>
      <c r="AG27" s="17"/>
    </row>
    <row r="28" spans="1:33">
      <c r="A28" s="16">
        <f t="shared" si="8"/>
        <v>44526</v>
      </c>
      <c r="B28" s="17"/>
      <c r="C28" s="18">
        <f t="shared" si="23"/>
        <v>-55.499999999999993</v>
      </c>
      <c r="D28" s="18">
        <f t="shared" si="24"/>
        <v>-55.499999999999993</v>
      </c>
      <c r="E28" s="18">
        <f t="shared" si="25"/>
        <v>60.6</v>
      </c>
      <c r="F28" s="19" t="e">
        <f t="shared" si="26"/>
        <v>#DIV/0!</v>
      </c>
      <c r="G28" s="14">
        <f t="shared" si="27"/>
        <v>18</v>
      </c>
      <c r="H28" s="20">
        <f t="shared" si="11"/>
        <v>0.7</v>
      </c>
      <c r="I28" s="20">
        <f t="shared" si="28"/>
        <v>-227</v>
      </c>
      <c r="J28" s="28">
        <f t="shared" si="13"/>
        <v>0.3</v>
      </c>
      <c r="K28" s="28"/>
      <c r="L28" s="20">
        <f t="shared" ref="L28:M28" si="39">L27</f>
        <v>16</v>
      </c>
      <c r="M28" s="20">
        <f t="shared" si="39"/>
        <v>23</v>
      </c>
      <c r="N28" s="29"/>
      <c r="O28" s="30"/>
      <c r="P28" s="18">
        <f t="shared" si="15"/>
        <v>20</v>
      </c>
      <c r="Q28" s="14">
        <f t="shared" si="30"/>
        <v>-20</v>
      </c>
      <c r="R28" s="37">
        <f t="shared" si="31"/>
        <v>0</v>
      </c>
      <c r="S28" s="18">
        <f>'青岛 - 螺纹'!S28</f>
        <v>4248</v>
      </c>
      <c r="T28" s="38">
        <f t="shared" si="32"/>
        <v>4475</v>
      </c>
      <c r="U28" s="20">
        <f t="shared" si="33"/>
        <v>-227</v>
      </c>
      <c r="V28" s="30"/>
      <c r="W28" s="30"/>
      <c r="X28" s="30"/>
      <c r="Y28" s="30"/>
      <c r="Z28" s="30"/>
      <c r="AA28" s="30"/>
      <c r="AB28" s="30"/>
      <c r="AC28" s="30"/>
      <c r="AD28" s="30"/>
      <c r="AE28" s="17"/>
      <c r="AF28" s="17"/>
      <c r="AG28" s="17"/>
    </row>
    <row r="29" spans="1:33">
      <c r="A29" s="16">
        <f t="shared" si="8"/>
        <v>44527</v>
      </c>
      <c r="B29" s="17"/>
      <c r="C29" s="18">
        <f t="shared" si="23"/>
        <v>-31.799999999999997</v>
      </c>
      <c r="D29" s="18">
        <f t="shared" si="24"/>
        <v>-31.799999999999997</v>
      </c>
      <c r="E29" s="18">
        <f t="shared" si="25"/>
        <v>-55.499999999999993</v>
      </c>
      <c r="F29" s="19" t="e">
        <f t="shared" si="26"/>
        <v>#DIV/0!</v>
      </c>
      <c r="G29" s="14">
        <f t="shared" si="27"/>
        <v>18</v>
      </c>
      <c r="H29" s="20">
        <f t="shared" si="11"/>
        <v>0.7</v>
      </c>
      <c r="I29" s="20">
        <f t="shared" si="28"/>
        <v>-148</v>
      </c>
      <c r="J29" s="28">
        <f t="shared" si="13"/>
        <v>0.3</v>
      </c>
      <c r="K29" s="28"/>
      <c r="L29" s="20">
        <f t="shared" ref="L29:M29" si="40">L28</f>
        <v>16</v>
      </c>
      <c r="M29" s="20">
        <f t="shared" si="40"/>
        <v>23</v>
      </c>
      <c r="N29" s="29"/>
      <c r="O29" s="30"/>
      <c r="P29" s="18">
        <f t="shared" si="15"/>
        <v>20</v>
      </c>
      <c r="Q29" s="14">
        <f t="shared" si="30"/>
        <v>-20</v>
      </c>
      <c r="R29" s="37">
        <f t="shared" si="31"/>
        <v>0</v>
      </c>
      <c r="S29" s="18">
        <f>'青岛 - 螺纹'!S29</f>
        <v>4100</v>
      </c>
      <c r="T29" s="38">
        <f t="shared" si="32"/>
        <v>4248</v>
      </c>
      <c r="U29" s="20">
        <f t="shared" si="33"/>
        <v>-148</v>
      </c>
      <c r="V29" s="30"/>
      <c r="W29" s="30"/>
      <c r="X29" s="30"/>
      <c r="Y29" s="30"/>
      <c r="Z29" s="30"/>
      <c r="AA29" s="30"/>
      <c r="AB29" s="30"/>
      <c r="AC29" s="30"/>
      <c r="AD29" s="30"/>
      <c r="AE29" s="17"/>
      <c r="AF29" s="17"/>
      <c r="AG29" s="17"/>
    </row>
  </sheetData>
  <phoneticPr fontId="16" type="noConversion"/>
  <conditionalFormatting sqref="A3">
    <cfRule type="cellIs" dxfId="8" priority="3" operator="equal">
      <formula>$A$1</formula>
    </cfRule>
  </conditionalFormatting>
  <conditionalFormatting sqref="A4">
    <cfRule type="cellIs" dxfId="7" priority="2" operator="equal">
      <formula>$A$1</formula>
    </cfRule>
  </conditionalFormatting>
  <conditionalFormatting sqref="A5:A21">
    <cfRule type="cellIs" dxfId="6" priority="1" operator="equal">
      <formula>$A$1</formula>
    </cfRule>
  </conditionalFormatting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 activeCell="O3" sqref="O3:O25"/>
    </sheetView>
  </sheetViews>
  <sheetFormatPr defaultColWidth="9" defaultRowHeight="14.25"/>
  <cols>
    <col min="1" max="1" width="12.25" customWidth="1"/>
    <col min="2" max="2" width="10.125" customWidth="1"/>
    <col min="3" max="3" width="8.875" hidden="1" customWidth="1"/>
    <col min="4" max="4" width="8.875" style="1" hidden="1" customWidth="1"/>
    <col min="5" max="5" width="9.5" hidden="1" customWidth="1"/>
    <col min="6" max="6" width="10.5" hidden="1" customWidth="1"/>
    <col min="7" max="7" width="13.125" hidden="1" customWidth="1"/>
    <col min="8" max="8" width="9.125" hidden="1" customWidth="1"/>
    <col min="9" max="9" width="13.125" style="1" hidden="1" customWidth="1"/>
    <col min="10" max="10" width="9.125" hidden="1" customWidth="1"/>
    <col min="11" max="11" width="14.75" hidden="1" customWidth="1"/>
    <col min="12" max="14" width="9.875" hidden="1" customWidth="1"/>
    <col min="15" max="15" width="8.875" customWidth="1"/>
    <col min="16" max="16" width="4.875" hidden="1" customWidth="1"/>
    <col min="17" max="17" width="13.5" hidden="1" customWidth="1"/>
    <col min="18" max="18" width="11" customWidth="1"/>
    <col min="19" max="32" width="11.125" hidden="1" customWidth="1"/>
    <col min="33" max="33" width="10.125" hidden="1" customWidth="1"/>
  </cols>
  <sheetData>
    <row r="1" spans="1:33">
      <c r="A1" s="2">
        <f ca="1">TODAY()</f>
        <v>44536</v>
      </c>
      <c r="B1" s="3"/>
      <c r="O1" s="3"/>
      <c r="R1" s="3"/>
      <c r="S1" s="3"/>
      <c r="T1" s="3"/>
      <c r="U1" s="3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"/>
      <c r="AG1" s="3"/>
    </row>
    <row r="2" spans="1:33" ht="42" customHeight="1">
      <c r="A2" s="4" t="s">
        <v>41</v>
      </c>
      <c r="B2" s="4" t="s">
        <v>74</v>
      </c>
      <c r="C2" s="5" t="s">
        <v>75</v>
      </c>
      <c r="D2" s="6" t="s">
        <v>5</v>
      </c>
      <c r="E2" s="7" t="s">
        <v>76</v>
      </c>
      <c r="F2" s="7" t="s">
        <v>77</v>
      </c>
      <c r="G2" s="8" t="s">
        <v>78</v>
      </c>
      <c r="H2" s="9" t="s">
        <v>79</v>
      </c>
      <c r="I2" s="22" t="s">
        <v>80</v>
      </c>
      <c r="J2" s="23" t="s">
        <v>81</v>
      </c>
      <c r="K2" s="24" t="s">
        <v>82</v>
      </c>
      <c r="L2" s="8" t="s">
        <v>10</v>
      </c>
      <c r="M2" s="9" t="s">
        <v>11</v>
      </c>
      <c r="N2" s="9" t="s">
        <v>83</v>
      </c>
      <c r="O2" s="9" t="s">
        <v>189</v>
      </c>
      <c r="P2" s="9" t="s">
        <v>85</v>
      </c>
      <c r="Q2" s="9" t="s">
        <v>86</v>
      </c>
      <c r="R2" s="9" t="s">
        <v>87</v>
      </c>
      <c r="S2" s="32" t="s">
        <v>61</v>
      </c>
      <c r="T2" s="32" t="s">
        <v>62</v>
      </c>
      <c r="U2" s="32" t="s">
        <v>88</v>
      </c>
      <c r="V2" s="32" t="s">
        <v>89</v>
      </c>
      <c r="W2" s="32" t="s">
        <v>90</v>
      </c>
      <c r="X2" s="32" t="s">
        <v>91</v>
      </c>
      <c r="Y2" s="32" t="s">
        <v>92</v>
      </c>
      <c r="Z2" s="32" t="s">
        <v>93</v>
      </c>
      <c r="AA2" s="32" t="s">
        <v>94</v>
      </c>
      <c r="AB2" s="32" t="s">
        <v>95</v>
      </c>
      <c r="AC2" s="32" t="s">
        <v>96</v>
      </c>
      <c r="AD2" s="32" t="s">
        <v>97</v>
      </c>
      <c r="AE2" s="39" t="s">
        <v>183</v>
      </c>
      <c r="AF2" s="39" t="s">
        <v>184</v>
      </c>
      <c r="AG2" s="39" t="s">
        <v>103</v>
      </c>
    </row>
    <row r="3" spans="1:33">
      <c r="A3" s="10">
        <v>44501</v>
      </c>
      <c r="B3" s="11">
        <v>5190</v>
      </c>
      <c r="C3" s="12">
        <f t="shared" ref="C3:C4" si="0">H3*G3+J3*I3+K3</f>
        <v>-3.25</v>
      </c>
      <c r="D3" s="12">
        <f>5190+C3</f>
        <v>5186.75</v>
      </c>
      <c r="E3" s="12"/>
      <c r="F3" s="13">
        <v>0</v>
      </c>
      <c r="G3" s="14">
        <f>IF((Q3-L3)&lt;0,-(Q3-L3)/2,IF((Q3-L3)&gt;0,-(Q3-M3)/2,0))+R3</f>
        <v>30.5</v>
      </c>
      <c r="H3" s="15">
        <v>0.7</v>
      </c>
      <c r="I3" s="15">
        <f>U3</f>
        <v>-82</v>
      </c>
      <c r="J3" s="25">
        <v>0.3</v>
      </c>
      <c r="K3" s="25"/>
      <c r="L3" s="26">
        <v>-69</v>
      </c>
      <c r="M3" s="26">
        <v>-49</v>
      </c>
      <c r="N3" s="27"/>
      <c r="O3" s="11">
        <v>5230</v>
      </c>
      <c r="P3" s="11">
        <v>90</v>
      </c>
      <c r="Q3" s="33">
        <f>5190-(P3+O3)</f>
        <v>-130</v>
      </c>
      <c r="R3" s="35">
        <v>0</v>
      </c>
      <c r="S3" s="15">
        <v>4630</v>
      </c>
      <c r="T3" s="36">
        <v>4712</v>
      </c>
      <c r="U3" s="15">
        <f>S3-T3</f>
        <v>-82</v>
      </c>
      <c r="V3" s="26">
        <v>565</v>
      </c>
      <c r="W3" s="26">
        <v>577.5</v>
      </c>
      <c r="X3" s="26">
        <f>V3-W3</f>
        <v>-12.5</v>
      </c>
      <c r="Y3" s="26">
        <v>3040</v>
      </c>
      <c r="Z3" s="26">
        <v>3041</v>
      </c>
      <c r="AA3" s="26">
        <f>Y3-Z3</f>
        <v>-1</v>
      </c>
      <c r="AB3" s="26"/>
      <c r="AC3" s="26"/>
      <c r="AD3" s="26">
        <f>AB3-AC3</f>
        <v>0</v>
      </c>
      <c r="AE3" s="26"/>
      <c r="AF3" s="26"/>
      <c r="AG3" s="26"/>
    </row>
    <row r="4" spans="1:33">
      <c r="A4" s="16">
        <f>A3+1</f>
        <v>44502</v>
      </c>
      <c r="B4" s="17">
        <v>5070</v>
      </c>
      <c r="C4" s="18">
        <f t="shared" si="0"/>
        <v>-52.949999999999996</v>
      </c>
      <c r="D4" s="18">
        <f t="shared" ref="D4:D21" si="1">B3+C4</f>
        <v>5137.05</v>
      </c>
      <c r="E4" s="18">
        <f t="shared" ref="E4:E21" si="2">D3</f>
        <v>5186.75</v>
      </c>
      <c r="F4" s="19">
        <v>0</v>
      </c>
      <c r="G4" s="14">
        <f>IF((Q4-L4)&lt;0,-(Q4-L4)/2,IF((Q4-L4)&gt;0,-(Q4-M4)/2,0))+R4</f>
        <v>-19.5</v>
      </c>
      <c r="H4" s="20">
        <f>H3</f>
        <v>0.7</v>
      </c>
      <c r="I4" s="20">
        <f>U4</f>
        <v>-131</v>
      </c>
      <c r="J4" s="28">
        <f>J3</f>
        <v>0.3</v>
      </c>
      <c r="K4" s="28"/>
      <c r="L4" s="20">
        <f>L3</f>
        <v>-69</v>
      </c>
      <c r="M4" s="20">
        <f>M3</f>
        <v>-49</v>
      </c>
      <c r="N4" s="29"/>
      <c r="O4" s="17">
        <v>5180</v>
      </c>
      <c r="P4" s="18">
        <f>P3</f>
        <v>90</v>
      </c>
      <c r="Q4" s="14">
        <f t="shared" ref="Q4:Q21" si="3">B3-(O3+P3)</f>
        <v>-130</v>
      </c>
      <c r="R4" s="37">
        <f>O4-O3</f>
        <v>-50</v>
      </c>
      <c r="S4" s="20">
        <f>'青岛 - 螺纹'!S4</f>
        <v>4499</v>
      </c>
      <c r="T4" s="38">
        <f>S3</f>
        <v>4630</v>
      </c>
      <c r="U4" s="20">
        <f t="shared" ref="U4:U21" si="4">S4-T4</f>
        <v>-131</v>
      </c>
      <c r="V4" s="30"/>
      <c r="W4" s="30"/>
      <c r="X4" s="30">
        <f t="shared" ref="X4" si="5">V4-W4</f>
        <v>0</v>
      </c>
      <c r="Y4" s="30"/>
      <c r="Z4" s="30"/>
      <c r="AA4" s="30">
        <f t="shared" ref="AA4" si="6">Y4-Z4</f>
        <v>0</v>
      </c>
      <c r="AB4" s="30"/>
      <c r="AC4" s="30"/>
      <c r="AD4" s="30">
        <f t="shared" ref="AD4" si="7">AB4-AC4</f>
        <v>0</v>
      </c>
      <c r="AE4" s="30">
        <v>2.4</v>
      </c>
      <c r="AF4" s="30">
        <v>2.4</v>
      </c>
      <c r="AG4" s="30">
        <v>9</v>
      </c>
    </row>
    <row r="5" spans="1:33">
      <c r="A5" s="16">
        <f t="shared" ref="A5:A29" si="8">A4+1</f>
        <v>44503</v>
      </c>
      <c r="B5" s="17">
        <v>4950</v>
      </c>
      <c r="C5" s="18">
        <f t="shared" ref="C5:C21" si="9">H5*G5+J5*I5+K5</f>
        <v>-98.85</v>
      </c>
      <c r="D5" s="18">
        <f t="shared" si="1"/>
        <v>4971.1499999999996</v>
      </c>
      <c r="E5" s="18">
        <f t="shared" si="2"/>
        <v>5137.05</v>
      </c>
      <c r="F5" s="19">
        <f>AF4/AG4</f>
        <v>0.26666666666666666</v>
      </c>
      <c r="G5" s="14">
        <f t="shared" ref="G5:G21" si="10">IF((Q5-L5)&lt;0,-(Q5-L5)/2,IF((Q5-L5)&gt;0,-(Q5-M5)/2,0))+R5</f>
        <v>-34.5</v>
      </c>
      <c r="H5" s="20">
        <f t="shared" ref="H5:H29" si="11">H4</f>
        <v>0.7</v>
      </c>
      <c r="I5" s="20">
        <f t="shared" ref="I5:I21" si="12">U5</f>
        <v>-249</v>
      </c>
      <c r="J5" s="28">
        <f t="shared" ref="J5:J29" si="13">J4</f>
        <v>0.3</v>
      </c>
      <c r="K5" s="28"/>
      <c r="L5" s="20">
        <f t="shared" ref="L5:M20" si="14">L4</f>
        <v>-69</v>
      </c>
      <c r="M5" s="20">
        <f t="shared" si="14"/>
        <v>-49</v>
      </c>
      <c r="N5" s="29"/>
      <c r="O5" s="17">
        <v>5080</v>
      </c>
      <c r="P5" s="18">
        <f t="shared" ref="P5:P29" si="15">P4</f>
        <v>90</v>
      </c>
      <c r="Q5" s="14">
        <f t="shared" si="3"/>
        <v>-200</v>
      </c>
      <c r="R5" s="37">
        <f t="shared" ref="R5:R21" si="16">O5-O4</f>
        <v>-100</v>
      </c>
      <c r="S5" s="20">
        <f>'青岛 - 螺纹'!S5</f>
        <v>4250</v>
      </c>
      <c r="T5" s="38">
        <f t="shared" ref="T5:T21" si="17">S4</f>
        <v>4499</v>
      </c>
      <c r="U5" s="20">
        <f t="shared" si="4"/>
        <v>-249</v>
      </c>
      <c r="V5" s="30"/>
      <c r="W5" s="30"/>
      <c r="X5" s="30"/>
      <c r="Y5" s="30"/>
      <c r="Z5" s="30"/>
      <c r="AA5" s="30"/>
      <c r="AB5" s="30"/>
      <c r="AC5" s="30"/>
      <c r="AD5" s="30"/>
      <c r="AE5" s="30">
        <f>AF5-AF4</f>
        <v>4.3000000000000007</v>
      </c>
      <c r="AF5" s="30">
        <v>6.7</v>
      </c>
      <c r="AG5" s="30">
        <f>AG4+3</f>
        <v>12</v>
      </c>
    </row>
    <row r="6" spans="1:33">
      <c r="A6" s="16">
        <f t="shared" si="8"/>
        <v>44504</v>
      </c>
      <c r="B6" s="17">
        <v>4950</v>
      </c>
      <c r="C6" s="18">
        <f t="shared" si="9"/>
        <v>76.25</v>
      </c>
      <c r="D6" s="18">
        <f t="shared" si="1"/>
        <v>5026.25</v>
      </c>
      <c r="E6" s="18">
        <f t="shared" si="2"/>
        <v>4971.1499999999996</v>
      </c>
      <c r="F6" s="19">
        <f>AF5/AG5</f>
        <v>0.55833333333333335</v>
      </c>
      <c r="G6" s="14">
        <f t="shared" si="10"/>
        <v>45.5</v>
      </c>
      <c r="H6" s="20">
        <f t="shared" si="11"/>
        <v>0.7</v>
      </c>
      <c r="I6" s="20">
        <f t="shared" si="12"/>
        <v>148</v>
      </c>
      <c r="J6" s="28">
        <f t="shared" si="13"/>
        <v>0.3</v>
      </c>
      <c r="K6" s="28"/>
      <c r="L6" s="20">
        <f t="shared" si="14"/>
        <v>-69</v>
      </c>
      <c r="M6" s="20">
        <f t="shared" si="14"/>
        <v>-49</v>
      </c>
      <c r="N6" s="29"/>
      <c r="O6" s="17">
        <v>5050</v>
      </c>
      <c r="P6" s="18">
        <f t="shared" si="15"/>
        <v>90</v>
      </c>
      <c r="Q6" s="14">
        <f t="shared" si="3"/>
        <v>-220</v>
      </c>
      <c r="R6" s="37">
        <f t="shared" si="16"/>
        <v>-30</v>
      </c>
      <c r="S6" s="20">
        <f>'青岛 - 螺纹'!S6</f>
        <v>4398</v>
      </c>
      <c r="T6" s="38">
        <f t="shared" si="17"/>
        <v>4250</v>
      </c>
      <c r="U6" s="20">
        <f t="shared" si="4"/>
        <v>148</v>
      </c>
      <c r="V6" s="30"/>
      <c r="W6" s="30"/>
      <c r="X6" s="30"/>
      <c r="Y6" s="30"/>
      <c r="Z6" s="30"/>
      <c r="AA6" s="30"/>
      <c r="AB6" s="30"/>
      <c r="AC6" s="30"/>
      <c r="AD6" s="30"/>
      <c r="AE6" s="30">
        <f t="shared" ref="AE6:AE8" si="18">AF6-AF5</f>
        <v>1.0999999999999996</v>
      </c>
      <c r="AF6" s="30">
        <v>7.8</v>
      </c>
      <c r="AG6" s="30">
        <f t="shared" ref="AG6:AG7" si="19">AG5+3</f>
        <v>15</v>
      </c>
    </row>
    <row r="7" spans="1:33">
      <c r="A7" s="16">
        <f t="shared" si="8"/>
        <v>44505</v>
      </c>
      <c r="B7" s="17">
        <v>4880</v>
      </c>
      <c r="C7" s="18">
        <f t="shared" si="9"/>
        <v>-5.6500000000000057</v>
      </c>
      <c r="D7" s="18">
        <f t="shared" si="1"/>
        <v>4944.3500000000004</v>
      </c>
      <c r="E7" s="18">
        <f t="shared" si="2"/>
        <v>5026.25</v>
      </c>
      <c r="F7" s="19">
        <f>AF6/AG6</f>
        <v>0.52</v>
      </c>
      <c r="G7" s="14">
        <f t="shared" si="10"/>
        <v>60.5</v>
      </c>
      <c r="H7" s="20">
        <f t="shared" si="11"/>
        <v>0.7</v>
      </c>
      <c r="I7" s="20">
        <f t="shared" si="12"/>
        <v>-160</v>
      </c>
      <c r="J7" s="28">
        <f t="shared" si="13"/>
        <v>0.3</v>
      </c>
      <c r="K7" s="28"/>
      <c r="L7" s="20">
        <f t="shared" si="14"/>
        <v>-69</v>
      </c>
      <c r="M7" s="20">
        <f t="shared" si="14"/>
        <v>-49</v>
      </c>
      <c r="N7" s="29"/>
      <c r="O7" s="17">
        <v>5050</v>
      </c>
      <c r="P7" s="18">
        <f t="shared" si="15"/>
        <v>90</v>
      </c>
      <c r="Q7" s="14">
        <f t="shared" si="3"/>
        <v>-190</v>
      </c>
      <c r="R7" s="37">
        <f t="shared" si="16"/>
        <v>0</v>
      </c>
      <c r="S7" s="20">
        <f>'青岛 - 螺纹'!S7</f>
        <v>4238</v>
      </c>
      <c r="T7" s="38">
        <f t="shared" si="17"/>
        <v>4398</v>
      </c>
      <c r="U7" s="20">
        <f t="shared" si="4"/>
        <v>-160</v>
      </c>
      <c r="V7" s="30"/>
      <c r="W7" s="30"/>
      <c r="X7" s="30"/>
      <c r="Y7" s="30"/>
      <c r="Z7" s="30"/>
      <c r="AA7" s="30"/>
      <c r="AB7" s="30"/>
      <c r="AC7" s="30"/>
      <c r="AD7" s="30"/>
      <c r="AE7" s="30">
        <f t="shared" si="18"/>
        <v>2.5000000000000009</v>
      </c>
      <c r="AF7" s="30">
        <v>10.3</v>
      </c>
      <c r="AG7" s="30">
        <f t="shared" si="19"/>
        <v>18</v>
      </c>
    </row>
    <row r="8" spans="1:33">
      <c r="A8" s="16">
        <f t="shared" si="8"/>
        <v>44506</v>
      </c>
      <c r="B8" s="17">
        <v>4880</v>
      </c>
      <c r="C8" s="18">
        <f t="shared" si="9"/>
        <v>45.849999999999994</v>
      </c>
      <c r="D8" s="18">
        <f t="shared" si="1"/>
        <v>4925.8500000000004</v>
      </c>
      <c r="E8" s="18">
        <f t="shared" si="2"/>
        <v>4944.3500000000004</v>
      </c>
      <c r="F8" s="19">
        <f>AF7/AG7</f>
        <v>0.5722222222222223</v>
      </c>
      <c r="G8" s="14">
        <f t="shared" si="10"/>
        <v>65.5</v>
      </c>
      <c r="H8" s="20">
        <f t="shared" si="11"/>
        <v>0.7</v>
      </c>
      <c r="I8" s="20">
        <f t="shared" si="12"/>
        <v>0</v>
      </c>
      <c r="J8" s="28">
        <f t="shared" si="13"/>
        <v>0.3</v>
      </c>
      <c r="K8" s="28"/>
      <c r="L8" s="20">
        <f t="shared" si="14"/>
        <v>-69</v>
      </c>
      <c r="M8" s="20">
        <f t="shared" si="14"/>
        <v>-49</v>
      </c>
      <c r="N8" s="29"/>
      <c r="O8" s="17">
        <v>5020</v>
      </c>
      <c r="P8" s="18">
        <f t="shared" si="15"/>
        <v>90</v>
      </c>
      <c r="Q8" s="14">
        <f t="shared" si="3"/>
        <v>-260</v>
      </c>
      <c r="R8" s="37">
        <f t="shared" si="16"/>
        <v>-30</v>
      </c>
      <c r="S8" s="20">
        <f>'青岛 - 螺纹'!S8</f>
        <v>4238</v>
      </c>
      <c r="T8" s="38">
        <f t="shared" si="17"/>
        <v>4238</v>
      </c>
      <c r="U8" s="20">
        <f t="shared" si="4"/>
        <v>0</v>
      </c>
      <c r="V8" s="30"/>
      <c r="W8" s="30"/>
      <c r="X8" s="30"/>
      <c r="Y8" s="30"/>
      <c r="Z8" s="30"/>
      <c r="AA8" s="30"/>
      <c r="AB8" s="30"/>
      <c r="AC8" s="30"/>
      <c r="AD8" s="30"/>
      <c r="AE8" s="30">
        <f t="shared" si="18"/>
        <v>6</v>
      </c>
      <c r="AF8" s="30">
        <v>16.3</v>
      </c>
      <c r="AG8" s="30">
        <v>18</v>
      </c>
    </row>
    <row r="9" spans="1:33">
      <c r="A9" s="16">
        <f t="shared" si="8"/>
        <v>44507</v>
      </c>
      <c r="B9" s="17">
        <v>4900</v>
      </c>
      <c r="C9" s="18">
        <f t="shared" si="9"/>
        <v>56.349999999999994</v>
      </c>
      <c r="D9" s="18">
        <f t="shared" si="1"/>
        <v>4936.3500000000004</v>
      </c>
      <c r="E9" s="18">
        <f t="shared" si="2"/>
        <v>4925.8500000000004</v>
      </c>
      <c r="F9" s="19">
        <v>1</v>
      </c>
      <c r="G9" s="14">
        <f t="shared" si="10"/>
        <v>80.5</v>
      </c>
      <c r="H9" s="20">
        <f t="shared" si="11"/>
        <v>0.7</v>
      </c>
      <c r="I9" s="20">
        <f t="shared" si="12"/>
        <v>0</v>
      </c>
      <c r="J9" s="28">
        <f t="shared" si="13"/>
        <v>0.3</v>
      </c>
      <c r="K9" s="28"/>
      <c r="L9" s="20">
        <f t="shared" si="14"/>
        <v>-69</v>
      </c>
      <c r="M9" s="20">
        <f t="shared" si="14"/>
        <v>-49</v>
      </c>
      <c r="N9" s="29"/>
      <c r="O9" s="17">
        <v>5020</v>
      </c>
      <c r="P9" s="18">
        <f t="shared" si="15"/>
        <v>90</v>
      </c>
      <c r="Q9" s="14">
        <f t="shared" si="3"/>
        <v>-230</v>
      </c>
      <c r="R9" s="37">
        <f t="shared" si="16"/>
        <v>0</v>
      </c>
      <c r="S9" s="20">
        <f>'青岛 - 螺纹'!S9</f>
        <v>4238</v>
      </c>
      <c r="T9" s="38">
        <f t="shared" si="17"/>
        <v>4238</v>
      </c>
      <c r="U9" s="20">
        <f t="shared" si="4"/>
        <v>0</v>
      </c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>
        <v>21</v>
      </c>
    </row>
    <row r="10" spans="1:33">
      <c r="A10" s="16">
        <f t="shared" si="8"/>
        <v>44508</v>
      </c>
      <c r="B10" s="17">
        <v>4850</v>
      </c>
      <c r="C10" s="18">
        <f t="shared" si="9"/>
        <v>19.45</v>
      </c>
      <c r="D10" s="18">
        <f t="shared" si="1"/>
        <v>4919.45</v>
      </c>
      <c r="E10" s="18">
        <f t="shared" si="2"/>
        <v>4936.3500000000004</v>
      </c>
      <c r="F10" s="19">
        <f>AF9/AG9</f>
        <v>0</v>
      </c>
      <c r="G10" s="14">
        <f t="shared" si="10"/>
        <v>20.5</v>
      </c>
      <c r="H10" s="20">
        <f t="shared" si="11"/>
        <v>0.7</v>
      </c>
      <c r="I10" s="20">
        <f t="shared" si="12"/>
        <v>17</v>
      </c>
      <c r="J10" s="28">
        <f t="shared" si="13"/>
        <v>0.3</v>
      </c>
      <c r="K10" s="28"/>
      <c r="L10" s="20">
        <f t="shared" si="14"/>
        <v>-69</v>
      </c>
      <c r="M10" s="20">
        <f t="shared" si="14"/>
        <v>-49</v>
      </c>
      <c r="N10" s="29"/>
      <c r="O10" s="17">
        <v>4970</v>
      </c>
      <c r="P10" s="18">
        <f t="shared" si="15"/>
        <v>90</v>
      </c>
      <c r="Q10" s="14">
        <f t="shared" si="3"/>
        <v>-210</v>
      </c>
      <c r="R10" s="37">
        <f t="shared" si="16"/>
        <v>-50</v>
      </c>
      <c r="S10" s="20">
        <f>'青岛 - 螺纹'!S10</f>
        <v>4255</v>
      </c>
      <c r="T10" s="38">
        <f t="shared" si="17"/>
        <v>4238</v>
      </c>
      <c r="U10" s="20">
        <f t="shared" si="4"/>
        <v>17</v>
      </c>
      <c r="V10" s="30"/>
      <c r="W10" s="30"/>
      <c r="X10" s="30"/>
      <c r="Y10" s="30"/>
      <c r="Z10" s="30"/>
      <c r="AA10" s="30"/>
      <c r="AB10" s="30"/>
      <c r="AC10" s="30"/>
      <c r="AD10" s="30"/>
      <c r="AE10" s="30">
        <v>1.2</v>
      </c>
      <c r="AF10" s="30">
        <v>1.2</v>
      </c>
      <c r="AG10" s="17">
        <f>18.9/6</f>
        <v>3.15</v>
      </c>
    </row>
    <row r="11" spans="1:33">
      <c r="A11" s="16">
        <f t="shared" si="8"/>
        <v>44509</v>
      </c>
      <c r="B11" s="17">
        <v>4820</v>
      </c>
      <c r="C11" s="18">
        <f t="shared" si="9"/>
        <v>49.349999999999994</v>
      </c>
      <c r="D11" s="18">
        <f t="shared" si="1"/>
        <v>4899.3500000000004</v>
      </c>
      <c r="E11" s="18">
        <f t="shared" si="2"/>
        <v>4919.45</v>
      </c>
      <c r="F11" s="19">
        <f>AF10/AG10</f>
        <v>0.38095238095238093</v>
      </c>
      <c r="G11" s="14">
        <f t="shared" si="10"/>
        <v>70.5</v>
      </c>
      <c r="H11" s="20">
        <f t="shared" si="11"/>
        <v>0.7</v>
      </c>
      <c r="I11" s="20">
        <f t="shared" si="12"/>
        <v>0</v>
      </c>
      <c r="J11" s="28">
        <f t="shared" si="13"/>
        <v>0.3</v>
      </c>
      <c r="K11" s="28"/>
      <c r="L11" s="20">
        <f t="shared" si="14"/>
        <v>-69</v>
      </c>
      <c r="M11" s="20">
        <f t="shared" si="14"/>
        <v>-49</v>
      </c>
      <c r="N11" s="29"/>
      <c r="O11" s="17">
        <v>4970</v>
      </c>
      <c r="P11" s="18">
        <f t="shared" si="15"/>
        <v>90</v>
      </c>
      <c r="Q11" s="14">
        <f t="shared" si="3"/>
        <v>-210</v>
      </c>
      <c r="R11" s="37">
        <f t="shared" si="16"/>
        <v>0</v>
      </c>
      <c r="S11" s="20">
        <f>'青岛 - 螺纹'!S11</f>
        <v>4255</v>
      </c>
      <c r="T11" s="38">
        <f t="shared" si="17"/>
        <v>4255</v>
      </c>
      <c r="U11" s="20">
        <f t="shared" si="4"/>
        <v>0</v>
      </c>
      <c r="V11" s="30"/>
      <c r="W11" s="30"/>
      <c r="X11" s="30"/>
      <c r="Y11" s="30"/>
      <c r="Z11" s="30"/>
      <c r="AA11" s="30"/>
      <c r="AB11" s="30"/>
      <c r="AC11" s="30"/>
      <c r="AD11" s="30"/>
      <c r="AE11" s="30">
        <f>AF11-AF10</f>
        <v>1.0000000000000002</v>
      </c>
      <c r="AF11" s="30">
        <v>2.2000000000000002</v>
      </c>
      <c r="AG11" s="17">
        <f>18.9/6*2</f>
        <v>6.3</v>
      </c>
    </row>
    <row r="12" spans="1:33">
      <c r="A12" s="16">
        <f t="shared" si="8"/>
        <v>44510</v>
      </c>
      <c r="B12" s="17">
        <v>4680</v>
      </c>
      <c r="C12" s="18">
        <f t="shared" si="9"/>
        <v>0.35000000000000142</v>
      </c>
      <c r="D12" s="18">
        <f t="shared" si="1"/>
        <v>4820.3500000000004</v>
      </c>
      <c r="E12" s="18">
        <f t="shared" si="2"/>
        <v>4899.3500000000004</v>
      </c>
      <c r="F12" s="19">
        <f>AF11/AG11</f>
        <v>0.34920634920634924</v>
      </c>
      <c r="G12" s="14">
        <f t="shared" si="10"/>
        <v>-14.5</v>
      </c>
      <c r="H12" s="20">
        <f t="shared" si="11"/>
        <v>0.7</v>
      </c>
      <c r="I12" s="20">
        <f t="shared" si="12"/>
        <v>35</v>
      </c>
      <c r="J12" s="28">
        <f t="shared" si="13"/>
        <v>0.3</v>
      </c>
      <c r="K12" s="28"/>
      <c r="L12" s="20">
        <f t="shared" si="14"/>
        <v>-69</v>
      </c>
      <c r="M12" s="20">
        <f t="shared" si="14"/>
        <v>-49</v>
      </c>
      <c r="N12" s="29"/>
      <c r="O12" s="17">
        <v>4870</v>
      </c>
      <c r="P12" s="18">
        <f t="shared" si="15"/>
        <v>90</v>
      </c>
      <c r="Q12" s="14">
        <f t="shared" si="3"/>
        <v>-240</v>
      </c>
      <c r="R12" s="37">
        <f t="shared" si="16"/>
        <v>-100</v>
      </c>
      <c r="S12" s="20">
        <f>'青岛 - 螺纹'!S12</f>
        <v>4290</v>
      </c>
      <c r="T12" s="38">
        <f t="shared" si="17"/>
        <v>4255</v>
      </c>
      <c r="U12" s="20">
        <f t="shared" si="4"/>
        <v>35</v>
      </c>
      <c r="V12" s="30"/>
      <c r="W12" s="30"/>
      <c r="X12" s="30"/>
      <c r="Y12" s="30"/>
      <c r="Z12" s="30"/>
      <c r="AA12" s="30"/>
      <c r="AB12" s="30"/>
      <c r="AC12" s="30"/>
      <c r="AD12" s="30"/>
      <c r="AE12" s="30">
        <f t="shared" ref="AE12:AE15" si="20">AF12-AF11</f>
        <v>1.6999999999999997</v>
      </c>
      <c r="AF12" s="30">
        <v>3.9</v>
      </c>
      <c r="AG12" s="17">
        <f>18.9/6*3</f>
        <v>9.4499999999999993</v>
      </c>
    </row>
    <row r="13" spans="1:33">
      <c r="A13" s="16">
        <f t="shared" si="8"/>
        <v>44511</v>
      </c>
      <c r="B13" s="17">
        <v>4680</v>
      </c>
      <c r="C13" s="18">
        <f t="shared" si="9"/>
        <v>-31.45</v>
      </c>
      <c r="D13" s="18">
        <f t="shared" si="1"/>
        <v>4648.55</v>
      </c>
      <c r="E13" s="18">
        <f t="shared" si="2"/>
        <v>4820.3500000000004</v>
      </c>
      <c r="F13" s="19">
        <f>AF12/AG12</f>
        <v>0.41269841269841273</v>
      </c>
      <c r="G13" s="14">
        <f t="shared" si="10"/>
        <v>-14.5</v>
      </c>
      <c r="H13" s="20">
        <f t="shared" si="11"/>
        <v>0.7</v>
      </c>
      <c r="I13" s="20">
        <f t="shared" si="12"/>
        <v>-71</v>
      </c>
      <c r="J13" s="28">
        <f t="shared" si="13"/>
        <v>0.3</v>
      </c>
      <c r="K13" s="28"/>
      <c r="L13" s="20">
        <f t="shared" si="14"/>
        <v>-69</v>
      </c>
      <c r="M13" s="20">
        <f t="shared" si="14"/>
        <v>-49</v>
      </c>
      <c r="N13" s="29"/>
      <c r="O13" s="17">
        <v>4750</v>
      </c>
      <c r="P13" s="18">
        <f t="shared" si="15"/>
        <v>90</v>
      </c>
      <c r="Q13" s="14">
        <f t="shared" si="3"/>
        <v>-280</v>
      </c>
      <c r="R13" s="37">
        <f t="shared" si="16"/>
        <v>-120</v>
      </c>
      <c r="S13" s="20">
        <f>'青岛 - 螺纹'!S13</f>
        <v>4219</v>
      </c>
      <c r="T13" s="38">
        <f t="shared" si="17"/>
        <v>4290</v>
      </c>
      <c r="U13" s="20">
        <f t="shared" si="4"/>
        <v>-71</v>
      </c>
      <c r="V13" s="30"/>
      <c r="W13" s="30"/>
      <c r="X13" s="30"/>
      <c r="Y13" s="30"/>
      <c r="Z13" s="30"/>
      <c r="AA13" s="30"/>
      <c r="AB13" s="30"/>
      <c r="AC13" s="30"/>
      <c r="AD13" s="30"/>
      <c r="AE13" s="30">
        <f t="shared" si="20"/>
        <v>7.1999999999999993</v>
      </c>
      <c r="AF13" s="30">
        <v>11.1</v>
      </c>
      <c r="AG13" s="17">
        <f>18.9/6*4</f>
        <v>12.6</v>
      </c>
    </row>
    <row r="14" spans="1:33">
      <c r="A14" s="16">
        <f t="shared" si="8"/>
        <v>44512</v>
      </c>
      <c r="B14" s="17">
        <f>4910-180</f>
        <v>4730</v>
      </c>
      <c r="C14" s="18">
        <f t="shared" si="9"/>
        <v>-3231.3499999999995</v>
      </c>
      <c r="D14" s="18">
        <f t="shared" si="1"/>
        <v>1448.6500000000005</v>
      </c>
      <c r="E14" s="18">
        <f t="shared" si="2"/>
        <v>4648.55</v>
      </c>
      <c r="F14" s="19">
        <f>AF13/AG13</f>
        <v>0.88095238095238093</v>
      </c>
      <c r="G14" s="14">
        <f t="shared" si="10"/>
        <v>-4704.5</v>
      </c>
      <c r="H14" s="20">
        <f t="shared" si="11"/>
        <v>0.7</v>
      </c>
      <c r="I14" s="20">
        <f t="shared" si="12"/>
        <v>206</v>
      </c>
      <c r="J14" s="28">
        <f t="shared" si="13"/>
        <v>0.3</v>
      </c>
      <c r="K14" s="28"/>
      <c r="L14" s="20">
        <f t="shared" si="14"/>
        <v>-69</v>
      </c>
      <c r="M14" s="20">
        <f t="shared" si="14"/>
        <v>-49</v>
      </c>
      <c r="N14" s="29"/>
      <c r="O14" s="17"/>
      <c r="P14" s="18">
        <f t="shared" si="15"/>
        <v>90</v>
      </c>
      <c r="Q14" s="14">
        <f t="shared" si="3"/>
        <v>-160</v>
      </c>
      <c r="R14" s="37">
        <f t="shared" si="16"/>
        <v>-4750</v>
      </c>
      <c r="S14" s="20">
        <f>'青岛 - 螺纹'!S14</f>
        <v>4425</v>
      </c>
      <c r="T14" s="38">
        <f t="shared" si="17"/>
        <v>4219</v>
      </c>
      <c r="U14" s="20">
        <f t="shared" si="4"/>
        <v>206</v>
      </c>
      <c r="V14" s="30"/>
      <c r="W14" s="30"/>
      <c r="X14" s="30"/>
      <c r="Y14" s="30"/>
      <c r="Z14" s="30"/>
      <c r="AA14" s="30"/>
      <c r="AB14" s="30"/>
      <c r="AC14" s="30"/>
      <c r="AD14" s="30"/>
      <c r="AE14" s="30">
        <f t="shared" si="20"/>
        <v>-11.1</v>
      </c>
      <c r="AF14" s="30"/>
      <c r="AG14" s="17">
        <f>18.9/6*5</f>
        <v>15.75</v>
      </c>
    </row>
    <row r="15" spans="1:33">
      <c r="A15" s="16">
        <f t="shared" si="8"/>
        <v>44513</v>
      </c>
      <c r="B15" s="17"/>
      <c r="C15" s="18">
        <f t="shared" si="9"/>
        <v>-2968.6499999999996</v>
      </c>
      <c r="D15" s="18">
        <f t="shared" si="1"/>
        <v>1761.3500000000004</v>
      </c>
      <c r="E15" s="18">
        <f t="shared" si="2"/>
        <v>1448.6500000000005</v>
      </c>
      <c r="F15" s="19">
        <f t="shared" ref="F15:F21" si="21">AF14/AG14</f>
        <v>0</v>
      </c>
      <c r="G15" s="14">
        <f t="shared" si="10"/>
        <v>-2344.5</v>
      </c>
      <c r="H15" s="20">
        <f t="shared" si="11"/>
        <v>0.7</v>
      </c>
      <c r="I15" s="20">
        <f t="shared" si="12"/>
        <v>-4425</v>
      </c>
      <c r="J15" s="28">
        <f t="shared" si="13"/>
        <v>0.3</v>
      </c>
      <c r="K15" s="28"/>
      <c r="L15" s="20">
        <f t="shared" si="14"/>
        <v>-69</v>
      </c>
      <c r="M15" s="20">
        <f t="shared" si="14"/>
        <v>-49</v>
      </c>
      <c r="N15" s="29"/>
      <c r="O15" s="17"/>
      <c r="P15" s="18">
        <f t="shared" si="15"/>
        <v>90</v>
      </c>
      <c r="Q15" s="14">
        <f t="shared" si="3"/>
        <v>4640</v>
      </c>
      <c r="R15" s="37">
        <f t="shared" si="16"/>
        <v>0</v>
      </c>
      <c r="S15" s="20">
        <f>'青岛 - 螺纹'!S15</f>
        <v>0</v>
      </c>
      <c r="T15" s="38">
        <f t="shared" si="17"/>
        <v>4425</v>
      </c>
      <c r="U15" s="20">
        <f t="shared" si="4"/>
        <v>-4425</v>
      </c>
      <c r="V15" s="30"/>
      <c r="W15" s="30"/>
      <c r="X15" s="30"/>
      <c r="Y15" s="30"/>
      <c r="Z15" s="30"/>
      <c r="AA15" s="30"/>
      <c r="AB15" s="30"/>
      <c r="AC15" s="30"/>
      <c r="AD15" s="30"/>
      <c r="AE15" s="30">
        <f t="shared" si="20"/>
        <v>0</v>
      </c>
      <c r="AF15" s="30"/>
      <c r="AG15" s="17">
        <f>18.9/6*5.5</f>
        <v>17.324999999999999</v>
      </c>
    </row>
    <row r="16" spans="1:33">
      <c r="A16" s="16">
        <f t="shared" si="8"/>
        <v>44514</v>
      </c>
      <c r="B16" s="17">
        <v>4800</v>
      </c>
      <c r="C16" s="18">
        <f t="shared" si="9"/>
        <v>4624.8500000000004</v>
      </c>
      <c r="D16" s="18">
        <f t="shared" si="1"/>
        <v>4624.8500000000004</v>
      </c>
      <c r="E16" s="18">
        <f t="shared" si="2"/>
        <v>1761.3500000000004</v>
      </c>
      <c r="F16" s="19">
        <f t="shared" si="21"/>
        <v>0</v>
      </c>
      <c r="G16" s="14">
        <f t="shared" si="10"/>
        <v>4710.5</v>
      </c>
      <c r="H16" s="20">
        <f t="shared" si="11"/>
        <v>0.7</v>
      </c>
      <c r="I16" s="20">
        <f t="shared" si="12"/>
        <v>4425</v>
      </c>
      <c r="J16" s="28">
        <f t="shared" si="13"/>
        <v>0.3</v>
      </c>
      <c r="K16" s="28"/>
      <c r="L16" s="20">
        <f t="shared" si="14"/>
        <v>-69</v>
      </c>
      <c r="M16" s="20">
        <f t="shared" si="14"/>
        <v>-49</v>
      </c>
      <c r="N16" s="29"/>
      <c r="O16" s="17">
        <v>4700</v>
      </c>
      <c r="P16" s="18">
        <f t="shared" si="15"/>
        <v>90</v>
      </c>
      <c r="Q16" s="14">
        <f t="shared" si="3"/>
        <v>-90</v>
      </c>
      <c r="R16" s="37">
        <f t="shared" si="16"/>
        <v>4700</v>
      </c>
      <c r="S16" s="20">
        <f>'青岛 - 螺纹'!S16</f>
        <v>4425</v>
      </c>
      <c r="T16" s="38">
        <f t="shared" si="17"/>
        <v>0</v>
      </c>
      <c r="U16" s="20">
        <f t="shared" si="4"/>
        <v>4425</v>
      </c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17">
        <f>18.9/6*6</f>
        <v>18.899999999999999</v>
      </c>
    </row>
    <row r="17" spans="1:33">
      <c r="A17" s="16">
        <f t="shared" si="8"/>
        <v>44515</v>
      </c>
      <c r="B17" s="17">
        <v>4620</v>
      </c>
      <c r="C17" s="18">
        <f t="shared" si="9"/>
        <v>-117.65</v>
      </c>
      <c r="D17" s="18">
        <f t="shared" si="1"/>
        <v>4682.3500000000004</v>
      </c>
      <c r="E17" s="18">
        <f t="shared" si="2"/>
        <v>4624.8500000000004</v>
      </c>
      <c r="F17" s="19">
        <f t="shared" si="21"/>
        <v>0</v>
      </c>
      <c r="G17" s="14">
        <f t="shared" si="10"/>
        <v>-69.5</v>
      </c>
      <c r="H17" s="20">
        <f t="shared" si="11"/>
        <v>0.7</v>
      </c>
      <c r="I17" s="20">
        <f t="shared" si="12"/>
        <v>-230</v>
      </c>
      <c r="J17" s="28">
        <f t="shared" si="13"/>
        <v>0.3</v>
      </c>
      <c r="K17" s="28"/>
      <c r="L17" s="20">
        <f t="shared" si="14"/>
        <v>-69</v>
      </c>
      <c r="M17" s="20">
        <f t="shared" si="14"/>
        <v>-49</v>
      </c>
      <c r="N17" s="29"/>
      <c r="O17" s="17">
        <v>4660</v>
      </c>
      <c r="P17" s="18">
        <f t="shared" si="15"/>
        <v>90</v>
      </c>
      <c r="Q17" s="14">
        <f t="shared" si="3"/>
        <v>10</v>
      </c>
      <c r="R17" s="37">
        <f t="shared" si="16"/>
        <v>-40</v>
      </c>
      <c r="S17" s="20">
        <f>'青岛 - 螺纹'!S17</f>
        <v>4195</v>
      </c>
      <c r="T17" s="38">
        <f t="shared" si="17"/>
        <v>4425</v>
      </c>
      <c r="U17" s="20">
        <f t="shared" si="4"/>
        <v>-230</v>
      </c>
      <c r="V17" s="30"/>
      <c r="W17" s="30"/>
      <c r="X17" s="30"/>
      <c r="Y17" s="30"/>
      <c r="Z17" s="30"/>
      <c r="AA17" s="30"/>
      <c r="AB17" s="30"/>
      <c r="AC17" s="30"/>
      <c r="AD17" s="30"/>
      <c r="AE17" s="30">
        <v>1.7</v>
      </c>
      <c r="AF17" s="30">
        <v>1.7</v>
      </c>
      <c r="AG17" s="30">
        <v>2</v>
      </c>
    </row>
    <row r="18" spans="1:33">
      <c r="A18" s="16">
        <f t="shared" si="8"/>
        <v>44516</v>
      </c>
      <c r="B18" s="17">
        <f>4800-180</f>
        <v>4620</v>
      </c>
      <c r="C18" s="18">
        <f t="shared" si="9"/>
        <v>8.7499999999999982</v>
      </c>
      <c r="D18" s="18">
        <f t="shared" si="1"/>
        <v>4628.75</v>
      </c>
      <c r="E18" s="18">
        <f t="shared" si="2"/>
        <v>4682.3500000000004</v>
      </c>
      <c r="F18" s="19">
        <f t="shared" si="21"/>
        <v>0.85</v>
      </c>
      <c r="G18" s="14">
        <f t="shared" si="10"/>
        <v>30.5</v>
      </c>
      <c r="H18" s="20">
        <f t="shared" si="11"/>
        <v>0.7</v>
      </c>
      <c r="I18" s="20">
        <f t="shared" si="12"/>
        <v>-42</v>
      </c>
      <c r="J18" s="28">
        <f t="shared" si="13"/>
        <v>0.3</v>
      </c>
      <c r="K18" s="28"/>
      <c r="L18" s="20">
        <f t="shared" si="14"/>
        <v>-69</v>
      </c>
      <c r="M18" s="20">
        <f t="shared" si="14"/>
        <v>-49</v>
      </c>
      <c r="N18" s="29"/>
      <c r="O18" s="17">
        <v>4660</v>
      </c>
      <c r="P18" s="18">
        <f t="shared" si="15"/>
        <v>90</v>
      </c>
      <c r="Q18" s="14">
        <f t="shared" si="3"/>
        <v>-130</v>
      </c>
      <c r="R18" s="37">
        <f t="shared" si="16"/>
        <v>0</v>
      </c>
      <c r="S18" s="20">
        <f>'青岛 - 螺纹'!S18</f>
        <v>4153</v>
      </c>
      <c r="T18" s="38">
        <f t="shared" si="17"/>
        <v>4195</v>
      </c>
      <c r="U18" s="20">
        <f t="shared" si="4"/>
        <v>-42</v>
      </c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</row>
    <row r="19" spans="1:33">
      <c r="A19" s="16">
        <f t="shared" si="8"/>
        <v>44517</v>
      </c>
      <c r="B19" s="17">
        <v>4620</v>
      </c>
      <c r="C19" s="18">
        <f t="shared" si="9"/>
        <v>19.849999999999998</v>
      </c>
      <c r="D19" s="18">
        <f t="shared" si="1"/>
        <v>4639.8500000000004</v>
      </c>
      <c r="E19" s="18">
        <f t="shared" si="2"/>
        <v>4628.75</v>
      </c>
      <c r="F19" s="19" t="e">
        <f t="shared" si="21"/>
        <v>#DIV/0!</v>
      </c>
      <c r="G19" s="14">
        <f t="shared" si="10"/>
        <v>30.5</v>
      </c>
      <c r="H19" s="20">
        <f t="shared" si="11"/>
        <v>0.7</v>
      </c>
      <c r="I19" s="20">
        <f t="shared" si="12"/>
        <v>-5</v>
      </c>
      <c r="J19" s="28">
        <f t="shared" si="13"/>
        <v>0.3</v>
      </c>
      <c r="K19" s="28"/>
      <c r="L19" s="20">
        <f t="shared" si="14"/>
        <v>-69</v>
      </c>
      <c r="M19" s="20">
        <f t="shared" si="14"/>
        <v>-49</v>
      </c>
      <c r="N19" s="29"/>
      <c r="O19" s="17">
        <v>4660</v>
      </c>
      <c r="P19" s="18">
        <f t="shared" si="15"/>
        <v>90</v>
      </c>
      <c r="Q19" s="14">
        <f t="shared" si="3"/>
        <v>-130</v>
      </c>
      <c r="R19" s="37">
        <f t="shared" si="16"/>
        <v>0</v>
      </c>
      <c r="S19" s="20">
        <f>'青岛 - 螺纹'!S19</f>
        <v>4148</v>
      </c>
      <c r="T19" s="38">
        <f t="shared" si="17"/>
        <v>4153</v>
      </c>
      <c r="U19" s="20">
        <f t="shared" si="4"/>
        <v>-5</v>
      </c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</row>
    <row r="20" spans="1:33">
      <c r="A20" s="16">
        <f t="shared" si="8"/>
        <v>44518</v>
      </c>
      <c r="B20" s="17">
        <v>4590</v>
      </c>
      <c r="C20" s="18">
        <f t="shared" si="9"/>
        <v>41.75</v>
      </c>
      <c r="D20" s="18">
        <f t="shared" si="1"/>
        <v>4661.75</v>
      </c>
      <c r="E20" s="18">
        <f t="shared" si="2"/>
        <v>4639.8500000000004</v>
      </c>
      <c r="F20" s="19" t="e">
        <f t="shared" si="21"/>
        <v>#DIV/0!</v>
      </c>
      <c r="G20" s="14">
        <f t="shared" si="10"/>
        <v>30.5</v>
      </c>
      <c r="H20" s="20">
        <f t="shared" si="11"/>
        <v>0.7</v>
      </c>
      <c r="I20" s="20">
        <f t="shared" si="12"/>
        <v>68</v>
      </c>
      <c r="J20" s="28">
        <f t="shared" si="13"/>
        <v>0.3</v>
      </c>
      <c r="K20" s="28"/>
      <c r="L20" s="20">
        <f t="shared" si="14"/>
        <v>-69</v>
      </c>
      <c r="M20" s="20">
        <f t="shared" si="14"/>
        <v>-49</v>
      </c>
      <c r="N20" s="29"/>
      <c r="O20" s="30">
        <v>4660</v>
      </c>
      <c r="P20" s="18">
        <f t="shared" si="15"/>
        <v>90</v>
      </c>
      <c r="Q20" s="14">
        <f t="shared" si="3"/>
        <v>-130</v>
      </c>
      <c r="R20" s="37">
        <f t="shared" si="16"/>
        <v>0</v>
      </c>
      <c r="S20" s="20">
        <f>'青岛 - 螺纹'!S20</f>
        <v>4216</v>
      </c>
      <c r="T20" s="38">
        <f t="shared" si="17"/>
        <v>4148</v>
      </c>
      <c r="U20" s="20">
        <f t="shared" si="4"/>
        <v>68</v>
      </c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</row>
    <row r="21" spans="1:33">
      <c r="A21" s="16">
        <f t="shared" si="8"/>
        <v>44519</v>
      </c>
      <c r="B21" s="21">
        <v>4590</v>
      </c>
      <c r="C21" s="18">
        <f t="shared" si="9"/>
        <v>15.049999999999997</v>
      </c>
      <c r="D21" s="18">
        <f t="shared" si="1"/>
        <v>4605.05</v>
      </c>
      <c r="E21" s="18">
        <f t="shared" si="2"/>
        <v>4661.75</v>
      </c>
      <c r="F21" s="19" t="e">
        <f t="shared" si="21"/>
        <v>#DIV/0!</v>
      </c>
      <c r="G21" s="14">
        <f t="shared" si="10"/>
        <v>45.5</v>
      </c>
      <c r="H21" s="20">
        <f t="shared" si="11"/>
        <v>0.7</v>
      </c>
      <c r="I21" s="20">
        <f t="shared" si="12"/>
        <v>-56</v>
      </c>
      <c r="J21" s="28">
        <f t="shared" si="13"/>
        <v>0.3</v>
      </c>
      <c r="K21" s="28"/>
      <c r="L21" s="20">
        <f t="shared" ref="L21:M21" si="22">L20</f>
        <v>-69</v>
      </c>
      <c r="M21" s="20">
        <f t="shared" si="22"/>
        <v>-49</v>
      </c>
      <c r="N21" s="29"/>
      <c r="O21" s="30">
        <v>4660</v>
      </c>
      <c r="P21" s="18">
        <f t="shared" si="15"/>
        <v>90</v>
      </c>
      <c r="Q21" s="14">
        <f t="shared" si="3"/>
        <v>-160</v>
      </c>
      <c r="R21" s="37">
        <f t="shared" si="16"/>
        <v>0</v>
      </c>
      <c r="S21" s="20">
        <f>'青岛 - 螺纹'!S21</f>
        <v>4160</v>
      </c>
      <c r="T21" s="38">
        <f t="shared" si="17"/>
        <v>4216</v>
      </c>
      <c r="U21" s="20">
        <f t="shared" si="4"/>
        <v>-56</v>
      </c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</row>
    <row r="22" spans="1:33">
      <c r="A22" s="16">
        <f t="shared" si="8"/>
        <v>44520</v>
      </c>
      <c r="B22" s="21">
        <v>4620</v>
      </c>
      <c r="C22" s="18">
        <f t="shared" ref="C22:C29" si="23">H22*G22+J22*I22+K22</f>
        <v>31.849999999999998</v>
      </c>
      <c r="D22" s="18">
        <f t="shared" ref="D22:D29" si="24">B21+C22</f>
        <v>4621.8500000000004</v>
      </c>
      <c r="E22" s="18">
        <f t="shared" ref="E22:E29" si="25">D21</f>
        <v>4605.05</v>
      </c>
      <c r="F22" s="19" t="e">
        <f t="shared" ref="F22:F29" si="26">AF21/AG21</f>
        <v>#DIV/0!</v>
      </c>
      <c r="G22" s="14">
        <f t="shared" ref="G22:G29" si="27">IF((Q22-L22)&lt;0,-(Q22-L22)/2,IF((Q22-L22)&gt;0,-(Q22-M22)/2,0))+R22</f>
        <v>45.5</v>
      </c>
      <c r="H22" s="20">
        <f t="shared" si="11"/>
        <v>0.7</v>
      </c>
      <c r="I22" s="20">
        <f t="shared" ref="I22:I29" si="28">U22</f>
        <v>0</v>
      </c>
      <c r="J22" s="28">
        <f t="shared" si="13"/>
        <v>0.3</v>
      </c>
      <c r="K22" s="28"/>
      <c r="L22" s="20">
        <f t="shared" ref="L22:M22" si="29">L21</f>
        <v>-69</v>
      </c>
      <c r="M22" s="20">
        <f t="shared" si="29"/>
        <v>-49</v>
      </c>
      <c r="N22" s="29"/>
      <c r="O22" s="30">
        <v>4660</v>
      </c>
      <c r="P22" s="18">
        <f t="shared" si="15"/>
        <v>90</v>
      </c>
      <c r="Q22" s="14">
        <f t="shared" ref="Q22:Q29" si="30">B21-(O21+P21)</f>
        <v>-160</v>
      </c>
      <c r="R22" s="37">
        <f t="shared" ref="R22:R29" si="31">O22-O21</f>
        <v>0</v>
      </c>
      <c r="S22" s="20">
        <f>'青岛 - 螺纹'!S22</f>
        <v>4160</v>
      </c>
      <c r="T22" s="38">
        <f t="shared" ref="T22:T29" si="32">S21</f>
        <v>4160</v>
      </c>
      <c r="U22" s="20">
        <f t="shared" ref="U22:U29" si="33">S22-T22</f>
        <v>0</v>
      </c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spans="1:33">
      <c r="A23" s="16">
        <f t="shared" si="8"/>
        <v>44521</v>
      </c>
      <c r="B23" s="21">
        <v>4620</v>
      </c>
      <c r="C23" s="18">
        <f t="shared" si="23"/>
        <v>49.349999999999994</v>
      </c>
      <c r="D23" s="18">
        <f t="shared" si="24"/>
        <v>4669.3500000000004</v>
      </c>
      <c r="E23" s="18">
        <f t="shared" si="25"/>
        <v>4621.8500000000004</v>
      </c>
      <c r="F23" s="19" t="e">
        <f t="shared" si="26"/>
        <v>#DIV/0!</v>
      </c>
      <c r="G23" s="14">
        <f t="shared" si="27"/>
        <v>70.5</v>
      </c>
      <c r="H23" s="20">
        <f t="shared" si="11"/>
        <v>0.7</v>
      </c>
      <c r="I23" s="20">
        <f t="shared" si="28"/>
        <v>0</v>
      </c>
      <c r="J23" s="28">
        <f t="shared" si="13"/>
        <v>0.3</v>
      </c>
      <c r="K23" s="28"/>
      <c r="L23" s="20">
        <f t="shared" ref="L23:M23" si="34">L22</f>
        <v>-69</v>
      </c>
      <c r="M23" s="20">
        <f t="shared" si="34"/>
        <v>-49</v>
      </c>
      <c r="N23" s="29"/>
      <c r="O23" s="30">
        <v>4700</v>
      </c>
      <c r="P23" s="18">
        <f t="shared" si="15"/>
        <v>90</v>
      </c>
      <c r="Q23" s="14">
        <f t="shared" si="30"/>
        <v>-130</v>
      </c>
      <c r="R23" s="37">
        <f t="shared" si="31"/>
        <v>40</v>
      </c>
      <c r="S23" s="20">
        <f>'青岛 - 螺纹'!S23</f>
        <v>4160</v>
      </c>
      <c r="T23" s="38">
        <f t="shared" si="32"/>
        <v>4160</v>
      </c>
      <c r="U23" s="20">
        <f t="shared" si="33"/>
        <v>0</v>
      </c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:33">
      <c r="A24" s="16">
        <f t="shared" si="8"/>
        <v>44522</v>
      </c>
      <c r="B24" s="17">
        <v>4620</v>
      </c>
      <c r="C24" s="18">
        <f t="shared" si="23"/>
        <v>62.349999999999994</v>
      </c>
      <c r="D24" s="18">
        <f t="shared" si="24"/>
        <v>4682.3500000000004</v>
      </c>
      <c r="E24" s="18">
        <f t="shared" si="25"/>
        <v>4669.3500000000004</v>
      </c>
      <c r="F24" s="19" t="e">
        <f t="shared" si="26"/>
        <v>#DIV/0!</v>
      </c>
      <c r="G24" s="14">
        <f t="shared" si="27"/>
        <v>50.5</v>
      </c>
      <c r="H24" s="20">
        <f t="shared" si="11"/>
        <v>0.7</v>
      </c>
      <c r="I24" s="20">
        <f t="shared" si="28"/>
        <v>90</v>
      </c>
      <c r="J24" s="28">
        <f t="shared" si="13"/>
        <v>0.3</v>
      </c>
      <c r="K24" s="28"/>
      <c r="L24" s="20">
        <f t="shared" ref="L24:M24" si="35">L23</f>
        <v>-69</v>
      </c>
      <c r="M24" s="20">
        <f t="shared" si="35"/>
        <v>-49</v>
      </c>
      <c r="N24" s="29"/>
      <c r="O24" s="30">
        <v>4700</v>
      </c>
      <c r="P24" s="18">
        <f t="shared" si="15"/>
        <v>90</v>
      </c>
      <c r="Q24" s="14">
        <f t="shared" si="30"/>
        <v>-170</v>
      </c>
      <c r="R24" s="37">
        <f t="shared" si="31"/>
        <v>0</v>
      </c>
      <c r="S24" s="20">
        <f>'青岛 - 螺纹'!S24</f>
        <v>4250</v>
      </c>
      <c r="T24" s="38">
        <f t="shared" si="32"/>
        <v>4160</v>
      </c>
      <c r="U24" s="20">
        <f t="shared" si="33"/>
        <v>90</v>
      </c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spans="1:33">
      <c r="A25" s="16">
        <f t="shared" si="8"/>
        <v>44523</v>
      </c>
      <c r="B25" s="17"/>
      <c r="C25" s="18">
        <f t="shared" si="23"/>
        <v>50.349999999999994</v>
      </c>
      <c r="D25" s="18">
        <f t="shared" si="24"/>
        <v>4670.3500000000004</v>
      </c>
      <c r="E25" s="18">
        <f t="shared" si="25"/>
        <v>4682.3500000000004</v>
      </c>
      <c r="F25" s="19" t="e">
        <f t="shared" si="26"/>
        <v>#DIV/0!</v>
      </c>
      <c r="G25" s="14">
        <f t="shared" si="27"/>
        <v>50.5</v>
      </c>
      <c r="H25" s="20">
        <f t="shared" si="11"/>
        <v>0.7</v>
      </c>
      <c r="I25" s="20">
        <f t="shared" si="28"/>
        <v>50</v>
      </c>
      <c r="J25" s="28">
        <f t="shared" si="13"/>
        <v>0.3</v>
      </c>
      <c r="K25" s="28"/>
      <c r="L25" s="20">
        <f t="shared" ref="L25:M25" si="36">L24</f>
        <v>-69</v>
      </c>
      <c r="M25" s="20">
        <f t="shared" si="36"/>
        <v>-49</v>
      </c>
      <c r="N25" s="29"/>
      <c r="O25" s="30">
        <v>4700</v>
      </c>
      <c r="P25" s="18">
        <f t="shared" si="15"/>
        <v>90</v>
      </c>
      <c r="Q25" s="14">
        <f t="shared" si="30"/>
        <v>-170</v>
      </c>
      <c r="R25" s="37">
        <f t="shared" si="31"/>
        <v>0</v>
      </c>
      <c r="S25" s="20">
        <f>'青岛 - 螺纹'!S25</f>
        <v>4300</v>
      </c>
      <c r="T25" s="38">
        <f t="shared" si="32"/>
        <v>4250</v>
      </c>
      <c r="U25" s="20">
        <f t="shared" si="33"/>
        <v>50</v>
      </c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spans="1:33">
      <c r="A26" s="16">
        <f t="shared" si="8"/>
        <v>44524</v>
      </c>
      <c r="B26" s="17"/>
      <c r="C26" s="18">
        <f t="shared" si="23"/>
        <v>-1633.1499999999999</v>
      </c>
      <c r="D26" s="18">
        <f t="shared" si="24"/>
        <v>-1633.1499999999999</v>
      </c>
      <c r="E26" s="18">
        <f t="shared" si="25"/>
        <v>4670.3500000000004</v>
      </c>
      <c r="F26" s="19" t="e">
        <f t="shared" si="26"/>
        <v>#DIV/0!</v>
      </c>
      <c r="G26" s="14">
        <f t="shared" si="27"/>
        <v>-2339.5</v>
      </c>
      <c r="H26" s="20">
        <f t="shared" si="11"/>
        <v>0.7</v>
      </c>
      <c r="I26" s="20">
        <f t="shared" si="28"/>
        <v>15</v>
      </c>
      <c r="J26" s="28">
        <f t="shared" si="13"/>
        <v>0.3</v>
      </c>
      <c r="K26" s="28"/>
      <c r="L26" s="20">
        <f t="shared" ref="L26:M26" si="37">L25</f>
        <v>-69</v>
      </c>
      <c r="M26" s="20">
        <f t="shared" si="37"/>
        <v>-49</v>
      </c>
      <c r="N26" s="29"/>
      <c r="O26" s="30"/>
      <c r="P26" s="18">
        <f t="shared" si="15"/>
        <v>90</v>
      </c>
      <c r="Q26" s="14">
        <f t="shared" si="30"/>
        <v>-4790</v>
      </c>
      <c r="R26" s="37">
        <f t="shared" si="31"/>
        <v>-4700</v>
      </c>
      <c r="S26" s="20">
        <f>'青岛 - 螺纹'!S26</f>
        <v>4315</v>
      </c>
      <c r="T26" s="38">
        <f t="shared" si="32"/>
        <v>4300</v>
      </c>
      <c r="U26" s="20">
        <f t="shared" si="33"/>
        <v>15</v>
      </c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spans="1:33">
      <c r="A27" s="16">
        <f t="shared" si="8"/>
        <v>44525</v>
      </c>
      <c r="B27" s="17"/>
      <c r="C27" s="18">
        <f t="shared" si="23"/>
        <v>55.35</v>
      </c>
      <c r="D27" s="18">
        <f t="shared" si="24"/>
        <v>55.35</v>
      </c>
      <c r="E27" s="18">
        <f t="shared" si="25"/>
        <v>-1633.1499999999999</v>
      </c>
      <c r="F27" s="19" t="e">
        <f t="shared" si="26"/>
        <v>#DIV/0!</v>
      </c>
      <c r="G27" s="14">
        <f t="shared" si="27"/>
        <v>10.5</v>
      </c>
      <c r="H27" s="20">
        <f t="shared" si="11"/>
        <v>0.7</v>
      </c>
      <c r="I27" s="20">
        <f t="shared" si="28"/>
        <v>160</v>
      </c>
      <c r="J27" s="28">
        <f t="shared" si="13"/>
        <v>0.3</v>
      </c>
      <c r="K27" s="28"/>
      <c r="L27" s="20">
        <f t="shared" ref="L27:M27" si="38">L26</f>
        <v>-69</v>
      </c>
      <c r="M27" s="20">
        <f t="shared" si="38"/>
        <v>-49</v>
      </c>
      <c r="N27" s="29"/>
      <c r="O27" s="30"/>
      <c r="P27" s="18">
        <f t="shared" si="15"/>
        <v>90</v>
      </c>
      <c r="Q27" s="14">
        <f t="shared" si="30"/>
        <v>-90</v>
      </c>
      <c r="R27" s="37">
        <f t="shared" si="31"/>
        <v>0</v>
      </c>
      <c r="S27" s="20">
        <f>'青岛 - 螺纹'!S27</f>
        <v>4475</v>
      </c>
      <c r="T27" s="38">
        <f t="shared" si="32"/>
        <v>4315</v>
      </c>
      <c r="U27" s="20">
        <f t="shared" si="33"/>
        <v>160</v>
      </c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spans="1:33">
      <c r="A28" s="16">
        <f t="shared" si="8"/>
        <v>44526</v>
      </c>
      <c r="B28" s="17"/>
      <c r="C28" s="18">
        <f t="shared" si="23"/>
        <v>-60.749999999999993</v>
      </c>
      <c r="D28" s="18">
        <f t="shared" si="24"/>
        <v>-60.749999999999993</v>
      </c>
      <c r="E28" s="18">
        <f t="shared" si="25"/>
        <v>55.35</v>
      </c>
      <c r="F28" s="19" t="e">
        <f t="shared" si="26"/>
        <v>#DIV/0!</v>
      </c>
      <c r="G28" s="14">
        <f t="shared" si="27"/>
        <v>10.5</v>
      </c>
      <c r="H28" s="20">
        <f t="shared" si="11"/>
        <v>0.7</v>
      </c>
      <c r="I28" s="20">
        <f t="shared" si="28"/>
        <v>-227</v>
      </c>
      <c r="J28" s="28">
        <f t="shared" si="13"/>
        <v>0.3</v>
      </c>
      <c r="K28" s="28"/>
      <c r="L28" s="20">
        <f t="shared" ref="L28:M28" si="39">L27</f>
        <v>-69</v>
      </c>
      <c r="M28" s="20">
        <f t="shared" si="39"/>
        <v>-49</v>
      </c>
      <c r="N28" s="29"/>
      <c r="O28" s="30"/>
      <c r="P28" s="18">
        <f t="shared" si="15"/>
        <v>90</v>
      </c>
      <c r="Q28" s="14">
        <f t="shared" si="30"/>
        <v>-90</v>
      </c>
      <c r="R28" s="37">
        <f t="shared" si="31"/>
        <v>0</v>
      </c>
      <c r="S28" s="20">
        <f>'青岛 - 螺纹'!S28</f>
        <v>4248</v>
      </c>
      <c r="T28" s="38">
        <f t="shared" si="32"/>
        <v>4475</v>
      </c>
      <c r="U28" s="20">
        <f t="shared" si="33"/>
        <v>-227</v>
      </c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spans="1:33">
      <c r="A29" s="16">
        <f t="shared" si="8"/>
        <v>44527</v>
      </c>
      <c r="B29" s="17"/>
      <c r="C29" s="18">
        <f t="shared" si="23"/>
        <v>-37.049999999999997</v>
      </c>
      <c r="D29" s="18">
        <f t="shared" si="24"/>
        <v>-37.049999999999997</v>
      </c>
      <c r="E29" s="18">
        <f t="shared" si="25"/>
        <v>-60.749999999999993</v>
      </c>
      <c r="F29" s="19" t="e">
        <f t="shared" si="26"/>
        <v>#DIV/0!</v>
      </c>
      <c r="G29" s="14">
        <f t="shared" si="27"/>
        <v>10.5</v>
      </c>
      <c r="H29" s="20">
        <f t="shared" si="11"/>
        <v>0.7</v>
      </c>
      <c r="I29" s="20">
        <f t="shared" si="28"/>
        <v>-148</v>
      </c>
      <c r="J29" s="28">
        <f t="shared" si="13"/>
        <v>0.3</v>
      </c>
      <c r="K29" s="28"/>
      <c r="L29" s="20">
        <f t="shared" ref="L29:M29" si="40">L28</f>
        <v>-69</v>
      </c>
      <c r="M29" s="20">
        <f t="shared" si="40"/>
        <v>-49</v>
      </c>
      <c r="N29" s="29"/>
      <c r="O29" s="30"/>
      <c r="P29" s="18">
        <f t="shared" si="15"/>
        <v>90</v>
      </c>
      <c r="Q29" s="14">
        <f t="shared" si="30"/>
        <v>-90</v>
      </c>
      <c r="R29" s="37">
        <f t="shared" si="31"/>
        <v>0</v>
      </c>
      <c r="S29" s="20">
        <f>'青岛 - 螺纹'!S29</f>
        <v>4100</v>
      </c>
      <c r="T29" s="38">
        <f t="shared" si="32"/>
        <v>4248</v>
      </c>
      <c r="U29" s="20">
        <f t="shared" si="33"/>
        <v>-148</v>
      </c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</sheetData>
  <phoneticPr fontId="16" type="noConversion"/>
  <conditionalFormatting sqref="A3">
    <cfRule type="cellIs" dxfId="5" priority="3" operator="equal">
      <formula>$A$1</formula>
    </cfRule>
  </conditionalFormatting>
  <conditionalFormatting sqref="A4">
    <cfRule type="cellIs" dxfId="4" priority="2" operator="equal">
      <formula>$A$1</formula>
    </cfRule>
  </conditionalFormatting>
  <conditionalFormatting sqref="A5:A21">
    <cfRule type="cellIs" dxfId="3" priority="1" operator="equal">
      <formula>$A$1</formula>
    </cfRule>
  </conditionalFormatting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"/>
  <sheetViews>
    <sheetView zoomScale="70" zoomScaleNormal="70" workbookViewId="0">
      <pane xSplit="1" ySplit="2" topLeftCell="B3" activePane="bottomRight" state="frozen"/>
      <selection pane="topRight"/>
      <selection pane="bottomLeft"/>
      <selection pane="bottomRight" activeCell="O3" sqref="O3:O25"/>
    </sheetView>
  </sheetViews>
  <sheetFormatPr defaultColWidth="9" defaultRowHeight="14.25"/>
  <cols>
    <col min="1" max="1" width="12.25" customWidth="1"/>
    <col min="2" max="2" width="10.125" customWidth="1"/>
    <col min="3" max="3" width="8.875" hidden="1" customWidth="1"/>
    <col min="4" max="4" width="8.875" style="1" hidden="1" customWidth="1"/>
    <col min="5" max="5" width="9.5" hidden="1" customWidth="1"/>
    <col min="6" max="6" width="10.5" hidden="1" customWidth="1"/>
    <col min="7" max="7" width="13.125" hidden="1" customWidth="1"/>
    <col min="8" max="8" width="9.125" hidden="1" customWidth="1"/>
    <col min="9" max="9" width="13.125" style="1" hidden="1" customWidth="1"/>
    <col min="10" max="10" width="9.125" hidden="1" customWidth="1"/>
    <col min="11" max="11" width="14.75" hidden="1" customWidth="1"/>
    <col min="12" max="14" width="9.875" hidden="1" customWidth="1"/>
    <col min="15" max="15" width="8.875" customWidth="1"/>
    <col min="16" max="16" width="4.875" hidden="1" customWidth="1"/>
    <col min="17" max="17" width="13.5" hidden="1" customWidth="1"/>
    <col min="18" max="18" width="11" customWidth="1"/>
    <col min="19" max="32" width="11.125" hidden="1" customWidth="1"/>
    <col min="33" max="33" width="10.125" hidden="1" customWidth="1"/>
    <col min="34" max="34" width="9" hidden="1" customWidth="1"/>
  </cols>
  <sheetData>
    <row r="1" spans="1:34">
      <c r="A1" s="2">
        <f ca="1">TODAY()</f>
        <v>44536</v>
      </c>
      <c r="B1" s="3"/>
      <c r="O1" s="3"/>
      <c r="R1" s="3"/>
      <c r="S1" s="3"/>
      <c r="T1" s="3"/>
      <c r="U1" s="3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"/>
      <c r="AG1" s="3"/>
    </row>
    <row r="2" spans="1:34" ht="42" customHeight="1">
      <c r="A2" s="4" t="s">
        <v>41</v>
      </c>
      <c r="B2" s="4" t="s">
        <v>74</v>
      </c>
      <c r="C2" s="5" t="s">
        <v>75</v>
      </c>
      <c r="D2" s="6" t="s">
        <v>5</v>
      </c>
      <c r="E2" s="7" t="s">
        <v>76</v>
      </c>
      <c r="F2" s="7" t="s">
        <v>77</v>
      </c>
      <c r="G2" s="8" t="s">
        <v>78</v>
      </c>
      <c r="H2" s="9" t="s">
        <v>79</v>
      </c>
      <c r="I2" s="22" t="s">
        <v>80</v>
      </c>
      <c r="J2" s="23" t="s">
        <v>81</v>
      </c>
      <c r="K2" s="24" t="s">
        <v>82</v>
      </c>
      <c r="L2" s="8" t="s">
        <v>10</v>
      </c>
      <c r="M2" s="9" t="s">
        <v>11</v>
      </c>
      <c r="N2" s="9" t="s">
        <v>83</v>
      </c>
      <c r="O2" s="9" t="s">
        <v>182</v>
      </c>
      <c r="P2" s="9" t="s">
        <v>85</v>
      </c>
      <c r="Q2" s="9" t="s">
        <v>86</v>
      </c>
      <c r="R2" s="9" t="s">
        <v>87</v>
      </c>
      <c r="S2" s="32" t="s">
        <v>61</v>
      </c>
      <c r="T2" s="32" t="s">
        <v>62</v>
      </c>
      <c r="U2" s="32" t="s">
        <v>88</v>
      </c>
      <c r="V2" s="32" t="s">
        <v>89</v>
      </c>
      <c r="W2" s="32" t="s">
        <v>90</v>
      </c>
      <c r="X2" s="32" t="s">
        <v>91</v>
      </c>
      <c r="Y2" s="32" t="s">
        <v>92</v>
      </c>
      <c r="Z2" s="32" t="s">
        <v>93</v>
      </c>
      <c r="AA2" s="32" t="s">
        <v>94</v>
      </c>
      <c r="AB2" s="32" t="s">
        <v>95</v>
      </c>
      <c r="AC2" s="32" t="s">
        <v>96</v>
      </c>
      <c r="AD2" s="32" t="s">
        <v>97</v>
      </c>
      <c r="AE2" s="24" t="s">
        <v>190</v>
      </c>
      <c r="AF2" s="24" t="s">
        <v>191</v>
      </c>
      <c r="AG2" s="24" t="s">
        <v>103</v>
      </c>
      <c r="AH2" s="24" t="s">
        <v>185</v>
      </c>
    </row>
    <row r="3" spans="1:34">
      <c r="A3" s="10">
        <v>44501</v>
      </c>
      <c r="B3" s="11">
        <v>5440</v>
      </c>
      <c r="C3" s="12">
        <f t="shared" ref="C3:C4" si="0">H3*G3+J3*I3+K3</f>
        <v>-1869.0999999999997</v>
      </c>
      <c r="D3" s="12">
        <f>5190+C3</f>
        <v>3320.9000000000005</v>
      </c>
      <c r="E3" s="12"/>
      <c r="F3" s="13">
        <v>0</v>
      </c>
      <c r="G3" s="14">
        <f>IF((Q3-L3)&lt;0,-(Q3-L3)/2,IF((Q3-L3)&gt;0,-(Q3-M3)/2,0))+R3</f>
        <v>-2635</v>
      </c>
      <c r="H3" s="15">
        <v>0.7</v>
      </c>
      <c r="I3" s="15">
        <f>U3</f>
        <v>-82</v>
      </c>
      <c r="J3" s="25">
        <v>0.3</v>
      </c>
      <c r="K3" s="25"/>
      <c r="L3" s="26">
        <v>-80</v>
      </c>
      <c r="M3" s="26">
        <v>-50</v>
      </c>
      <c r="N3" s="27"/>
      <c r="O3" s="11"/>
      <c r="P3" s="11">
        <v>-30</v>
      </c>
      <c r="Q3" s="33">
        <f>5190-(P3+O3)</f>
        <v>5220</v>
      </c>
      <c r="R3" s="26">
        <v>0</v>
      </c>
      <c r="S3" s="15">
        <v>4630</v>
      </c>
      <c r="T3" s="12">
        <v>4712</v>
      </c>
      <c r="U3" s="15">
        <f>S3-T3</f>
        <v>-82</v>
      </c>
      <c r="V3" s="26">
        <v>565</v>
      </c>
      <c r="W3" s="26">
        <v>577.5</v>
      </c>
      <c r="X3" s="26">
        <f>V3-W3</f>
        <v>-12.5</v>
      </c>
      <c r="Y3" s="26">
        <v>3040</v>
      </c>
      <c r="Z3" s="26">
        <v>3041</v>
      </c>
      <c r="AA3" s="26">
        <f>Y3-Z3</f>
        <v>-1</v>
      </c>
      <c r="AB3" s="26"/>
      <c r="AC3" s="26"/>
      <c r="AD3" s="26">
        <f>AB3-AC3</f>
        <v>0</v>
      </c>
      <c r="AE3" s="26"/>
      <c r="AF3" s="26"/>
      <c r="AG3" s="26"/>
      <c r="AH3" s="15">
        <v>50</v>
      </c>
    </row>
    <row r="4" spans="1:34">
      <c r="A4" s="16">
        <f>A3+1</f>
        <v>44502</v>
      </c>
      <c r="B4" s="17">
        <v>5320</v>
      </c>
      <c r="C4" s="18">
        <f t="shared" si="0"/>
        <v>-1971.2999999999997</v>
      </c>
      <c r="D4" s="18">
        <f t="shared" ref="D4:D14" si="1">B3+C4</f>
        <v>3468.7000000000003</v>
      </c>
      <c r="E4" s="18">
        <f t="shared" ref="E4:E14" si="2">D3</f>
        <v>3320.9000000000005</v>
      </c>
      <c r="F4" s="19">
        <v>0</v>
      </c>
      <c r="G4" s="14">
        <f>IF((Q4-L4)&lt;0,-(Q4-L4)/2,IF((Q4-L4)&gt;0,-(Q4-M4)/2,0))+R4</f>
        <v>-2760</v>
      </c>
      <c r="H4" s="20">
        <f>H3</f>
        <v>0.7</v>
      </c>
      <c r="I4" s="20">
        <f>U4</f>
        <v>-131</v>
      </c>
      <c r="J4" s="28">
        <f>J3</f>
        <v>0.3</v>
      </c>
      <c r="K4" s="28"/>
      <c r="L4" s="20">
        <f>L3</f>
        <v>-80</v>
      </c>
      <c r="M4" s="20">
        <f>M3</f>
        <v>-50</v>
      </c>
      <c r="N4" s="29"/>
      <c r="O4" s="17"/>
      <c r="P4" s="18">
        <f>P3</f>
        <v>-30</v>
      </c>
      <c r="Q4" s="14">
        <f t="shared" ref="Q4:Q13" si="3">B3-(O3+P3)</f>
        <v>5470</v>
      </c>
      <c r="R4" s="34">
        <f>O4-O3</f>
        <v>0</v>
      </c>
      <c r="S4" s="20">
        <v>4499</v>
      </c>
      <c r="T4" s="18">
        <f>S3</f>
        <v>4630</v>
      </c>
      <c r="U4" s="20">
        <f t="shared" ref="U4:U14" si="4">S4-T4</f>
        <v>-131</v>
      </c>
      <c r="V4" s="30"/>
      <c r="W4" s="30"/>
      <c r="X4" s="30">
        <f t="shared" ref="X4" si="5">V4-W4</f>
        <v>0</v>
      </c>
      <c r="Y4" s="30"/>
      <c r="Z4" s="30"/>
      <c r="AA4" s="30">
        <f t="shared" ref="AA4" si="6">Y4-Z4</f>
        <v>0</v>
      </c>
      <c r="AB4" s="30"/>
      <c r="AC4" s="30"/>
      <c r="AD4" s="30">
        <f t="shared" ref="AD4" si="7">AB4-AC4</f>
        <v>0</v>
      </c>
      <c r="AE4" s="30">
        <v>2.4</v>
      </c>
      <c r="AF4" s="30">
        <v>2.4</v>
      </c>
      <c r="AG4" s="30">
        <v>9</v>
      </c>
      <c r="AH4" s="20">
        <f>AH3</f>
        <v>50</v>
      </c>
    </row>
    <row r="5" spans="1:34">
      <c r="A5" s="16">
        <f t="shared" ref="A5:A29" si="8">A4+1</f>
        <v>44503</v>
      </c>
      <c r="B5" s="17">
        <v>5200</v>
      </c>
      <c r="C5" s="18">
        <f t="shared" ref="C5:C21" si="9">H5*G5+J5*I5+K5</f>
        <v>-1964.6999999999998</v>
      </c>
      <c r="D5" s="18">
        <f t="shared" si="1"/>
        <v>3355.3</v>
      </c>
      <c r="E5" s="18">
        <f t="shared" si="2"/>
        <v>3468.7000000000003</v>
      </c>
      <c r="F5" s="19">
        <f>AF4/AG4</f>
        <v>0.26666666666666666</v>
      </c>
      <c r="G5" s="14">
        <f t="shared" ref="G5:G21" si="10">IF((Q5-L5)&lt;0,-(Q5-L5)/2,IF((Q5-L5)&gt;0,-(Q5-M5)/2,0))+R5</f>
        <v>-2700</v>
      </c>
      <c r="H5" s="20">
        <f t="shared" ref="H5:H29" si="11">H4</f>
        <v>0.7</v>
      </c>
      <c r="I5" s="20">
        <f t="shared" ref="I5:I21" si="12">U5</f>
        <v>-249</v>
      </c>
      <c r="J5" s="28">
        <f t="shared" ref="J5:J29" si="13">J4</f>
        <v>0.3</v>
      </c>
      <c r="K5" s="28"/>
      <c r="L5" s="20">
        <f t="shared" ref="L5:M20" si="14">L4</f>
        <v>-80</v>
      </c>
      <c r="M5" s="20">
        <f t="shared" si="14"/>
        <v>-50</v>
      </c>
      <c r="N5" s="29"/>
      <c r="O5" s="17"/>
      <c r="P5" s="18">
        <f t="shared" ref="P5:P29" si="15">P4</f>
        <v>-30</v>
      </c>
      <c r="Q5" s="14">
        <f t="shared" si="3"/>
        <v>5350</v>
      </c>
      <c r="R5" s="34">
        <f t="shared" ref="R5:R13" si="16">O5-O4</f>
        <v>0</v>
      </c>
      <c r="S5" s="20">
        <v>4250</v>
      </c>
      <c r="T5" s="18">
        <f t="shared" ref="T5:T21" si="17">S4</f>
        <v>4499</v>
      </c>
      <c r="U5" s="20">
        <f t="shared" si="4"/>
        <v>-249</v>
      </c>
      <c r="V5" s="30"/>
      <c r="W5" s="30"/>
      <c r="X5" s="30"/>
      <c r="Y5" s="30"/>
      <c r="Z5" s="30"/>
      <c r="AA5" s="30"/>
      <c r="AB5" s="30"/>
      <c r="AC5" s="30"/>
      <c r="AD5" s="30"/>
      <c r="AE5" s="30">
        <f>AF5-AF4</f>
        <v>4.3000000000000007</v>
      </c>
      <c r="AF5" s="30">
        <v>6.7</v>
      </c>
      <c r="AG5" s="30">
        <f>AG4+3</f>
        <v>12</v>
      </c>
      <c r="AH5" s="20">
        <f t="shared" ref="AH5:AH13" si="18">AH4</f>
        <v>50</v>
      </c>
    </row>
    <row r="6" spans="1:34">
      <c r="A6" s="16">
        <f t="shared" si="8"/>
        <v>44504</v>
      </c>
      <c r="B6" s="17">
        <v>5200</v>
      </c>
      <c r="C6" s="18">
        <f t="shared" si="9"/>
        <v>-1803.5999999999997</v>
      </c>
      <c r="D6" s="18">
        <f t="shared" si="1"/>
        <v>3396.4000000000005</v>
      </c>
      <c r="E6" s="18">
        <f t="shared" si="2"/>
        <v>3355.3</v>
      </c>
      <c r="F6" s="19">
        <f>AF5/AG5</f>
        <v>0.55833333333333335</v>
      </c>
      <c r="G6" s="14">
        <f t="shared" si="10"/>
        <v>-2640</v>
      </c>
      <c r="H6" s="20">
        <f t="shared" si="11"/>
        <v>0.7</v>
      </c>
      <c r="I6" s="20">
        <f t="shared" si="12"/>
        <v>148</v>
      </c>
      <c r="J6" s="28">
        <f t="shared" si="13"/>
        <v>0.3</v>
      </c>
      <c r="K6" s="28"/>
      <c r="L6" s="20">
        <f t="shared" si="14"/>
        <v>-80</v>
      </c>
      <c r="M6" s="20">
        <f t="shared" si="14"/>
        <v>-50</v>
      </c>
      <c r="N6" s="29"/>
      <c r="O6" s="17"/>
      <c r="P6" s="18">
        <f t="shared" si="15"/>
        <v>-30</v>
      </c>
      <c r="Q6" s="14">
        <f t="shared" si="3"/>
        <v>5230</v>
      </c>
      <c r="R6" s="34">
        <f t="shared" si="16"/>
        <v>0</v>
      </c>
      <c r="S6" s="20">
        <v>4398</v>
      </c>
      <c r="T6" s="18">
        <f t="shared" si="17"/>
        <v>4250</v>
      </c>
      <c r="U6" s="20">
        <f t="shared" si="4"/>
        <v>148</v>
      </c>
      <c r="V6" s="30"/>
      <c r="W6" s="30"/>
      <c r="X6" s="30"/>
      <c r="Y6" s="30"/>
      <c r="Z6" s="30"/>
      <c r="AA6" s="30"/>
      <c r="AB6" s="30"/>
      <c r="AC6" s="30"/>
      <c r="AD6" s="30"/>
      <c r="AE6" s="30">
        <f t="shared" ref="AE6:AE8" si="19">AF6-AF5</f>
        <v>1.0999999999999996</v>
      </c>
      <c r="AF6" s="30">
        <v>7.8</v>
      </c>
      <c r="AG6" s="30">
        <f t="shared" ref="AG6:AG7" si="20">AG5+3</f>
        <v>15</v>
      </c>
      <c r="AH6" s="20">
        <f t="shared" si="18"/>
        <v>50</v>
      </c>
    </row>
    <row r="7" spans="1:34">
      <c r="A7" s="16">
        <f t="shared" si="8"/>
        <v>44505</v>
      </c>
      <c r="B7" s="17">
        <v>5130</v>
      </c>
      <c r="C7" s="18">
        <f t="shared" si="9"/>
        <v>-1895.9999999999998</v>
      </c>
      <c r="D7" s="18">
        <f t="shared" si="1"/>
        <v>3304</v>
      </c>
      <c r="E7" s="18">
        <f t="shared" si="2"/>
        <v>3396.4000000000005</v>
      </c>
      <c r="F7" s="19">
        <f>AF6/AG6</f>
        <v>0.52</v>
      </c>
      <c r="G7" s="14">
        <f t="shared" si="10"/>
        <v>-2640</v>
      </c>
      <c r="H7" s="20">
        <f t="shared" si="11"/>
        <v>0.7</v>
      </c>
      <c r="I7" s="20">
        <f t="shared" si="12"/>
        <v>-160</v>
      </c>
      <c r="J7" s="28">
        <f t="shared" si="13"/>
        <v>0.3</v>
      </c>
      <c r="K7" s="28"/>
      <c r="L7" s="20">
        <f t="shared" si="14"/>
        <v>-80</v>
      </c>
      <c r="M7" s="20">
        <f t="shared" si="14"/>
        <v>-50</v>
      </c>
      <c r="N7" s="29"/>
      <c r="O7" s="17"/>
      <c r="P7" s="18">
        <f t="shared" si="15"/>
        <v>-30</v>
      </c>
      <c r="Q7" s="14">
        <f t="shared" si="3"/>
        <v>5230</v>
      </c>
      <c r="R7" s="34">
        <f t="shared" si="16"/>
        <v>0</v>
      </c>
      <c r="S7" s="20">
        <v>4238</v>
      </c>
      <c r="T7" s="18">
        <f t="shared" si="17"/>
        <v>4398</v>
      </c>
      <c r="U7" s="20">
        <f t="shared" si="4"/>
        <v>-160</v>
      </c>
      <c r="V7" s="30"/>
      <c r="W7" s="30"/>
      <c r="X7" s="30"/>
      <c r="Y7" s="30"/>
      <c r="Z7" s="30"/>
      <c r="AA7" s="30"/>
      <c r="AB7" s="30"/>
      <c r="AC7" s="30"/>
      <c r="AD7" s="30"/>
      <c r="AE7" s="30">
        <f t="shared" si="19"/>
        <v>2.5000000000000009</v>
      </c>
      <c r="AF7" s="30">
        <v>10.3</v>
      </c>
      <c r="AG7" s="30">
        <f t="shared" si="20"/>
        <v>18</v>
      </c>
      <c r="AH7" s="20">
        <f t="shared" si="18"/>
        <v>50</v>
      </c>
    </row>
    <row r="8" spans="1:34">
      <c r="A8" s="16">
        <f t="shared" si="8"/>
        <v>44506</v>
      </c>
      <c r="B8" s="17">
        <v>5130</v>
      </c>
      <c r="C8" s="18">
        <f t="shared" si="9"/>
        <v>-1823.4999999999998</v>
      </c>
      <c r="D8" s="18">
        <f t="shared" si="1"/>
        <v>3306.5</v>
      </c>
      <c r="E8" s="18">
        <f t="shared" si="2"/>
        <v>3304</v>
      </c>
      <c r="F8" s="19">
        <f>AF7/AG7</f>
        <v>0.5722222222222223</v>
      </c>
      <c r="G8" s="14">
        <f t="shared" si="10"/>
        <v>-2605</v>
      </c>
      <c r="H8" s="20">
        <f t="shared" si="11"/>
        <v>0.7</v>
      </c>
      <c r="I8" s="20">
        <f t="shared" si="12"/>
        <v>0</v>
      </c>
      <c r="J8" s="28">
        <f t="shared" si="13"/>
        <v>0.3</v>
      </c>
      <c r="K8" s="28"/>
      <c r="L8" s="20">
        <f t="shared" si="14"/>
        <v>-80</v>
      </c>
      <c r="M8" s="20">
        <f t="shared" si="14"/>
        <v>-50</v>
      </c>
      <c r="N8" s="29"/>
      <c r="O8" s="17"/>
      <c r="P8" s="18">
        <f t="shared" si="15"/>
        <v>-30</v>
      </c>
      <c r="Q8" s="14">
        <f t="shared" si="3"/>
        <v>5160</v>
      </c>
      <c r="R8" s="34">
        <f t="shared" si="16"/>
        <v>0</v>
      </c>
      <c r="S8" s="20">
        <v>4238</v>
      </c>
      <c r="T8" s="18">
        <f t="shared" si="17"/>
        <v>4238</v>
      </c>
      <c r="U8" s="20">
        <f t="shared" si="4"/>
        <v>0</v>
      </c>
      <c r="V8" s="30"/>
      <c r="W8" s="30"/>
      <c r="X8" s="30"/>
      <c r="Y8" s="30"/>
      <c r="Z8" s="30"/>
      <c r="AA8" s="30"/>
      <c r="AB8" s="30"/>
      <c r="AC8" s="30"/>
      <c r="AD8" s="30"/>
      <c r="AE8" s="30">
        <f t="shared" si="19"/>
        <v>6</v>
      </c>
      <c r="AF8" s="30">
        <v>16.3</v>
      </c>
      <c r="AG8" s="30">
        <v>18</v>
      </c>
      <c r="AH8" s="20">
        <f t="shared" si="18"/>
        <v>50</v>
      </c>
    </row>
    <row r="9" spans="1:34">
      <c r="A9" s="16">
        <f t="shared" si="8"/>
        <v>44507</v>
      </c>
      <c r="B9" s="17">
        <v>5150</v>
      </c>
      <c r="C9" s="18">
        <f t="shared" si="9"/>
        <v>-1823.4999999999998</v>
      </c>
      <c r="D9" s="18">
        <f t="shared" si="1"/>
        <v>3306.5</v>
      </c>
      <c r="E9" s="18">
        <f t="shared" si="2"/>
        <v>3306.5</v>
      </c>
      <c r="F9" s="19">
        <v>1</v>
      </c>
      <c r="G9" s="14">
        <f t="shared" si="10"/>
        <v>-2605</v>
      </c>
      <c r="H9" s="20">
        <f t="shared" si="11"/>
        <v>0.7</v>
      </c>
      <c r="I9" s="20">
        <f t="shared" si="12"/>
        <v>0</v>
      </c>
      <c r="J9" s="28">
        <f t="shared" si="13"/>
        <v>0.3</v>
      </c>
      <c r="K9" s="28"/>
      <c r="L9" s="20">
        <f t="shared" si="14"/>
        <v>-80</v>
      </c>
      <c r="M9" s="20">
        <f t="shared" si="14"/>
        <v>-50</v>
      </c>
      <c r="N9" s="29"/>
      <c r="O9" s="17"/>
      <c r="P9" s="18">
        <f t="shared" si="15"/>
        <v>-30</v>
      </c>
      <c r="Q9" s="14">
        <f t="shared" si="3"/>
        <v>5160</v>
      </c>
      <c r="R9" s="34">
        <f t="shared" si="16"/>
        <v>0</v>
      </c>
      <c r="S9" s="20">
        <v>4238</v>
      </c>
      <c r="T9" s="18">
        <f t="shared" si="17"/>
        <v>4238</v>
      </c>
      <c r="U9" s="20">
        <f t="shared" si="4"/>
        <v>0</v>
      </c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>
        <v>21</v>
      </c>
      <c r="AH9" s="20">
        <f t="shared" si="18"/>
        <v>50</v>
      </c>
    </row>
    <row r="10" spans="1:34">
      <c r="A10" s="16">
        <f t="shared" si="8"/>
        <v>44508</v>
      </c>
      <c r="B10" s="17">
        <v>5100</v>
      </c>
      <c r="C10" s="18">
        <f t="shared" si="9"/>
        <v>-1825.3999999999999</v>
      </c>
      <c r="D10" s="18">
        <f t="shared" si="1"/>
        <v>3324.6000000000004</v>
      </c>
      <c r="E10" s="18">
        <f t="shared" si="2"/>
        <v>3306.5</v>
      </c>
      <c r="F10" s="19">
        <f>AF9/AG9</f>
        <v>0</v>
      </c>
      <c r="G10" s="14">
        <f t="shared" si="10"/>
        <v>-2615</v>
      </c>
      <c r="H10" s="20">
        <f t="shared" si="11"/>
        <v>0.7</v>
      </c>
      <c r="I10" s="20">
        <f t="shared" si="12"/>
        <v>17</v>
      </c>
      <c r="J10" s="28">
        <f t="shared" si="13"/>
        <v>0.3</v>
      </c>
      <c r="K10" s="28"/>
      <c r="L10" s="20">
        <f t="shared" si="14"/>
        <v>-80</v>
      </c>
      <c r="M10" s="20">
        <f t="shared" si="14"/>
        <v>-50</v>
      </c>
      <c r="N10" s="29"/>
      <c r="O10" s="17"/>
      <c r="P10" s="18">
        <f t="shared" si="15"/>
        <v>-30</v>
      </c>
      <c r="Q10" s="14">
        <f t="shared" si="3"/>
        <v>5180</v>
      </c>
      <c r="R10" s="34">
        <f t="shared" si="16"/>
        <v>0</v>
      </c>
      <c r="S10" s="20">
        <v>4255</v>
      </c>
      <c r="T10" s="18">
        <f t="shared" si="17"/>
        <v>4238</v>
      </c>
      <c r="U10" s="20">
        <f t="shared" si="4"/>
        <v>17</v>
      </c>
      <c r="V10" s="30"/>
      <c r="W10" s="30"/>
      <c r="X10" s="30"/>
      <c r="Y10" s="30"/>
      <c r="Z10" s="30"/>
      <c r="AA10" s="30"/>
      <c r="AB10" s="30"/>
      <c r="AC10" s="30"/>
      <c r="AD10" s="30"/>
      <c r="AE10" s="30">
        <v>1.2</v>
      </c>
      <c r="AF10" s="30">
        <v>1.2</v>
      </c>
      <c r="AG10" s="17">
        <f>18.9/6</f>
        <v>3.15</v>
      </c>
      <c r="AH10" s="20">
        <f t="shared" si="18"/>
        <v>50</v>
      </c>
    </row>
    <row r="11" spans="1:34">
      <c r="A11" s="16">
        <f t="shared" si="8"/>
        <v>44509</v>
      </c>
      <c r="B11" s="17"/>
      <c r="C11" s="18">
        <f t="shared" si="9"/>
        <v>-1812.9999999999998</v>
      </c>
      <c r="D11" s="18">
        <f t="shared" si="1"/>
        <v>3287</v>
      </c>
      <c r="E11" s="18">
        <f t="shared" si="2"/>
        <v>3324.6000000000004</v>
      </c>
      <c r="F11" s="19">
        <f>AF10/AG10</f>
        <v>0.38095238095238093</v>
      </c>
      <c r="G11" s="14">
        <f t="shared" si="10"/>
        <v>-2590</v>
      </c>
      <c r="H11" s="20">
        <f t="shared" si="11"/>
        <v>0.7</v>
      </c>
      <c r="I11" s="20">
        <f t="shared" si="12"/>
        <v>0</v>
      </c>
      <c r="J11" s="28">
        <f t="shared" si="13"/>
        <v>0.3</v>
      </c>
      <c r="K11" s="28"/>
      <c r="L11" s="20">
        <f t="shared" si="14"/>
        <v>-80</v>
      </c>
      <c r="M11" s="20">
        <f t="shared" si="14"/>
        <v>-50</v>
      </c>
      <c r="N11" s="29"/>
      <c r="O11" s="17"/>
      <c r="P11" s="18">
        <f t="shared" si="15"/>
        <v>-30</v>
      </c>
      <c r="Q11" s="14">
        <f t="shared" si="3"/>
        <v>5130</v>
      </c>
      <c r="R11" s="34">
        <f t="shared" si="16"/>
        <v>0</v>
      </c>
      <c r="S11" s="20">
        <v>4255</v>
      </c>
      <c r="T11" s="18">
        <f t="shared" si="17"/>
        <v>4255</v>
      </c>
      <c r="U11" s="20">
        <f t="shared" si="4"/>
        <v>0</v>
      </c>
      <c r="V11" s="30"/>
      <c r="W11" s="30"/>
      <c r="X11" s="30"/>
      <c r="Y11" s="30"/>
      <c r="Z11" s="30"/>
      <c r="AA11" s="30"/>
      <c r="AB11" s="30"/>
      <c r="AC11" s="30"/>
      <c r="AD11" s="30"/>
      <c r="AE11" s="30">
        <f>AF11-AF10</f>
        <v>1.0000000000000002</v>
      </c>
      <c r="AF11" s="30">
        <v>2.2000000000000002</v>
      </c>
      <c r="AG11" s="17">
        <f>18.9/6*2</f>
        <v>6.3</v>
      </c>
      <c r="AH11" s="20">
        <f t="shared" si="18"/>
        <v>50</v>
      </c>
    </row>
    <row r="12" spans="1:34">
      <c r="A12" s="16">
        <f t="shared" si="8"/>
        <v>44510</v>
      </c>
      <c r="B12" s="17"/>
      <c r="C12" s="18">
        <f t="shared" si="9"/>
        <v>-17.5</v>
      </c>
      <c r="D12" s="18">
        <f t="shared" si="1"/>
        <v>-17.5</v>
      </c>
      <c r="E12" s="18">
        <f t="shared" si="2"/>
        <v>3287</v>
      </c>
      <c r="F12" s="19">
        <f>AF11/AG11</f>
        <v>0.34920634920634924</v>
      </c>
      <c r="G12" s="14">
        <f t="shared" si="10"/>
        <v>-40</v>
      </c>
      <c r="H12" s="20">
        <f t="shared" si="11"/>
        <v>0.7</v>
      </c>
      <c r="I12" s="20">
        <f t="shared" si="12"/>
        <v>35</v>
      </c>
      <c r="J12" s="28">
        <f t="shared" si="13"/>
        <v>0.3</v>
      </c>
      <c r="K12" s="28"/>
      <c r="L12" s="20">
        <f t="shared" si="14"/>
        <v>-80</v>
      </c>
      <c r="M12" s="20">
        <f t="shared" si="14"/>
        <v>-50</v>
      </c>
      <c r="N12" s="29"/>
      <c r="O12" s="17"/>
      <c r="P12" s="18">
        <f t="shared" si="15"/>
        <v>-30</v>
      </c>
      <c r="Q12" s="14">
        <f t="shared" si="3"/>
        <v>30</v>
      </c>
      <c r="R12" s="34">
        <f t="shared" si="16"/>
        <v>0</v>
      </c>
      <c r="S12" s="20">
        <v>4290</v>
      </c>
      <c r="T12" s="18">
        <f t="shared" si="17"/>
        <v>4255</v>
      </c>
      <c r="U12" s="20">
        <f t="shared" si="4"/>
        <v>35</v>
      </c>
      <c r="V12" s="30"/>
      <c r="W12" s="30"/>
      <c r="X12" s="30"/>
      <c r="Y12" s="30"/>
      <c r="Z12" s="30"/>
      <c r="AA12" s="30"/>
      <c r="AB12" s="30"/>
      <c r="AC12" s="30"/>
      <c r="AD12" s="30"/>
      <c r="AE12" s="30">
        <f t="shared" ref="AE12:AE15" si="21">AF12-AF11</f>
        <v>1.6999999999999997</v>
      </c>
      <c r="AF12" s="30">
        <v>3.9</v>
      </c>
      <c r="AG12" s="17">
        <f>18.9/6*3</f>
        <v>9.4499999999999993</v>
      </c>
      <c r="AH12" s="20">
        <f t="shared" si="18"/>
        <v>50</v>
      </c>
    </row>
    <row r="13" spans="1:34">
      <c r="A13" s="16">
        <f t="shared" si="8"/>
        <v>44511</v>
      </c>
      <c r="B13" s="17"/>
      <c r="C13" s="18">
        <f t="shared" si="9"/>
        <v>-49.3</v>
      </c>
      <c r="D13" s="18">
        <f t="shared" si="1"/>
        <v>-49.3</v>
      </c>
      <c r="E13" s="18">
        <f t="shared" si="2"/>
        <v>-17.5</v>
      </c>
      <c r="F13" s="19">
        <f>AF12/AG12</f>
        <v>0.41269841269841273</v>
      </c>
      <c r="G13" s="14">
        <f t="shared" si="10"/>
        <v>-40</v>
      </c>
      <c r="H13" s="20">
        <f t="shared" si="11"/>
        <v>0.7</v>
      </c>
      <c r="I13" s="20">
        <f t="shared" si="12"/>
        <v>-71</v>
      </c>
      <c r="J13" s="28">
        <f t="shared" si="13"/>
        <v>0.3</v>
      </c>
      <c r="K13" s="28"/>
      <c r="L13" s="20">
        <f t="shared" si="14"/>
        <v>-80</v>
      </c>
      <c r="M13" s="20">
        <f t="shared" si="14"/>
        <v>-50</v>
      </c>
      <c r="N13" s="29"/>
      <c r="O13" s="17"/>
      <c r="P13" s="18">
        <f t="shared" si="15"/>
        <v>-30</v>
      </c>
      <c r="Q13" s="14">
        <f t="shared" si="3"/>
        <v>30</v>
      </c>
      <c r="R13" s="34">
        <f t="shared" si="16"/>
        <v>0</v>
      </c>
      <c r="S13" s="20">
        <v>4219</v>
      </c>
      <c r="T13" s="18">
        <f t="shared" si="17"/>
        <v>4290</v>
      </c>
      <c r="U13" s="20">
        <f t="shared" si="4"/>
        <v>-71</v>
      </c>
      <c r="V13" s="30"/>
      <c r="W13" s="30"/>
      <c r="X13" s="30"/>
      <c r="Y13" s="30"/>
      <c r="Z13" s="30"/>
      <c r="AA13" s="30"/>
      <c r="AB13" s="30"/>
      <c r="AC13" s="30"/>
      <c r="AD13" s="30"/>
      <c r="AE13" s="30">
        <f t="shared" si="21"/>
        <v>7.1999999999999993</v>
      </c>
      <c r="AF13" s="30">
        <v>11.1</v>
      </c>
      <c r="AG13" s="17">
        <f>18.9/6*4</f>
        <v>12.6</v>
      </c>
      <c r="AH13" s="20">
        <f t="shared" si="18"/>
        <v>50</v>
      </c>
    </row>
    <row r="14" spans="1:34">
      <c r="A14" s="16">
        <f t="shared" si="8"/>
        <v>44512</v>
      </c>
      <c r="B14" s="17"/>
      <c r="C14" s="18">
        <f t="shared" si="9"/>
        <v>33.799999999999997</v>
      </c>
      <c r="D14" s="18">
        <f t="shared" si="1"/>
        <v>33.799999999999997</v>
      </c>
      <c r="E14" s="18">
        <f t="shared" si="2"/>
        <v>-49.3</v>
      </c>
      <c r="F14" s="19">
        <f>AF13/AG13</f>
        <v>0.88095238095238093</v>
      </c>
      <c r="G14" s="14">
        <f t="shared" si="10"/>
        <v>-40</v>
      </c>
      <c r="H14" s="20">
        <f t="shared" si="11"/>
        <v>0.7</v>
      </c>
      <c r="I14" s="20">
        <f t="shared" si="12"/>
        <v>206</v>
      </c>
      <c r="J14" s="28">
        <f t="shared" si="13"/>
        <v>0.3</v>
      </c>
      <c r="K14" s="28"/>
      <c r="L14" s="20">
        <f t="shared" si="14"/>
        <v>-80</v>
      </c>
      <c r="M14" s="20">
        <f t="shared" si="14"/>
        <v>-50</v>
      </c>
      <c r="N14" s="29"/>
      <c r="O14" s="17"/>
      <c r="P14" s="18">
        <f t="shared" si="15"/>
        <v>-30</v>
      </c>
      <c r="Q14" s="14">
        <f t="shared" ref="Q14:Q21" si="22">B13-(O13+P13)</f>
        <v>30</v>
      </c>
      <c r="R14" s="30"/>
      <c r="S14" s="20">
        <v>4425</v>
      </c>
      <c r="T14" s="18">
        <f t="shared" si="17"/>
        <v>4219</v>
      </c>
      <c r="U14" s="20">
        <f t="shared" si="4"/>
        <v>206</v>
      </c>
      <c r="V14" s="30"/>
      <c r="W14" s="30"/>
      <c r="X14" s="30"/>
      <c r="Y14" s="30"/>
      <c r="Z14" s="30"/>
      <c r="AA14" s="30"/>
      <c r="AB14" s="30"/>
      <c r="AC14" s="30"/>
      <c r="AD14" s="30"/>
      <c r="AE14" s="30">
        <f t="shared" si="21"/>
        <v>-11.1</v>
      </c>
      <c r="AF14" s="30"/>
      <c r="AG14" s="17">
        <f>18.9/6*5</f>
        <v>15.75</v>
      </c>
      <c r="AH14" s="20"/>
    </row>
    <row r="15" spans="1:34">
      <c r="A15" s="16">
        <f t="shared" si="8"/>
        <v>44513</v>
      </c>
      <c r="B15" s="17"/>
      <c r="C15" s="18">
        <f t="shared" si="9"/>
        <v>-28</v>
      </c>
      <c r="D15" s="18">
        <f t="shared" ref="D15:D21" si="23">B14+C15</f>
        <v>-28</v>
      </c>
      <c r="E15" s="18">
        <f t="shared" ref="E15:E21" si="24">D14</f>
        <v>33.799999999999997</v>
      </c>
      <c r="F15" s="19">
        <f t="shared" ref="F15:F21" si="25">AF14/AG14</f>
        <v>0</v>
      </c>
      <c r="G15" s="14">
        <f t="shared" si="10"/>
        <v>-40</v>
      </c>
      <c r="H15" s="20">
        <f t="shared" si="11"/>
        <v>0.7</v>
      </c>
      <c r="I15" s="20">
        <f t="shared" si="12"/>
        <v>0</v>
      </c>
      <c r="J15" s="28">
        <f t="shared" si="13"/>
        <v>0.3</v>
      </c>
      <c r="K15" s="28"/>
      <c r="L15" s="20">
        <f t="shared" si="14"/>
        <v>-80</v>
      </c>
      <c r="M15" s="20">
        <f t="shared" si="14"/>
        <v>-50</v>
      </c>
      <c r="N15" s="29"/>
      <c r="O15" s="17"/>
      <c r="P15" s="18">
        <f t="shared" si="15"/>
        <v>-30</v>
      </c>
      <c r="Q15" s="14">
        <f t="shared" si="22"/>
        <v>30</v>
      </c>
      <c r="R15" s="30"/>
      <c r="S15" s="20"/>
      <c r="T15" s="18">
        <f t="shared" si="17"/>
        <v>4425</v>
      </c>
      <c r="U15" s="20"/>
      <c r="V15" s="30"/>
      <c r="W15" s="30"/>
      <c r="X15" s="30"/>
      <c r="Y15" s="30"/>
      <c r="Z15" s="30"/>
      <c r="AA15" s="30"/>
      <c r="AB15" s="30"/>
      <c r="AC15" s="30"/>
      <c r="AD15" s="30"/>
      <c r="AE15" s="30">
        <f t="shared" si="21"/>
        <v>0</v>
      </c>
      <c r="AF15" s="30"/>
      <c r="AG15" s="17">
        <f>18.9/6*5.5</f>
        <v>17.324999999999999</v>
      </c>
      <c r="AH15" s="20"/>
    </row>
    <row r="16" spans="1:34">
      <c r="A16" s="16">
        <f t="shared" si="8"/>
        <v>44514</v>
      </c>
      <c r="B16" s="17">
        <v>4620</v>
      </c>
      <c r="C16" s="18">
        <f t="shared" si="9"/>
        <v>-28</v>
      </c>
      <c r="D16" s="18">
        <f t="shared" si="23"/>
        <v>-28</v>
      </c>
      <c r="E16" s="18">
        <f t="shared" si="24"/>
        <v>-28</v>
      </c>
      <c r="F16" s="19">
        <f t="shared" si="25"/>
        <v>0</v>
      </c>
      <c r="G16" s="14">
        <f t="shared" si="10"/>
        <v>-40</v>
      </c>
      <c r="H16" s="20">
        <f t="shared" si="11"/>
        <v>0.7</v>
      </c>
      <c r="I16" s="20">
        <f t="shared" si="12"/>
        <v>0</v>
      </c>
      <c r="J16" s="28">
        <f t="shared" si="13"/>
        <v>0.3</v>
      </c>
      <c r="K16" s="28"/>
      <c r="L16" s="20">
        <f t="shared" si="14"/>
        <v>-80</v>
      </c>
      <c r="M16" s="20">
        <f t="shared" si="14"/>
        <v>-50</v>
      </c>
      <c r="N16" s="29"/>
      <c r="O16" s="17"/>
      <c r="P16" s="18">
        <f t="shared" si="15"/>
        <v>-30</v>
      </c>
      <c r="Q16" s="14">
        <f t="shared" si="22"/>
        <v>30</v>
      </c>
      <c r="R16" s="30"/>
      <c r="S16" s="20">
        <v>4425</v>
      </c>
      <c r="T16" s="18">
        <f t="shared" si="17"/>
        <v>0</v>
      </c>
      <c r="U16" s="2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17">
        <f>18.9/6*6</f>
        <v>18.899999999999999</v>
      </c>
      <c r="AH16" s="20"/>
    </row>
    <row r="17" spans="1:34">
      <c r="A17" s="16">
        <f t="shared" si="8"/>
        <v>44515</v>
      </c>
      <c r="B17" s="17">
        <f>5020-180</f>
        <v>4840</v>
      </c>
      <c r="C17" s="18">
        <f t="shared" si="9"/>
        <v>-1645</v>
      </c>
      <c r="D17" s="18">
        <f t="shared" si="23"/>
        <v>2975</v>
      </c>
      <c r="E17" s="18">
        <f t="shared" si="24"/>
        <v>-28</v>
      </c>
      <c r="F17" s="19">
        <f t="shared" si="25"/>
        <v>0</v>
      </c>
      <c r="G17" s="14">
        <f t="shared" si="10"/>
        <v>-2350</v>
      </c>
      <c r="H17" s="20">
        <f t="shared" si="11"/>
        <v>0.7</v>
      </c>
      <c r="I17" s="20">
        <f t="shared" si="12"/>
        <v>0</v>
      </c>
      <c r="J17" s="28">
        <f t="shared" si="13"/>
        <v>0.3</v>
      </c>
      <c r="K17" s="28"/>
      <c r="L17" s="20">
        <f t="shared" si="14"/>
        <v>-80</v>
      </c>
      <c r="M17" s="20">
        <f t="shared" si="14"/>
        <v>-50</v>
      </c>
      <c r="N17" s="29"/>
      <c r="O17" s="17">
        <v>5030</v>
      </c>
      <c r="P17" s="18">
        <f t="shared" si="15"/>
        <v>-30</v>
      </c>
      <c r="Q17" s="14">
        <f t="shared" si="22"/>
        <v>4650</v>
      </c>
      <c r="R17" s="30"/>
      <c r="S17" s="20">
        <v>4195</v>
      </c>
      <c r="T17" s="18">
        <f t="shared" si="17"/>
        <v>4425</v>
      </c>
      <c r="U17" s="2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20"/>
    </row>
    <row r="18" spans="1:34">
      <c r="A18" s="16">
        <f t="shared" si="8"/>
        <v>44516</v>
      </c>
      <c r="B18" s="17">
        <f>5020-180</f>
        <v>4840</v>
      </c>
      <c r="C18" s="18">
        <f t="shared" si="9"/>
        <v>-7</v>
      </c>
      <c r="D18" s="18">
        <f t="shared" si="23"/>
        <v>4833</v>
      </c>
      <c r="E18" s="18">
        <f t="shared" si="24"/>
        <v>2975</v>
      </c>
      <c r="F18" s="19" t="e">
        <f t="shared" si="25"/>
        <v>#DIV/0!</v>
      </c>
      <c r="G18" s="14">
        <f t="shared" si="10"/>
        <v>-10</v>
      </c>
      <c r="H18" s="20">
        <f t="shared" si="11"/>
        <v>0.7</v>
      </c>
      <c r="I18" s="20">
        <f t="shared" si="12"/>
        <v>0</v>
      </c>
      <c r="J18" s="28">
        <f t="shared" si="13"/>
        <v>0.3</v>
      </c>
      <c r="K18" s="28"/>
      <c r="L18" s="20">
        <f t="shared" si="14"/>
        <v>-80</v>
      </c>
      <c r="M18" s="20">
        <f t="shared" si="14"/>
        <v>-50</v>
      </c>
      <c r="N18" s="29"/>
      <c r="O18" s="17">
        <v>4980</v>
      </c>
      <c r="P18" s="18">
        <f t="shared" si="15"/>
        <v>-30</v>
      </c>
      <c r="Q18" s="14">
        <f t="shared" si="22"/>
        <v>-160</v>
      </c>
      <c r="R18" s="34">
        <f>O18-O17</f>
        <v>-50</v>
      </c>
      <c r="S18" s="20">
        <v>4203</v>
      </c>
      <c r="T18" s="18">
        <f t="shared" si="17"/>
        <v>4195</v>
      </c>
      <c r="U18" s="2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20"/>
    </row>
    <row r="19" spans="1:34">
      <c r="A19" s="16">
        <f t="shared" si="8"/>
        <v>44517</v>
      </c>
      <c r="B19" s="17">
        <v>4840</v>
      </c>
      <c r="C19" s="18">
        <f t="shared" si="9"/>
        <v>10.5</v>
      </c>
      <c r="D19" s="18">
        <f t="shared" si="23"/>
        <v>4850.5</v>
      </c>
      <c r="E19" s="18">
        <f t="shared" si="24"/>
        <v>4833</v>
      </c>
      <c r="F19" s="19" t="e">
        <f t="shared" si="25"/>
        <v>#DIV/0!</v>
      </c>
      <c r="G19" s="14">
        <f t="shared" si="10"/>
        <v>15</v>
      </c>
      <c r="H19" s="20">
        <f t="shared" si="11"/>
        <v>0.7</v>
      </c>
      <c r="I19" s="20">
        <f t="shared" si="12"/>
        <v>0</v>
      </c>
      <c r="J19" s="28">
        <f t="shared" si="13"/>
        <v>0.3</v>
      </c>
      <c r="K19" s="28"/>
      <c r="L19" s="20">
        <f t="shared" si="14"/>
        <v>-80</v>
      </c>
      <c r="M19" s="20">
        <f t="shared" si="14"/>
        <v>-50</v>
      </c>
      <c r="N19" s="29"/>
      <c r="O19" s="17">
        <v>5020</v>
      </c>
      <c r="P19" s="18">
        <f t="shared" si="15"/>
        <v>-30</v>
      </c>
      <c r="Q19" s="14">
        <f t="shared" si="22"/>
        <v>-110</v>
      </c>
      <c r="R19" s="34"/>
      <c r="S19" s="20"/>
      <c r="T19" s="18">
        <f t="shared" si="17"/>
        <v>4203</v>
      </c>
      <c r="U19" s="2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20"/>
    </row>
    <row r="20" spans="1:34">
      <c r="A20" s="16">
        <f t="shared" si="8"/>
        <v>44518</v>
      </c>
      <c r="B20" s="17">
        <v>4810</v>
      </c>
      <c r="C20" s="18">
        <f t="shared" si="9"/>
        <v>-3.5</v>
      </c>
      <c r="D20" s="18">
        <f t="shared" si="23"/>
        <v>4836.5</v>
      </c>
      <c r="E20" s="18">
        <f t="shared" si="24"/>
        <v>4850.5</v>
      </c>
      <c r="F20" s="19" t="e">
        <f t="shared" si="25"/>
        <v>#DIV/0!</v>
      </c>
      <c r="G20" s="14">
        <f t="shared" si="10"/>
        <v>-5</v>
      </c>
      <c r="H20" s="20">
        <f t="shared" si="11"/>
        <v>0.7</v>
      </c>
      <c r="I20" s="20">
        <f t="shared" si="12"/>
        <v>0</v>
      </c>
      <c r="J20" s="28">
        <f t="shared" si="13"/>
        <v>0.3</v>
      </c>
      <c r="K20" s="28"/>
      <c r="L20" s="20">
        <f t="shared" si="14"/>
        <v>-80</v>
      </c>
      <c r="M20" s="20">
        <f t="shared" si="14"/>
        <v>-50</v>
      </c>
      <c r="N20" s="29"/>
      <c r="O20" s="30">
        <v>4980</v>
      </c>
      <c r="P20" s="18">
        <f t="shared" si="15"/>
        <v>-30</v>
      </c>
      <c r="Q20" s="14">
        <f t="shared" si="22"/>
        <v>-150</v>
      </c>
      <c r="R20" s="34">
        <f t="shared" ref="R20:R21" si="26">O20-O19</f>
        <v>-40</v>
      </c>
      <c r="S20" s="20"/>
      <c r="T20" s="18">
        <f t="shared" si="17"/>
        <v>0</v>
      </c>
      <c r="U20" s="2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20"/>
    </row>
    <row r="21" spans="1:34">
      <c r="A21" s="16">
        <f t="shared" si="8"/>
        <v>44519</v>
      </c>
      <c r="B21" s="21">
        <v>4810</v>
      </c>
      <c r="C21" s="18">
        <f t="shared" si="9"/>
        <v>21</v>
      </c>
      <c r="D21" s="18">
        <f t="shared" si="23"/>
        <v>4831</v>
      </c>
      <c r="E21" s="18">
        <f t="shared" si="24"/>
        <v>4836.5</v>
      </c>
      <c r="F21" s="19" t="e">
        <f t="shared" si="25"/>
        <v>#DIV/0!</v>
      </c>
      <c r="G21" s="14">
        <f t="shared" si="10"/>
        <v>30</v>
      </c>
      <c r="H21" s="20">
        <f t="shared" si="11"/>
        <v>0.7</v>
      </c>
      <c r="I21" s="20">
        <f t="shared" si="12"/>
        <v>0</v>
      </c>
      <c r="J21" s="28">
        <f t="shared" si="13"/>
        <v>0.3</v>
      </c>
      <c r="K21" s="28"/>
      <c r="L21" s="20">
        <f t="shared" ref="L21:M21" si="27">L20</f>
        <v>-80</v>
      </c>
      <c r="M21" s="20">
        <f t="shared" si="27"/>
        <v>-50</v>
      </c>
      <c r="N21" s="29"/>
      <c r="O21" s="30">
        <v>4980</v>
      </c>
      <c r="P21" s="18">
        <f t="shared" si="15"/>
        <v>-30</v>
      </c>
      <c r="Q21" s="14">
        <f t="shared" si="22"/>
        <v>-140</v>
      </c>
      <c r="R21" s="34">
        <f t="shared" si="26"/>
        <v>0</v>
      </c>
      <c r="S21" s="20"/>
      <c r="T21" s="18">
        <f t="shared" si="17"/>
        <v>0</v>
      </c>
      <c r="U21" s="2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20"/>
    </row>
    <row r="22" spans="1:34">
      <c r="A22" s="16">
        <f t="shared" si="8"/>
        <v>44520</v>
      </c>
      <c r="B22" s="21">
        <v>4840</v>
      </c>
      <c r="C22" s="18">
        <f t="shared" ref="C22:C26" si="28">H22*G22+J22*I22+K22</f>
        <v>42</v>
      </c>
      <c r="D22" s="18">
        <f t="shared" ref="D22:D26" si="29">B21+C22</f>
        <v>4852</v>
      </c>
      <c r="E22" s="18">
        <f t="shared" ref="E22:E26" si="30">D21</f>
        <v>4831</v>
      </c>
      <c r="F22" s="19" t="e">
        <f t="shared" ref="F22:F26" si="31">AF21/AG21</f>
        <v>#DIV/0!</v>
      </c>
      <c r="G22" s="14">
        <f t="shared" ref="G22:G26" si="32">IF((Q22-L22)&lt;0,-(Q22-L22)/2,IF((Q22-L22)&gt;0,-(Q22-M22)/2,0))+R22</f>
        <v>60</v>
      </c>
      <c r="H22" s="20">
        <f t="shared" si="11"/>
        <v>0.7</v>
      </c>
      <c r="I22" s="20">
        <f t="shared" ref="I22:I26" si="33">U22</f>
        <v>0</v>
      </c>
      <c r="J22" s="28">
        <f t="shared" si="13"/>
        <v>0.3</v>
      </c>
      <c r="K22" s="28"/>
      <c r="L22" s="20">
        <f t="shared" ref="L22:M22" si="34">L21</f>
        <v>-80</v>
      </c>
      <c r="M22" s="20">
        <f t="shared" si="34"/>
        <v>-50</v>
      </c>
      <c r="N22" s="29"/>
      <c r="O22" s="30">
        <v>5010</v>
      </c>
      <c r="P22" s="18">
        <f t="shared" si="15"/>
        <v>-30</v>
      </c>
      <c r="Q22" s="14">
        <f t="shared" ref="Q22:Q26" si="35">B21-(O21+P21)</f>
        <v>-140</v>
      </c>
      <c r="R22" s="34">
        <f t="shared" ref="R22:R26" si="36">O22-O21</f>
        <v>30</v>
      </c>
      <c r="S22" s="20"/>
      <c r="T22" s="18">
        <f t="shared" ref="T22:T26" si="37">S21</f>
        <v>0</v>
      </c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</row>
    <row r="23" spans="1:34">
      <c r="A23" s="16">
        <f t="shared" si="8"/>
        <v>44521</v>
      </c>
      <c r="B23" s="21">
        <v>4840</v>
      </c>
      <c r="C23" s="18">
        <f t="shared" si="28"/>
        <v>49</v>
      </c>
      <c r="D23" s="18">
        <f t="shared" si="29"/>
        <v>4889</v>
      </c>
      <c r="E23" s="18">
        <f t="shared" si="30"/>
        <v>4852</v>
      </c>
      <c r="F23" s="19" t="e">
        <f t="shared" si="31"/>
        <v>#DIV/0!</v>
      </c>
      <c r="G23" s="14">
        <f t="shared" si="32"/>
        <v>70</v>
      </c>
      <c r="H23" s="20">
        <f t="shared" si="11"/>
        <v>0.7</v>
      </c>
      <c r="I23" s="20">
        <f t="shared" si="33"/>
        <v>0</v>
      </c>
      <c r="J23" s="28">
        <f t="shared" si="13"/>
        <v>0.3</v>
      </c>
      <c r="K23" s="28"/>
      <c r="L23" s="20">
        <f t="shared" ref="L23:M23" si="38">L22</f>
        <v>-80</v>
      </c>
      <c r="M23" s="20">
        <f t="shared" si="38"/>
        <v>-50</v>
      </c>
      <c r="N23" s="29"/>
      <c r="O23" s="30">
        <v>5050</v>
      </c>
      <c r="P23" s="18">
        <f t="shared" si="15"/>
        <v>-30</v>
      </c>
      <c r="Q23" s="14">
        <f t="shared" si="35"/>
        <v>-140</v>
      </c>
      <c r="R23" s="34">
        <f t="shared" si="36"/>
        <v>40</v>
      </c>
      <c r="S23" s="20"/>
      <c r="T23" s="18">
        <f t="shared" si="37"/>
        <v>0</v>
      </c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spans="1:34">
      <c r="A24" s="16">
        <f t="shared" si="8"/>
        <v>44522</v>
      </c>
      <c r="B24" s="17">
        <v>4840</v>
      </c>
      <c r="C24" s="18">
        <f t="shared" si="28"/>
        <v>35</v>
      </c>
      <c r="D24" s="18">
        <f t="shared" si="29"/>
        <v>4875</v>
      </c>
      <c r="E24" s="18">
        <f t="shared" si="30"/>
        <v>4889</v>
      </c>
      <c r="F24" s="19" t="e">
        <f t="shared" si="31"/>
        <v>#DIV/0!</v>
      </c>
      <c r="G24" s="14">
        <f t="shared" si="32"/>
        <v>50</v>
      </c>
      <c r="H24" s="20">
        <f t="shared" si="11"/>
        <v>0.7</v>
      </c>
      <c r="I24" s="20">
        <f t="shared" si="33"/>
        <v>0</v>
      </c>
      <c r="J24" s="28">
        <f t="shared" si="13"/>
        <v>0.3</v>
      </c>
      <c r="K24" s="28"/>
      <c r="L24" s="20">
        <f t="shared" ref="L24:M24" si="39">L23</f>
        <v>-80</v>
      </c>
      <c r="M24" s="20">
        <f t="shared" si="39"/>
        <v>-50</v>
      </c>
      <c r="N24" s="29"/>
      <c r="O24" s="30">
        <v>5050</v>
      </c>
      <c r="P24" s="18">
        <f t="shared" si="15"/>
        <v>-30</v>
      </c>
      <c r="Q24" s="14">
        <f t="shared" si="35"/>
        <v>-180</v>
      </c>
      <c r="R24" s="34">
        <f t="shared" si="36"/>
        <v>0</v>
      </c>
      <c r="S24" s="20"/>
      <c r="T24" s="18">
        <f t="shared" si="37"/>
        <v>0</v>
      </c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</row>
    <row r="25" spans="1:34">
      <c r="A25" s="16">
        <f t="shared" si="8"/>
        <v>44523</v>
      </c>
      <c r="B25" s="17"/>
      <c r="C25" s="18">
        <f t="shared" si="28"/>
        <v>35</v>
      </c>
      <c r="D25" s="18">
        <f t="shared" si="29"/>
        <v>4875</v>
      </c>
      <c r="E25" s="18">
        <f t="shared" si="30"/>
        <v>4875</v>
      </c>
      <c r="F25" s="19" t="e">
        <f t="shared" si="31"/>
        <v>#DIV/0!</v>
      </c>
      <c r="G25" s="14">
        <f t="shared" si="32"/>
        <v>50</v>
      </c>
      <c r="H25" s="20">
        <f t="shared" si="11"/>
        <v>0.7</v>
      </c>
      <c r="I25" s="20">
        <f t="shared" si="33"/>
        <v>0</v>
      </c>
      <c r="J25" s="28">
        <f t="shared" si="13"/>
        <v>0.3</v>
      </c>
      <c r="K25" s="28"/>
      <c r="L25" s="20">
        <f t="shared" ref="L25:M25" si="40">L24</f>
        <v>-80</v>
      </c>
      <c r="M25" s="20">
        <f t="shared" si="40"/>
        <v>-50</v>
      </c>
      <c r="N25" s="29"/>
      <c r="O25" s="30">
        <v>5050</v>
      </c>
      <c r="P25" s="18">
        <f t="shared" si="15"/>
        <v>-30</v>
      </c>
      <c r="Q25" s="14">
        <f t="shared" si="35"/>
        <v>-180</v>
      </c>
      <c r="R25" s="34">
        <f t="shared" si="36"/>
        <v>0</v>
      </c>
      <c r="S25" s="20"/>
      <c r="T25" s="18">
        <f t="shared" si="37"/>
        <v>0</v>
      </c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</row>
    <row r="26" spans="1:34">
      <c r="A26" s="16">
        <f t="shared" si="8"/>
        <v>44524</v>
      </c>
      <c r="B26" s="17"/>
      <c r="C26" s="18">
        <f t="shared" si="28"/>
        <v>-1805.9999999999998</v>
      </c>
      <c r="D26" s="18">
        <f t="shared" si="29"/>
        <v>-1805.9999999999998</v>
      </c>
      <c r="E26" s="18">
        <f t="shared" si="30"/>
        <v>4875</v>
      </c>
      <c r="F26" s="19" t="e">
        <f t="shared" si="31"/>
        <v>#DIV/0!</v>
      </c>
      <c r="G26" s="14">
        <f t="shared" si="32"/>
        <v>-2580</v>
      </c>
      <c r="H26" s="20">
        <f t="shared" si="11"/>
        <v>0.7</v>
      </c>
      <c r="I26" s="20">
        <f t="shared" si="33"/>
        <v>0</v>
      </c>
      <c r="J26" s="28">
        <f t="shared" si="13"/>
        <v>0.3</v>
      </c>
      <c r="K26" s="28"/>
      <c r="L26" s="20">
        <f t="shared" ref="L26:M26" si="41">L25</f>
        <v>-80</v>
      </c>
      <c r="M26" s="20">
        <f t="shared" si="41"/>
        <v>-50</v>
      </c>
      <c r="N26" s="29"/>
      <c r="O26" s="30"/>
      <c r="P26" s="18">
        <f t="shared" si="15"/>
        <v>-30</v>
      </c>
      <c r="Q26" s="14">
        <f t="shared" si="35"/>
        <v>-5020</v>
      </c>
      <c r="R26" s="34">
        <f t="shared" si="36"/>
        <v>-5050</v>
      </c>
      <c r="S26" s="20"/>
      <c r="T26" s="18">
        <f t="shared" si="37"/>
        <v>0</v>
      </c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</row>
    <row r="27" spans="1:34">
      <c r="A27" s="16">
        <f t="shared" si="8"/>
        <v>44525</v>
      </c>
      <c r="B27" s="17"/>
      <c r="C27" s="18">
        <f t="shared" ref="C27:C29" si="42">H27*G27+J27*I27+K27</f>
        <v>-28</v>
      </c>
      <c r="D27" s="18">
        <f t="shared" ref="D27:D29" si="43">B26+C27</f>
        <v>-28</v>
      </c>
      <c r="E27" s="18">
        <f t="shared" ref="E27:E29" si="44">D26</f>
        <v>-1805.9999999999998</v>
      </c>
      <c r="F27" s="19" t="e">
        <f t="shared" ref="F27:F29" si="45">AF26/AG26</f>
        <v>#DIV/0!</v>
      </c>
      <c r="G27" s="14">
        <f t="shared" ref="G27:G29" si="46">IF((Q27-L27)&lt;0,-(Q27-L27)/2,IF((Q27-L27)&gt;0,-(Q27-M27)/2,0))+R27</f>
        <v>-40</v>
      </c>
      <c r="H27" s="20">
        <f t="shared" si="11"/>
        <v>0.7</v>
      </c>
      <c r="I27" s="20">
        <f t="shared" ref="I27:I29" si="47">U27</f>
        <v>0</v>
      </c>
      <c r="J27" s="28">
        <f t="shared" si="13"/>
        <v>0.3</v>
      </c>
      <c r="K27" s="28"/>
      <c r="L27" s="20">
        <f t="shared" ref="L27:M27" si="48">L26</f>
        <v>-80</v>
      </c>
      <c r="M27" s="20">
        <f t="shared" si="48"/>
        <v>-50</v>
      </c>
      <c r="N27" s="29"/>
      <c r="O27" s="30"/>
      <c r="P27" s="18">
        <f t="shared" si="15"/>
        <v>-30</v>
      </c>
      <c r="Q27" s="14">
        <f t="shared" ref="Q27:Q29" si="49">B26-(O26+P26)</f>
        <v>30</v>
      </c>
      <c r="R27" s="34">
        <f t="shared" ref="R27:R29" si="50">O27-O26</f>
        <v>0</v>
      </c>
      <c r="S27" s="20"/>
      <c r="T27" s="18">
        <f t="shared" ref="T27:T29" si="51">S26</f>
        <v>0</v>
      </c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</row>
    <row r="28" spans="1:34">
      <c r="A28" s="16">
        <f t="shared" si="8"/>
        <v>44526</v>
      </c>
      <c r="B28" s="17"/>
      <c r="C28" s="18">
        <f t="shared" si="42"/>
        <v>-28</v>
      </c>
      <c r="D28" s="18">
        <f t="shared" si="43"/>
        <v>-28</v>
      </c>
      <c r="E28" s="18">
        <f t="shared" si="44"/>
        <v>-28</v>
      </c>
      <c r="F28" s="19" t="e">
        <f t="shared" si="45"/>
        <v>#DIV/0!</v>
      </c>
      <c r="G28" s="14">
        <f t="shared" si="46"/>
        <v>-40</v>
      </c>
      <c r="H28" s="20">
        <f t="shared" si="11"/>
        <v>0.7</v>
      </c>
      <c r="I28" s="20">
        <f t="shared" si="47"/>
        <v>0</v>
      </c>
      <c r="J28" s="28">
        <f t="shared" si="13"/>
        <v>0.3</v>
      </c>
      <c r="K28" s="28"/>
      <c r="L28" s="20">
        <f t="shared" ref="L28:M28" si="52">L27</f>
        <v>-80</v>
      </c>
      <c r="M28" s="20">
        <f t="shared" si="52"/>
        <v>-50</v>
      </c>
      <c r="N28" s="29"/>
      <c r="O28" s="30"/>
      <c r="P28" s="18">
        <f t="shared" si="15"/>
        <v>-30</v>
      </c>
      <c r="Q28" s="14">
        <f t="shared" si="49"/>
        <v>30</v>
      </c>
      <c r="R28" s="34">
        <f t="shared" si="50"/>
        <v>0</v>
      </c>
      <c r="S28" s="20"/>
      <c r="T28" s="18">
        <f t="shared" si="51"/>
        <v>0</v>
      </c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</row>
    <row r="29" spans="1:34">
      <c r="A29" s="16">
        <f t="shared" si="8"/>
        <v>44527</v>
      </c>
      <c r="B29" s="17"/>
      <c r="C29" s="18">
        <f t="shared" si="42"/>
        <v>-28</v>
      </c>
      <c r="D29" s="18">
        <f t="shared" si="43"/>
        <v>-28</v>
      </c>
      <c r="E29" s="18">
        <f t="shared" si="44"/>
        <v>-28</v>
      </c>
      <c r="F29" s="19" t="e">
        <f t="shared" si="45"/>
        <v>#DIV/0!</v>
      </c>
      <c r="G29" s="14">
        <f t="shared" si="46"/>
        <v>-40</v>
      </c>
      <c r="H29" s="20">
        <f t="shared" si="11"/>
        <v>0.7</v>
      </c>
      <c r="I29" s="20">
        <f t="shared" si="47"/>
        <v>0</v>
      </c>
      <c r="J29" s="28">
        <f t="shared" si="13"/>
        <v>0.3</v>
      </c>
      <c r="K29" s="28"/>
      <c r="L29" s="20">
        <f t="shared" ref="L29:M29" si="53">L28</f>
        <v>-80</v>
      </c>
      <c r="M29" s="20">
        <f t="shared" si="53"/>
        <v>-50</v>
      </c>
      <c r="N29" s="29"/>
      <c r="O29" s="30"/>
      <c r="P29" s="18">
        <f t="shared" si="15"/>
        <v>-30</v>
      </c>
      <c r="Q29" s="14">
        <f t="shared" si="49"/>
        <v>30</v>
      </c>
      <c r="R29" s="34">
        <f t="shared" si="50"/>
        <v>0</v>
      </c>
      <c r="S29" s="20"/>
      <c r="T29" s="18">
        <f t="shared" si="51"/>
        <v>0</v>
      </c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</row>
  </sheetData>
  <phoneticPr fontId="16" type="noConversion"/>
  <conditionalFormatting sqref="A3">
    <cfRule type="cellIs" dxfId="2" priority="3" operator="equal">
      <formula>$A$1</formula>
    </cfRule>
  </conditionalFormatting>
  <conditionalFormatting sqref="A4">
    <cfRule type="cellIs" dxfId="1" priority="2" operator="equal">
      <formula>$A$1</formula>
    </cfRule>
  </conditionalFormatting>
  <conditionalFormatting sqref="A5:A21">
    <cfRule type="cellIs" dxfId="0" priority="1" operator="equal">
      <formula>$A$1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8"/>
  <sheetViews>
    <sheetView workbookViewId="0">
      <pane xSplit="1" ySplit="3" topLeftCell="B13" activePane="bottomRight" state="frozen"/>
      <selection pane="topRight"/>
      <selection pane="bottomLeft"/>
      <selection pane="bottomRight" activeCell="N39" sqref="N39"/>
    </sheetView>
  </sheetViews>
  <sheetFormatPr defaultColWidth="9" defaultRowHeight="14.25" outlineLevelCol="1"/>
  <cols>
    <col min="1" max="1" width="11.875" customWidth="1"/>
    <col min="2" max="2" width="12.875" style="262" hidden="1" customWidth="1" outlineLevel="1"/>
    <col min="3" max="3" width="25.5" style="1" hidden="1" customWidth="1" outlineLevel="1"/>
    <col min="4" max="4" width="26.125" style="1" hidden="1" customWidth="1" outlineLevel="1"/>
    <col min="5" max="5" width="14.875" hidden="1" customWidth="1" outlineLevel="1"/>
    <col min="6" max="6" width="12.875" hidden="1" customWidth="1" outlineLevel="1"/>
    <col min="7" max="7" width="14.875" hidden="1" customWidth="1" outlineLevel="1"/>
    <col min="8" max="8" width="16.125" hidden="1" customWidth="1" outlineLevel="1"/>
    <col min="9" max="9" width="21.125" style="262" hidden="1" customWidth="1" outlineLevel="1"/>
    <col min="10" max="10" width="13" hidden="1" customWidth="1" outlineLevel="1"/>
    <col min="11" max="11" width="21.125" style="262" hidden="1" customWidth="1" outlineLevel="1"/>
    <col min="12" max="12" width="13" hidden="1" customWidth="1" outlineLevel="1"/>
    <col min="13" max="13" width="21.125" style="262" hidden="1" customWidth="1" outlineLevel="1"/>
    <col min="14" max="14" width="15.875" style="263" customWidth="1" collapsed="1"/>
    <col min="15" max="16" width="15.875" style="1" customWidth="1"/>
    <col min="17" max="17" width="16" customWidth="1" outlineLevel="1"/>
    <col min="18" max="18" width="16" style="262" customWidth="1" outlineLevel="1"/>
    <col min="19" max="19" width="16" customWidth="1" outlineLevel="1"/>
    <col min="20" max="20" width="16" style="262" customWidth="1" outlineLevel="1"/>
    <col min="21" max="21" width="16" customWidth="1" outlineLevel="1"/>
    <col min="22" max="22" width="16" style="262" customWidth="1" outlineLevel="1"/>
    <col min="23" max="23" width="11.875" customWidth="1" outlineLevel="1"/>
    <col min="24" max="24" width="11.875" style="262" customWidth="1" outlineLevel="1"/>
    <col min="25" max="25" width="11.875" customWidth="1" outlineLevel="1"/>
    <col min="26" max="26" width="11.875" style="262" customWidth="1" outlineLevel="1"/>
    <col min="27" max="27" width="11.875" customWidth="1" outlineLevel="1"/>
    <col min="28" max="28" width="11.875" style="262" customWidth="1" outlineLevel="1"/>
    <col min="29" max="29" width="11.875" customWidth="1" outlineLevel="1"/>
    <col min="30" max="30" width="11.875" style="262" customWidth="1" outlineLevel="1"/>
    <col min="31" max="31" width="11.875" customWidth="1" outlineLevel="1"/>
    <col min="32" max="32" width="11.875" style="262" customWidth="1" outlineLevel="1"/>
    <col min="33" max="33" width="11.875" customWidth="1" outlineLevel="1"/>
    <col min="34" max="34" width="11.875" style="262" customWidth="1" outlineLevel="1"/>
  </cols>
  <sheetData>
    <row r="1" spans="1:3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</row>
    <row r="2" spans="1:34">
      <c r="B2" s="264" t="s">
        <v>34</v>
      </c>
      <c r="C2" s="265"/>
      <c r="D2" s="265"/>
      <c r="E2" s="266"/>
      <c r="F2" s="266"/>
      <c r="G2" s="266"/>
      <c r="H2" s="267" t="s">
        <v>35</v>
      </c>
      <c r="I2" s="279"/>
      <c r="J2" s="280" t="s">
        <v>59</v>
      </c>
      <c r="K2" s="279"/>
      <c r="L2" s="267" t="s">
        <v>37</v>
      </c>
      <c r="M2" s="267"/>
      <c r="N2" s="281"/>
      <c r="O2" s="282"/>
      <c r="P2" s="282"/>
      <c r="Q2" s="294" t="s">
        <v>60</v>
      </c>
      <c r="R2" s="295"/>
      <c r="S2" s="294"/>
      <c r="T2" s="295"/>
      <c r="U2" s="294"/>
      <c r="V2" s="295"/>
      <c r="W2" s="3" t="s">
        <v>39</v>
      </c>
      <c r="X2" s="296"/>
      <c r="Y2" s="3"/>
      <c r="Z2" s="296"/>
      <c r="AA2" s="3"/>
      <c r="AB2" s="296"/>
      <c r="AC2" s="267" t="s">
        <v>40</v>
      </c>
      <c r="AD2" s="279"/>
      <c r="AE2" s="267"/>
      <c r="AF2" s="279"/>
      <c r="AG2" s="267"/>
      <c r="AH2" s="279"/>
    </row>
    <row r="3" spans="1:34">
      <c r="A3" s="268" t="s">
        <v>41</v>
      </c>
      <c r="B3" s="268" t="s">
        <v>42</v>
      </c>
      <c r="C3" s="269" t="s">
        <v>61</v>
      </c>
      <c r="D3" s="269" t="s">
        <v>62</v>
      </c>
      <c r="E3" s="269" t="s">
        <v>63</v>
      </c>
      <c r="F3" s="268" t="s">
        <v>64</v>
      </c>
      <c r="G3" s="268" t="s">
        <v>65</v>
      </c>
      <c r="H3" s="268" t="s">
        <v>45</v>
      </c>
      <c r="I3" s="268" t="s">
        <v>46</v>
      </c>
      <c r="J3" s="269" t="s">
        <v>45</v>
      </c>
      <c r="K3" s="268" t="s">
        <v>46</v>
      </c>
      <c r="L3" s="269" t="s">
        <v>45</v>
      </c>
      <c r="M3" s="269" t="s">
        <v>46</v>
      </c>
      <c r="N3" s="283" t="s">
        <v>66</v>
      </c>
      <c r="O3" s="269" t="s">
        <v>67</v>
      </c>
      <c r="P3" s="269" t="s">
        <v>20</v>
      </c>
      <c r="Q3" s="269" t="s">
        <v>68</v>
      </c>
      <c r="R3" s="268" t="s">
        <v>69</v>
      </c>
      <c r="S3" s="269" t="s">
        <v>70</v>
      </c>
      <c r="T3" s="268" t="s">
        <v>71</v>
      </c>
      <c r="U3" s="269" t="s">
        <v>72</v>
      </c>
      <c r="V3" s="268" t="s">
        <v>73</v>
      </c>
      <c r="W3" s="269" t="s">
        <v>53</v>
      </c>
      <c r="X3" s="268" t="s">
        <v>54</v>
      </c>
      <c r="Y3" s="269" t="s">
        <v>55</v>
      </c>
      <c r="Z3" s="268" t="s">
        <v>56</v>
      </c>
      <c r="AA3" s="269" t="s">
        <v>57</v>
      </c>
      <c r="AB3" s="268" t="s">
        <v>58</v>
      </c>
      <c r="AC3" s="269" t="s">
        <v>53</v>
      </c>
      <c r="AD3" s="268" t="s">
        <v>54</v>
      </c>
      <c r="AE3" s="269" t="s">
        <v>55</v>
      </c>
      <c r="AF3" s="268" t="s">
        <v>56</v>
      </c>
      <c r="AG3" s="269" t="s">
        <v>57</v>
      </c>
      <c r="AH3" s="268" t="s">
        <v>58</v>
      </c>
    </row>
    <row r="4" spans="1:34">
      <c r="A4" s="270">
        <v>44501</v>
      </c>
      <c r="B4" s="271">
        <f>'青岛 - 螺纹'!U3</f>
        <v>-82</v>
      </c>
      <c r="C4" s="272">
        <f>'青岛 - 螺纹'!S3</f>
        <v>4630</v>
      </c>
      <c r="D4" s="272">
        <f>'青岛 - 螺纹'!T3</f>
        <v>4712</v>
      </c>
      <c r="E4" s="272"/>
      <c r="F4" s="272"/>
      <c r="G4" s="272"/>
      <c r="H4" s="272">
        <f>'青岛 - 螺纹'!AE3+'青岛 - 盘螺2'!AE3</f>
        <v>0</v>
      </c>
      <c r="I4" s="284"/>
      <c r="J4" s="272">
        <f>'连云港 - 螺纹2'!AE3+'连云港 - 盘螺2'!AE3</f>
        <v>0</v>
      </c>
      <c r="K4" s="284"/>
      <c r="L4" s="272"/>
      <c r="M4" s="271"/>
      <c r="N4" s="285"/>
      <c r="O4" s="286"/>
      <c r="P4" s="286"/>
      <c r="Q4" s="274">
        <f>'青岛 - 螺纹'!O3+'青岛 - 螺纹'!P3</f>
        <v>-30</v>
      </c>
      <c r="R4" s="297">
        <f>'青岛 - 盘螺2'!O3+'青岛 - 盘螺2'!P3</f>
        <v>-30</v>
      </c>
      <c r="S4" s="274"/>
      <c r="T4" s="297"/>
      <c r="U4" s="274"/>
      <c r="V4" s="297"/>
      <c r="W4" s="274">
        <f>'青岛 - 螺纹'!D3</f>
        <v>3320.9000000000005</v>
      </c>
      <c r="X4" s="297">
        <f>'青岛 - 盘螺2'!D3</f>
        <v>3320.9000000000005</v>
      </c>
      <c r="Y4" s="274"/>
      <c r="Z4" s="297"/>
      <c r="AA4" s="274"/>
      <c r="AB4" s="297"/>
      <c r="AC4" s="274">
        <f>'青岛 - 螺纹'!B3</f>
        <v>5190</v>
      </c>
      <c r="AD4" s="297">
        <f>'青岛 - 盘螺'!B3</f>
        <v>5440</v>
      </c>
      <c r="AE4" s="274"/>
      <c r="AF4" s="297"/>
      <c r="AG4" s="274"/>
      <c r="AH4" s="297"/>
    </row>
    <row r="5" spans="1:34">
      <c r="A5" s="270">
        <v>44502</v>
      </c>
      <c r="B5" s="271">
        <f>'青岛 - 螺纹'!U4</f>
        <v>-131</v>
      </c>
      <c r="C5" s="272">
        <f>'青岛 - 螺纹'!S4</f>
        <v>4499</v>
      </c>
      <c r="D5" s="272">
        <f>'青岛 - 螺纹'!T4</f>
        <v>4630</v>
      </c>
      <c r="E5" s="273"/>
      <c r="F5" s="273"/>
      <c r="G5" s="273"/>
      <c r="H5" s="274">
        <f>'青岛 - 螺纹'!AE4+'青岛 - 盘螺'!AE4</f>
        <v>0</v>
      </c>
      <c r="I5" s="284"/>
      <c r="J5" s="274">
        <f>'连云港 - 螺纹'!AE4+'连云港 - 盘螺'!AE4</f>
        <v>0</v>
      </c>
      <c r="K5" s="284"/>
      <c r="L5" s="274">
        <f>'苏南 - 螺纹'!AE4+'苏南 - 盘螺'!AE4</f>
        <v>0</v>
      </c>
      <c r="M5" s="284"/>
      <c r="N5" s="287"/>
      <c r="O5" s="288"/>
      <c r="P5" s="288"/>
      <c r="Q5" s="274">
        <f>'青岛 - 螺纹'!O4+'青岛 - 螺纹'!P4</f>
        <v>-30</v>
      </c>
      <c r="R5" s="297">
        <f>'青岛 - 盘螺'!O4+'青岛 - 盘螺'!P4</f>
        <v>-30</v>
      </c>
      <c r="S5" s="298">
        <f>'连云港 - 螺纹'!O4+'连云港 - 螺纹'!P4</f>
        <v>20</v>
      </c>
      <c r="T5" s="299">
        <f>'连云港 - 盘螺'!O4+'连云港 - 盘螺'!P4</f>
        <v>20</v>
      </c>
      <c r="U5" s="298">
        <f>'苏南 - 螺纹'!O4+'苏南 - 螺纹'!P4</f>
        <v>5270</v>
      </c>
      <c r="V5" s="299">
        <f>'苏南 - 盘螺'!O4+'苏南 - 盘螺'!P4</f>
        <v>90</v>
      </c>
      <c r="W5" s="274">
        <f>'青岛 - 螺纹'!D4</f>
        <v>3306.2000000000003</v>
      </c>
      <c r="X5" s="297">
        <f>'青岛 - 盘螺'!D4</f>
        <v>3468.7000000000003</v>
      </c>
      <c r="Y5" s="298">
        <f>'连云港 - 螺纹'!D4</f>
        <v>-26.699999999999996</v>
      </c>
      <c r="Z5" s="299">
        <f>'连云港 - 盘螺'!D4</f>
        <v>3508.6000000000004</v>
      </c>
      <c r="AA5" s="298">
        <f>'苏南 - 螺纹'!D4</f>
        <v>5137.05</v>
      </c>
      <c r="AB5" s="299">
        <f>'苏南 - 盘螺'!D4</f>
        <v>3414.4500000000003</v>
      </c>
      <c r="AC5" s="274">
        <f>'青岛 - 螺纹'!B4</f>
        <v>5070</v>
      </c>
      <c r="AD5" s="297">
        <f>'青岛 - 盘螺'!B4</f>
        <v>5320</v>
      </c>
      <c r="AE5" s="298">
        <f>'连云港 - 螺纹'!B4</f>
        <v>0</v>
      </c>
      <c r="AF5" s="299">
        <f>'连云港 - 盘螺'!B4</f>
        <v>5320</v>
      </c>
      <c r="AG5" s="298">
        <f>'苏南 - 螺纹'!B4</f>
        <v>5070</v>
      </c>
      <c r="AH5" s="299">
        <f>'苏南 - 盘螺'!B4</f>
        <v>5320</v>
      </c>
    </row>
    <row r="6" spans="1:34">
      <c r="A6" s="270">
        <v>44503</v>
      </c>
      <c r="B6" s="271">
        <f>'青岛 - 螺纹'!U5</f>
        <v>-249</v>
      </c>
      <c r="C6" s="272">
        <f>'青岛 - 螺纹'!S5</f>
        <v>4250</v>
      </c>
      <c r="D6" s="272">
        <f>'青岛 - 螺纹'!T5</f>
        <v>4499</v>
      </c>
      <c r="E6" s="273"/>
      <c r="F6" s="273"/>
      <c r="G6" s="273"/>
      <c r="H6" s="274">
        <f>'青岛 - 螺纹'!AE5+'青岛 - 盘螺'!AE5</f>
        <v>0</v>
      </c>
      <c r="I6" s="284"/>
      <c r="J6" s="274">
        <f>'连云港 - 螺纹'!AE5+'连云港 - 盘螺'!AE5</f>
        <v>0</v>
      </c>
      <c r="K6" s="284"/>
      <c r="L6" s="274">
        <f>'苏南 - 螺纹'!AE5+'苏南 - 盘螺'!AE5</f>
        <v>0</v>
      </c>
      <c r="M6" s="284"/>
      <c r="N6" s="287"/>
      <c r="O6" s="288"/>
      <c r="P6" s="288"/>
      <c r="Q6" s="274">
        <f>'青岛 - 螺纹'!O5+'青岛 - 螺纹'!P5</f>
        <v>-30</v>
      </c>
      <c r="R6" s="297">
        <f>'青岛 - 盘螺'!O5+'青岛 - 盘螺'!P5</f>
        <v>-30</v>
      </c>
      <c r="S6" s="298">
        <f>'连云港 - 螺纹'!O5+'连云港 - 螺纹'!P5</f>
        <v>20</v>
      </c>
      <c r="T6" s="299">
        <f>'连云港 - 盘螺'!O5+'连云港 - 盘螺'!P5</f>
        <v>20</v>
      </c>
      <c r="U6" s="298">
        <f>'苏南 - 螺纹'!O5+'苏南 - 螺纹'!P5</f>
        <v>5170</v>
      </c>
      <c r="V6" s="299">
        <f>'苏南 - 盘螺'!O5+'苏南 - 盘螺'!P5</f>
        <v>90</v>
      </c>
      <c r="W6" s="274">
        <f>'青岛 - 螺纹'!D5</f>
        <v>3192.8</v>
      </c>
      <c r="X6" s="297">
        <f>'青岛 - 盘螺'!D5</f>
        <v>3355.3</v>
      </c>
      <c r="Y6" s="298">
        <f>'连云港 - 螺纹'!D5</f>
        <v>-62.1</v>
      </c>
      <c r="Z6" s="299">
        <f>'连云港 - 盘螺'!D5</f>
        <v>3395.2</v>
      </c>
      <c r="AA6" s="298">
        <f>'苏南 - 螺纹'!D5</f>
        <v>4971.1499999999996</v>
      </c>
      <c r="AB6" s="299">
        <f>'苏南 - 盘螺'!D5</f>
        <v>3301.05</v>
      </c>
      <c r="AC6" s="274">
        <f>'青岛 - 螺纹'!B5</f>
        <v>4950</v>
      </c>
      <c r="AD6" s="297">
        <f>'青岛 - 盘螺'!B5</f>
        <v>5200</v>
      </c>
      <c r="AE6" s="298">
        <f>'连云港 - 螺纹'!B5</f>
        <v>0</v>
      </c>
      <c r="AF6" s="299">
        <f>'连云港 - 盘螺'!B5</f>
        <v>5200</v>
      </c>
      <c r="AG6" s="298">
        <f>'苏南 - 螺纹'!B5</f>
        <v>4950</v>
      </c>
      <c r="AH6" s="299">
        <f>'苏南 - 盘螺'!B5</f>
        <v>5200</v>
      </c>
    </row>
    <row r="7" spans="1:34">
      <c r="A7" s="270">
        <v>44504</v>
      </c>
      <c r="B7" s="271">
        <f>'青岛 - 螺纹'!U6</f>
        <v>148</v>
      </c>
      <c r="C7" s="272">
        <f>'青岛 - 螺纹'!S6</f>
        <v>4398</v>
      </c>
      <c r="D7" s="272">
        <f>'青岛 - 螺纹'!T6</f>
        <v>4250</v>
      </c>
      <c r="E7" s="273"/>
      <c r="F7" s="273"/>
      <c r="G7" s="273"/>
      <c r="H7" s="274">
        <f>'青岛 - 螺纹'!AE6+'青岛 - 盘螺'!AE6</f>
        <v>0</v>
      </c>
      <c r="I7" s="284"/>
      <c r="J7" s="274">
        <f>'连云港 - 螺纹'!AE6+'连云港 - 盘螺'!AE6</f>
        <v>0</v>
      </c>
      <c r="K7" s="284"/>
      <c r="L7" s="274">
        <f>'苏南 - 螺纹'!AE6+'苏南 - 盘螺'!AE6</f>
        <v>0</v>
      </c>
      <c r="M7" s="284"/>
      <c r="N7" s="287"/>
      <c r="O7" s="288"/>
      <c r="P7" s="288"/>
      <c r="Q7" s="274">
        <f>'青岛 - 螺纹'!O6+'青岛 - 螺纹'!P6</f>
        <v>-30</v>
      </c>
      <c r="R7" s="297">
        <f>'青岛 - 盘螺'!O6+'青岛 - 盘螺'!P6</f>
        <v>-30</v>
      </c>
      <c r="S7" s="298">
        <f>'连云港 - 螺纹'!O6+'连云港 - 螺纹'!P6</f>
        <v>20</v>
      </c>
      <c r="T7" s="299">
        <f>'连云港 - 盘螺'!O6+'连云港 - 盘螺'!P6</f>
        <v>20</v>
      </c>
      <c r="U7" s="298">
        <f>'苏南 - 螺纹'!O6+'苏南 - 螺纹'!P6</f>
        <v>5140</v>
      </c>
      <c r="V7" s="299">
        <f>'苏南 - 盘螺'!O6+'苏南 - 盘螺'!P6</f>
        <v>90</v>
      </c>
      <c r="W7" s="274">
        <f>'青岛 - 螺纹'!D6</f>
        <v>3233.9</v>
      </c>
      <c r="X7" s="297">
        <f>'青岛 - 盘螺'!D6</f>
        <v>3396.4000000000005</v>
      </c>
      <c r="Y7" s="298">
        <f>'连云港 - 螺纹'!D6</f>
        <v>57</v>
      </c>
      <c r="Z7" s="299">
        <f>'连云港 - 盘螺'!D6</f>
        <v>3436.3</v>
      </c>
      <c r="AA7" s="298">
        <f>'苏南 - 螺纹'!D6</f>
        <v>5026.25</v>
      </c>
      <c r="AB7" s="299">
        <f>'苏南 - 盘螺'!D6</f>
        <v>3342.1500000000005</v>
      </c>
      <c r="AC7" s="274">
        <f>'青岛 - 螺纹'!B6</f>
        <v>4950</v>
      </c>
      <c r="AD7" s="297">
        <f>'青岛 - 盘螺'!B6</f>
        <v>5200</v>
      </c>
      <c r="AE7" s="298">
        <f>'连云港 - 螺纹'!B6</f>
        <v>0</v>
      </c>
      <c r="AF7" s="299">
        <f>'连云港 - 盘螺'!B6</f>
        <v>5200</v>
      </c>
      <c r="AG7" s="298">
        <f>'苏南 - 螺纹'!B6</f>
        <v>4950</v>
      </c>
      <c r="AH7" s="299">
        <f>'苏南 - 盘螺'!B6</f>
        <v>5200</v>
      </c>
    </row>
    <row r="8" spans="1:34">
      <c r="A8" s="270">
        <v>44505</v>
      </c>
      <c r="B8" s="271">
        <f>'青岛 - 螺纹'!U7</f>
        <v>-160</v>
      </c>
      <c r="C8" s="272">
        <f>'青岛 - 螺纹'!S7</f>
        <v>4238</v>
      </c>
      <c r="D8" s="272">
        <f>'青岛 - 螺纹'!T7</f>
        <v>4398</v>
      </c>
      <c r="E8" s="273"/>
      <c r="F8" s="273"/>
      <c r="G8" s="273"/>
      <c r="H8" s="274">
        <f>'青岛 - 螺纹'!AE7+'青岛 - 盘螺'!AE7</f>
        <v>0</v>
      </c>
      <c r="I8" s="284"/>
      <c r="J8" s="274">
        <f>'连云港 - 螺纹'!AE7+'连云港 - 盘螺'!AE7</f>
        <v>0</v>
      </c>
      <c r="K8" s="284"/>
      <c r="L8" s="274">
        <f>'苏南 - 螺纹'!AE7+'苏南 - 盘螺'!AE7</f>
        <v>0</v>
      </c>
      <c r="M8" s="284"/>
      <c r="N8" s="287"/>
      <c r="O8" s="288"/>
      <c r="P8" s="288"/>
      <c r="Q8" s="274">
        <f>'青岛 - 螺纹'!O7+'青岛 - 螺纹'!P7</f>
        <v>-30</v>
      </c>
      <c r="R8" s="297">
        <f>'青岛 - 盘螺'!O7+'青岛 - 盘螺'!P7</f>
        <v>-30</v>
      </c>
      <c r="S8" s="298">
        <f>'连云港 - 螺纹'!O7+'连云港 - 螺纹'!P7</f>
        <v>20</v>
      </c>
      <c r="T8" s="299">
        <f>'连云港 - 盘螺'!O7+'连云港 - 盘螺'!P7</f>
        <v>20</v>
      </c>
      <c r="U8" s="298">
        <f>'苏南 - 螺纹'!O7+'苏南 - 螺纹'!P7</f>
        <v>5140</v>
      </c>
      <c r="V8" s="299">
        <f>'苏南 - 盘螺'!O7+'苏南 - 盘螺'!P7</f>
        <v>90</v>
      </c>
      <c r="W8" s="274">
        <f>'青岛 - 螺纹'!D7</f>
        <v>3141.5</v>
      </c>
      <c r="X8" s="297">
        <f>'青岛 - 盘螺'!D7</f>
        <v>3304</v>
      </c>
      <c r="Y8" s="298">
        <f>'连云港 - 螺纹'!D7</f>
        <v>-35.4</v>
      </c>
      <c r="Z8" s="299">
        <f>'连云港 - 盘螺'!D7</f>
        <v>3343.9</v>
      </c>
      <c r="AA8" s="298">
        <f>'苏南 - 螺纹'!D7</f>
        <v>4944.3500000000004</v>
      </c>
      <c r="AB8" s="299">
        <f>'苏南 - 盘螺'!D7</f>
        <v>3249.75</v>
      </c>
      <c r="AC8" s="274">
        <f>'青岛 - 螺纹'!B7</f>
        <v>4880</v>
      </c>
      <c r="AD8" s="297">
        <f>'青岛 - 盘螺'!B7</f>
        <v>5130</v>
      </c>
      <c r="AE8" s="298">
        <f>'连云港 - 螺纹'!B7</f>
        <v>0</v>
      </c>
      <c r="AF8" s="299">
        <f>'连云港 - 盘螺'!B7</f>
        <v>5130</v>
      </c>
      <c r="AG8" s="298">
        <f>'苏南 - 螺纹'!B7</f>
        <v>4880</v>
      </c>
      <c r="AH8" s="299">
        <f>'苏南 - 盘螺'!B7</f>
        <v>5130</v>
      </c>
    </row>
    <row r="9" spans="1:34">
      <c r="A9" s="270">
        <v>44506</v>
      </c>
      <c r="B9" s="271">
        <f>'青岛 - 螺纹'!U8</f>
        <v>0</v>
      </c>
      <c r="C9" s="272">
        <f>'青岛 - 螺纹'!S8</f>
        <v>4238</v>
      </c>
      <c r="D9" s="272">
        <f>'青岛 - 螺纹'!T8</f>
        <v>4238</v>
      </c>
      <c r="E9" s="273"/>
      <c r="F9" s="273"/>
      <c r="G9" s="273"/>
      <c r="H9" s="274">
        <f>'青岛 - 螺纹'!AE8+'青岛 - 盘螺'!AE8</f>
        <v>0</v>
      </c>
      <c r="I9" s="284"/>
      <c r="J9" s="274">
        <f>'连云港 - 螺纹'!AE8+'连云港 - 盘螺'!AE8</f>
        <v>0</v>
      </c>
      <c r="K9" s="284"/>
      <c r="L9" s="274">
        <f>'苏南 - 螺纹'!AE8+'苏南 - 盘螺'!AE8</f>
        <v>0</v>
      </c>
      <c r="M9" s="284"/>
      <c r="N9" s="287"/>
      <c r="O9" s="288"/>
      <c r="P9" s="288"/>
      <c r="Q9" s="274">
        <f>'青岛 - 螺纹'!O8+'青岛 - 螺纹'!P8</f>
        <v>-30</v>
      </c>
      <c r="R9" s="297">
        <f>'青岛 - 盘螺'!O8+'青岛 - 盘螺'!P8</f>
        <v>-30</v>
      </c>
      <c r="S9" s="298">
        <f>'连云港 - 螺纹'!O8+'连云港 - 螺纹'!P8</f>
        <v>20</v>
      </c>
      <c r="T9" s="299">
        <f>'连云港 - 盘螺'!O8+'连云港 - 盘螺'!P8</f>
        <v>20</v>
      </c>
      <c r="U9" s="298">
        <f>'苏南 - 螺纹'!O8+'苏南 - 螺纹'!P8</f>
        <v>5110</v>
      </c>
      <c r="V9" s="299">
        <f>'苏南 - 盘螺'!O8+'苏南 - 盘螺'!P8</f>
        <v>90</v>
      </c>
      <c r="W9" s="274">
        <f>'青岛 - 螺纹'!D8</f>
        <v>3144</v>
      </c>
      <c r="X9" s="297">
        <f>'青岛 - 盘螺'!D8</f>
        <v>3306.5</v>
      </c>
      <c r="Y9" s="298">
        <f>'连云港 - 螺纹'!D8</f>
        <v>12.6</v>
      </c>
      <c r="Z9" s="299">
        <f>'连云港 - 盘螺'!D8</f>
        <v>3346.4</v>
      </c>
      <c r="AA9" s="298">
        <f>'苏南 - 螺纹'!D8</f>
        <v>4925.8500000000004</v>
      </c>
      <c r="AB9" s="299">
        <f>'苏南 - 盘螺'!D8</f>
        <v>3252.25</v>
      </c>
      <c r="AC9" s="274">
        <f>'青岛 - 螺纹'!B8</f>
        <v>4880</v>
      </c>
      <c r="AD9" s="297">
        <f>'青岛 - 盘螺'!B8</f>
        <v>5130</v>
      </c>
      <c r="AE9" s="298">
        <f>'连云港 - 螺纹'!B8</f>
        <v>0</v>
      </c>
      <c r="AF9" s="299">
        <f>'连云港 - 盘螺'!B8</f>
        <v>5130</v>
      </c>
      <c r="AG9" s="298">
        <f>'苏南 - 螺纹'!B8</f>
        <v>4880</v>
      </c>
      <c r="AH9" s="299">
        <f>'苏南 - 盘螺'!B8</f>
        <v>5130</v>
      </c>
    </row>
    <row r="10" spans="1:34">
      <c r="A10" s="270">
        <v>44507</v>
      </c>
      <c r="B10" s="271">
        <f>'青岛 - 螺纹'!U9</f>
        <v>0</v>
      </c>
      <c r="C10" s="272">
        <f>'青岛 - 螺纹'!S9</f>
        <v>4238</v>
      </c>
      <c r="D10" s="272">
        <f>'青岛 - 螺纹'!T9</f>
        <v>4238</v>
      </c>
      <c r="E10" s="273"/>
      <c r="F10" s="273"/>
      <c r="G10" s="273"/>
      <c r="H10" s="274">
        <f>'青岛 - 螺纹'!AE9+'青岛 - 盘螺'!AE9</f>
        <v>0</v>
      </c>
      <c r="I10" s="284"/>
      <c r="J10" s="274">
        <f>'连云港 - 螺纹'!AE9+'连云港 - 盘螺'!AE9</f>
        <v>0</v>
      </c>
      <c r="K10" s="284"/>
      <c r="L10" s="274">
        <f>'苏南 - 螺纹'!AE9+'苏南 - 盘螺'!AE9</f>
        <v>0</v>
      </c>
      <c r="M10" s="284"/>
      <c r="N10" s="287"/>
      <c r="O10" s="289"/>
      <c r="P10" s="288"/>
      <c r="Q10" s="274">
        <f>'青岛 - 螺纹'!O9+'青岛 - 螺纹'!P9</f>
        <v>-30</v>
      </c>
      <c r="R10" s="297">
        <f>'青岛 - 盘螺'!O9+'青岛 - 盘螺'!P9</f>
        <v>-30</v>
      </c>
      <c r="S10" s="298">
        <f>'连云港 - 螺纹'!O9+'连云港 - 螺纹'!P9</f>
        <v>20</v>
      </c>
      <c r="T10" s="299">
        <f>'连云港 - 盘螺'!O9+'连云港 - 盘螺'!P9</f>
        <v>20</v>
      </c>
      <c r="U10" s="298">
        <f>'苏南 - 螺纹'!O9+'苏南 - 螺纹'!P9</f>
        <v>5110</v>
      </c>
      <c r="V10" s="299">
        <f>'苏南 - 盘螺'!O9+'苏南 - 盘螺'!P9</f>
        <v>90</v>
      </c>
      <c r="W10" s="274">
        <f>'青岛 - 螺纹'!D9</f>
        <v>3144</v>
      </c>
      <c r="X10" s="297">
        <f>'青岛 - 盘螺'!D9</f>
        <v>3306.5</v>
      </c>
      <c r="Y10" s="298">
        <f>'连云港 - 螺纹'!D9</f>
        <v>12.6</v>
      </c>
      <c r="Z10" s="299">
        <f>'连云港 - 盘螺'!D9</f>
        <v>3346.4</v>
      </c>
      <c r="AA10" s="298">
        <f>'苏南 - 螺纹'!D9</f>
        <v>4936.3500000000004</v>
      </c>
      <c r="AB10" s="299">
        <f>'苏南 - 盘螺'!D9</f>
        <v>3252.25</v>
      </c>
      <c r="AC10" s="274">
        <f>'青岛 - 螺纹'!B9</f>
        <v>4900</v>
      </c>
      <c r="AD10" s="297">
        <f>'青岛 - 盘螺'!B9</f>
        <v>5150</v>
      </c>
      <c r="AE10" s="298">
        <f>'连云港 - 螺纹'!B9</f>
        <v>0</v>
      </c>
      <c r="AF10" s="299">
        <f>'连云港 - 盘螺'!B9</f>
        <v>5150</v>
      </c>
      <c r="AG10" s="298">
        <f>'苏南 - 螺纹'!B9</f>
        <v>4900</v>
      </c>
      <c r="AH10" s="299">
        <f>'苏南 - 盘螺'!B9</f>
        <v>5150</v>
      </c>
    </row>
    <row r="11" spans="1:34">
      <c r="A11" s="270">
        <v>44508</v>
      </c>
      <c r="B11" s="271">
        <f>'青岛 - 螺纹'!U10</f>
        <v>17</v>
      </c>
      <c r="C11" s="272">
        <f>'青岛 - 螺纹'!S10</f>
        <v>4255</v>
      </c>
      <c r="D11" s="272">
        <f>'青岛 - 螺纹'!T10</f>
        <v>4238</v>
      </c>
      <c r="E11" s="273"/>
      <c r="F11" s="273"/>
      <c r="G11" s="273"/>
      <c r="H11" s="274">
        <f>'青岛 - 螺纹'!AE10+'青岛 - 盘螺'!AE10</f>
        <v>0</v>
      </c>
      <c r="I11" s="284"/>
      <c r="J11" s="274">
        <f>'连云港 - 螺纹'!AE10+'连云港 - 盘螺'!AE10</f>
        <v>0</v>
      </c>
      <c r="K11" s="284"/>
      <c r="L11" s="274">
        <f>'苏南 - 螺纹'!AE10+'苏南 - 盘螺'!AE10</f>
        <v>0</v>
      </c>
      <c r="M11" s="284"/>
      <c r="N11" s="287"/>
      <c r="O11" s="289"/>
      <c r="P11" s="288"/>
      <c r="Q11" s="274">
        <f>'青岛 - 螺纹'!O10+'青岛 - 螺纹'!P10</f>
        <v>-30</v>
      </c>
      <c r="R11" s="297">
        <f>'青岛 - 盘螺'!O10+'青岛 - 盘螺'!P10</f>
        <v>-30</v>
      </c>
      <c r="S11" s="298">
        <f>'连云港 - 螺纹'!O10+'连云港 - 螺纹'!P10</f>
        <v>20</v>
      </c>
      <c r="T11" s="299">
        <f>'连云港 - 盘螺'!O10+'连云港 - 盘螺'!P10</f>
        <v>20</v>
      </c>
      <c r="U11" s="298">
        <f>'苏南 - 螺纹'!O10+'苏南 - 螺纹'!P10</f>
        <v>5060</v>
      </c>
      <c r="V11" s="299">
        <f>'苏南 - 盘螺'!O10+'苏南 - 盘螺'!P10</f>
        <v>90</v>
      </c>
      <c r="W11" s="274">
        <f>'青岛 - 螺纹'!D10</f>
        <v>3162.1</v>
      </c>
      <c r="X11" s="297">
        <f>'青岛 - 盘螺'!D10</f>
        <v>3324.6000000000004</v>
      </c>
      <c r="Y11" s="298">
        <f>'连云港 - 螺纹'!D10</f>
        <v>17.7</v>
      </c>
      <c r="Z11" s="299">
        <f>'连云港 - 盘螺'!D10</f>
        <v>3364.5</v>
      </c>
      <c r="AA11" s="298">
        <f>'苏南 - 螺纹'!D10</f>
        <v>4919.45</v>
      </c>
      <c r="AB11" s="299">
        <f>'苏南 - 盘螺'!D10</f>
        <v>3270.3500000000004</v>
      </c>
      <c r="AC11" s="274">
        <f>'青岛 - 螺纹'!B10</f>
        <v>4850</v>
      </c>
      <c r="AD11" s="297">
        <f>'青岛 - 盘螺'!B10</f>
        <v>5100</v>
      </c>
      <c r="AE11" s="298">
        <f>'连云港 - 螺纹'!B10</f>
        <v>0</v>
      </c>
      <c r="AF11" s="299">
        <f>'连云港 - 盘螺'!B10</f>
        <v>5100</v>
      </c>
      <c r="AG11" s="298">
        <f>'苏南 - 螺纹'!B10</f>
        <v>4850</v>
      </c>
      <c r="AH11" s="299">
        <f>'苏南 - 盘螺'!B10</f>
        <v>5100</v>
      </c>
    </row>
    <row r="12" spans="1:34">
      <c r="A12" s="270">
        <v>44509</v>
      </c>
      <c r="B12" s="271">
        <f>'青岛 - 螺纹'!U11</f>
        <v>0</v>
      </c>
      <c r="C12" s="272">
        <f>'青岛 - 螺纹'!S11</f>
        <v>4255</v>
      </c>
      <c r="D12" s="272">
        <f>'青岛 - 螺纹'!T11</f>
        <v>4255</v>
      </c>
      <c r="E12" s="273"/>
      <c r="F12" s="273"/>
      <c r="G12" s="273"/>
      <c r="H12" s="274">
        <f>'青岛 - 螺纹'!AE11+'青岛 - 盘螺'!AE11</f>
        <v>0</v>
      </c>
      <c r="I12" s="284"/>
      <c r="J12" s="274">
        <f>'连云港 - 螺纹'!AE11+'连云港 - 盘螺'!AE11</f>
        <v>0</v>
      </c>
      <c r="K12" s="284"/>
      <c r="L12" s="274">
        <f>'苏南 - 螺纹'!AE11+'苏南 - 盘螺'!AE11</f>
        <v>0</v>
      </c>
      <c r="M12" s="284"/>
      <c r="N12" s="287"/>
      <c r="O12" s="289"/>
      <c r="P12" s="288"/>
      <c r="Q12" s="274">
        <f>'青岛 - 螺纹'!O11+'青岛 - 螺纹'!P11</f>
        <v>-30</v>
      </c>
      <c r="R12" s="297">
        <f>'青岛 - 盘螺'!O11+'青岛 - 盘螺'!P11</f>
        <v>-30</v>
      </c>
      <c r="S12" s="298">
        <f>'连云港 - 螺纹'!O11+'连云港 - 螺纹'!P11</f>
        <v>20</v>
      </c>
      <c r="T12" s="299">
        <f>'连云港 - 盘螺'!O11+'连云港 - 盘螺'!P11</f>
        <v>20</v>
      </c>
      <c r="U12" s="298">
        <f>'苏南 - 螺纹'!O11+'苏南 - 螺纹'!P11</f>
        <v>5060</v>
      </c>
      <c r="V12" s="299">
        <f>'苏南 - 盘螺'!O11+'苏南 - 盘螺'!P11</f>
        <v>90</v>
      </c>
      <c r="W12" s="274">
        <f>'青岛 - 螺纹'!D11</f>
        <v>3124.5</v>
      </c>
      <c r="X12" s="297">
        <f>'青岛 - 盘螺'!D11</f>
        <v>3287</v>
      </c>
      <c r="Y12" s="298">
        <f>'连云港 - 螺纹'!D11</f>
        <v>12.6</v>
      </c>
      <c r="Z12" s="299">
        <f>'连云港 - 盘螺'!D11</f>
        <v>3326.9</v>
      </c>
      <c r="AA12" s="298">
        <f>'苏南 - 螺纹'!D11</f>
        <v>4899.3500000000004</v>
      </c>
      <c r="AB12" s="299">
        <f>'苏南 - 盘螺'!D11</f>
        <v>3232.75</v>
      </c>
      <c r="AC12" s="274">
        <f>'青岛 - 螺纹'!B11</f>
        <v>4820</v>
      </c>
      <c r="AD12" s="297">
        <f>'青岛 - 盘螺'!B11</f>
        <v>0</v>
      </c>
      <c r="AE12" s="298">
        <f>'连云港 - 螺纹'!B11</f>
        <v>0</v>
      </c>
      <c r="AF12" s="299">
        <f>'连云港 - 盘螺'!B11</f>
        <v>0</v>
      </c>
      <c r="AG12" s="298">
        <f>'苏南 - 螺纹'!B11</f>
        <v>4820</v>
      </c>
      <c r="AH12" s="299">
        <f>'苏南 - 盘螺'!B11</f>
        <v>0</v>
      </c>
    </row>
    <row r="13" spans="1:34">
      <c r="A13" s="270">
        <v>44510</v>
      </c>
      <c r="B13" s="271">
        <f>'青岛 - 螺纹'!U12</f>
        <v>35</v>
      </c>
      <c r="C13" s="272">
        <f>'青岛 - 螺纹'!S12</f>
        <v>4290</v>
      </c>
      <c r="D13" s="272">
        <f>'青岛 - 螺纹'!T12</f>
        <v>4255</v>
      </c>
      <c r="E13" s="273"/>
      <c r="F13" s="273"/>
      <c r="G13" s="273"/>
      <c r="H13" s="274">
        <f>'青岛 - 螺纹'!AE12+'青岛 - 盘螺'!AE12</f>
        <v>0</v>
      </c>
      <c r="I13" s="284"/>
      <c r="J13" s="274">
        <f>'连云港 - 螺纹'!AE12+'连云港 - 盘螺'!AE12</f>
        <v>0</v>
      </c>
      <c r="K13" s="284"/>
      <c r="L13" s="274">
        <f>'苏南 - 螺纹'!AE12+'苏南 - 盘螺'!AE12</f>
        <v>0</v>
      </c>
      <c r="M13" s="284"/>
      <c r="N13" s="287"/>
      <c r="O13" s="289"/>
      <c r="P13" s="288"/>
      <c r="Q13" s="274">
        <f>'青岛 - 螺纹'!O12+'青岛 - 螺纹'!P12</f>
        <v>-30</v>
      </c>
      <c r="R13" s="297">
        <f>'青岛 - 盘螺'!O12+'青岛 - 盘螺'!P12</f>
        <v>-30</v>
      </c>
      <c r="S13" s="298">
        <f>'连云港 - 螺纹'!O12+'连云港 - 螺纹'!P12</f>
        <v>20</v>
      </c>
      <c r="T13" s="299">
        <f>'连云港 - 盘螺'!O12+'连云港 - 盘螺'!P12</f>
        <v>20</v>
      </c>
      <c r="U13" s="298">
        <f>'苏南 - 螺纹'!O12+'苏南 - 螺纹'!P12</f>
        <v>4960</v>
      </c>
      <c r="V13" s="299">
        <f>'苏南 - 盘螺'!O12+'苏南 - 盘螺'!P12</f>
        <v>90</v>
      </c>
      <c r="W13" s="274">
        <f>'青岛 - 螺纹'!D12</f>
        <v>3115.5</v>
      </c>
      <c r="X13" s="297">
        <f>'青岛 - 盘螺'!D12</f>
        <v>-17.5</v>
      </c>
      <c r="Y13" s="298">
        <f>'连云港 - 螺纹'!D12</f>
        <v>23.1</v>
      </c>
      <c r="Z13" s="299">
        <f>'连云港 - 盘螺'!D12</f>
        <v>17.850000000000001</v>
      </c>
      <c r="AA13" s="298">
        <f>'苏南 - 螺纹'!D12</f>
        <v>4820.3500000000004</v>
      </c>
      <c r="AB13" s="299">
        <f>'苏南 - 盘螺'!D12</f>
        <v>-71.75</v>
      </c>
      <c r="AC13" s="274">
        <f>'青岛 - 螺纹'!B12</f>
        <v>4680</v>
      </c>
      <c r="AD13" s="297">
        <f>'青岛 - 盘螺'!B12</f>
        <v>0</v>
      </c>
      <c r="AE13" s="298">
        <f>'连云港 - 螺纹'!B12</f>
        <v>0</v>
      </c>
      <c r="AF13" s="299">
        <f>'连云港 - 盘螺'!B12</f>
        <v>0</v>
      </c>
      <c r="AG13" s="298">
        <f>'苏南 - 螺纹'!B12</f>
        <v>4680</v>
      </c>
      <c r="AH13" s="299">
        <f>'苏南 - 盘螺'!B12</f>
        <v>0</v>
      </c>
    </row>
    <row r="14" spans="1:34">
      <c r="A14" s="270">
        <v>44511</v>
      </c>
      <c r="B14" s="271">
        <f>'青岛 - 螺纹'!U13</f>
        <v>-71</v>
      </c>
      <c r="C14" s="272">
        <f>'青岛 - 螺纹'!S13</f>
        <v>4219</v>
      </c>
      <c r="D14" s="272">
        <f>'青岛 - 螺纹'!T13</f>
        <v>4290</v>
      </c>
      <c r="E14" s="273"/>
      <c r="F14" s="273"/>
      <c r="G14" s="273"/>
      <c r="H14" s="274">
        <f>'青岛 - 螺纹'!AE13+'青岛 - 盘螺'!AE13</f>
        <v>0</v>
      </c>
      <c r="I14" s="284"/>
      <c r="J14" s="274">
        <f>'连云港 - 螺纹'!AE13+'连云港 - 盘螺'!AE13</f>
        <v>0</v>
      </c>
      <c r="K14" s="284"/>
      <c r="L14" s="274">
        <f>'苏南 - 螺纹'!AE13+'苏南 - 盘螺'!AE13</f>
        <v>0</v>
      </c>
      <c r="M14" s="284"/>
      <c r="N14" s="287"/>
      <c r="O14" s="289"/>
      <c r="P14" s="288"/>
      <c r="Q14" s="274">
        <f>'青岛 - 螺纹'!O13+'青岛 - 螺纹'!P13</f>
        <v>-30</v>
      </c>
      <c r="R14" s="297">
        <f>'青岛 - 盘螺'!O13+'青岛 - 盘螺'!P13</f>
        <v>-30</v>
      </c>
      <c r="S14" s="298">
        <f>'连云港 - 螺纹'!O13+'连云港 - 螺纹'!P13</f>
        <v>20</v>
      </c>
      <c r="T14" s="299">
        <f>'连云港 - 盘螺'!O13+'连云港 - 盘螺'!P13</f>
        <v>20</v>
      </c>
      <c r="U14" s="298">
        <f>'苏南 - 螺纹'!O13+'苏南 - 螺纹'!P13</f>
        <v>4840</v>
      </c>
      <c r="V14" s="299">
        <f>'苏南 - 盘螺'!O13+'苏南 - 盘螺'!P13</f>
        <v>90</v>
      </c>
      <c r="W14" s="274">
        <f>'青岛 - 螺纹'!D13</f>
        <v>2992.7</v>
      </c>
      <c r="X14" s="297">
        <f>'青岛 - 盘螺'!D13</f>
        <v>-49.3</v>
      </c>
      <c r="Y14" s="298">
        <f>'连云港 - 螺纹'!D13</f>
        <v>-8.7000000000000011</v>
      </c>
      <c r="Z14" s="299">
        <f>'连云港 - 盘螺'!D13</f>
        <v>-13.950000000000001</v>
      </c>
      <c r="AA14" s="298">
        <f>'苏南 - 螺纹'!D13</f>
        <v>4648.55</v>
      </c>
      <c r="AB14" s="299">
        <f>'苏南 - 盘螺'!D13</f>
        <v>-103.55</v>
      </c>
      <c r="AC14" s="274">
        <f>'青岛 - 螺纹'!B13</f>
        <v>4680</v>
      </c>
      <c r="AD14" s="297">
        <f>'青岛 - 盘螺'!B13</f>
        <v>0</v>
      </c>
      <c r="AE14" s="298">
        <f>'连云港 - 螺纹'!B13</f>
        <v>0</v>
      </c>
      <c r="AF14" s="299">
        <f>'连云港 - 盘螺'!B13</f>
        <v>0</v>
      </c>
      <c r="AG14" s="298">
        <f>'苏南 - 螺纹'!B13</f>
        <v>4680</v>
      </c>
      <c r="AH14" s="299">
        <f>'苏南 - 盘螺'!B13</f>
        <v>0</v>
      </c>
    </row>
    <row r="15" spans="1:34">
      <c r="A15" s="270">
        <v>44512</v>
      </c>
      <c r="B15" s="271">
        <f>'青岛 - 螺纹'!U14</f>
        <v>206</v>
      </c>
      <c r="C15" s="272">
        <f>'青岛 - 螺纹'!S14</f>
        <v>4425</v>
      </c>
      <c r="D15" s="272">
        <f>'青岛 - 螺纹'!T14</f>
        <v>4219</v>
      </c>
      <c r="E15" s="273"/>
      <c r="F15" s="273"/>
      <c r="G15" s="273"/>
      <c r="H15" s="274">
        <f>'青岛 - 螺纹'!AE14+'青岛 - 盘螺'!AE14</f>
        <v>0</v>
      </c>
      <c r="I15" s="284"/>
      <c r="J15" s="274">
        <f>'连云港 - 螺纹'!AE14+'连云港 - 盘螺'!AE14</f>
        <v>0</v>
      </c>
      <c r="K15" s="284"/>
      <c r="L15" s="274">
        <f>'苏南 - 螺纹'!AE14+'苏南 - 盘螺'!AE14</f>
        <v>0</v>
      </c>
      <c r="M15" s="284"/>
      <c r="N15" s="287"/>
      <c r="O15" s="289"/>
      <c r="P15" s="288"/>
      <c r="Q15" s="274">
        <f>'青岛 - 螺纹'!O14+'青岛 - 螺纹'!P14</f>
        <v>-30</v>
      </c>
      <c r="R15" s="297">
        <f>'青岛 - 盘螺'!O14+'青岛 - 盘螺'!P14</f>
        <v>-30</v>
      </c>
      <c r="S15" s="298">
        <f>'连云港 - 螺纹'!O14+'连云港 - 螺纹'!P14</f>
        <v>20</v>
      </c>
      <c r="T15" s="299">
        <f>'连云港 - 盘螺'!O14+'连云港 - 盘螺'!P14</f>
        <v>20</v>
      </c>
      <c r="U15" s="298">
        <f>'苏南 - 螺纹'!O14+'苏南 - 螺纹'!P14</f>
        <v>90</v>
      </c>
      <c r="V15" s="299">
        <f>'苏南 - 盘螺'!O14+'苏南 - 盘螺'!P14</f>
        <v>90</v>
      </c>
      <c r="W15" s="274">
        <f>'青岛 - 螺纹'!D14</f>
        <v>3075.8</v>
      </c>
      <c r="X15" s="297">
        <f>'青岛 - 盘螺'!D14</f>
        <v>33.799999999999997</v>
      </c>
      <c r="Y15" s="298">
        <f>'连云港 - 螺纹'!D14</f>
        <v>74.399999999999991</v>
      </c>
      <c r="Z15" s="299">
        <f>'连云港 - 盘螺'!D14</f>
        <v>69.149999999999991</v>
      </c>
      <c r="AA15" s="298">
        <f>'苏南 - 螺纹'!D14</f>
        <v>1448.6500000000005</v>
      </c>
      <c r="AB15" s="299">
        <f>'苏南 - 盘螺'!D14</f>
        <v>-20.450000000000003</v>
      </c>
      <c r="AC15" s="274">
        <f>'青岛 - 螺纹'!B14</f>
        <v>4730</v>
      </c>
      <c r="AD15" s="297">
        <f>'青岛 - 盘螺'!B14</f>
        <v>0</v>
      </c>
      <c r="AE15" s="298">
        <f>'连云港 - 螺纹'!B14</f>
        <v>0</v>
      </c>
      <c r="AF15" s="299">
        <f>'连云港 - 盘螺'!B14</f>
        <v>0</v>
      </c>
      <c r="AG15" s="298">
        <f>'苏南 - 螺纹'!B14</f>
        <v>4730</v>
      </c>
      <c r="AH15" s="299">
        <f>'苏南 - 盘螺'!B14</f>
        <v>0</v>
      </c>
    </row>
    <row r="16" spans="1:34">
      <c r="A16" s="270">
        <v>44513</v>
      </c>
      <c r="B16" s="271">
        <f>'青岛 - 螺纹'!U15</f>
        <v>-4425</v>
      </c>
      <c r="C16" s="272">
        <f>'青岛 - 螺纹'!S15</f>
        <v>0</v>
      </c>
      <c r="D16" s="272">
        <f>'青岛 - 螺纹'!T15</f>
        <v>4425</v>
      </c>
      <c r="E16" s="273"/>
      <c r="F16" s="273"/>
      <c r="G16" s="273"/>
      <c r="H16" s="274">
        <f>'青岛 - 螺纹'!AE15+'青岛 - 盘螺'!AE15</f>
        <v>0</v>
      </c>
      <c r="I16" s="284"/>
      <c r="J16" s="274">
        <f>'连云港 - 螺纹'!AE15+'连云港 - 盘螺'!AE15</f>
        <v>0</v>
      </c>
      <c r="K16" s="284"/>
      <c r="L16" s="274">
        <f>'苏南 - 螺纹'!AE15+'苏南 - 盘螺'!AE15</f>
        <v>0</v>
      </c>
      <c r="M16" s="284"/>
      <c r="N16" s="287"/>
      <c r="O16" s="289"/>
      <c r="P16" s="288"/>
      <c r="Q16" s="274">
        <f>'青岛 - 螺纹'!O15+'青岛 - 螺纹'!P15</f>
        <v>-30</v>
      </c>
      <c r="R16" s="297">
        <f>'青岛 - 盘螺'!O15+'青岛 - 盘螺'!P15</f>
        <v>-30</v>
      </c>
      <c r="S16" s="298">
        <f>'连云港 - 螺纹'!O15+'连云港 - 螺纹'!P15</f>
        <v>20</v>
      </c>
      <c r="T16" s="299">
        <f>'连云港 - 盘螺'!O15+'连云港 - 盘螺'!P15</f>
        <v>20</v>
      </c>
      <c r="U16" s="298">
        <f>'苏南 - 螺纹'!O15+'苏南 - 螺纹'!P15</f>
        <v>90</v>
      </c>
      <c r="V16" s="299">
        <f>'苏南 - 盘螺'!O15+'苏南 - 盘螺'!P15</f>
        <v>5140</v>
      </c>
      <c r="W16" s="274">
        <f>'青岛 - 螺纹'!D15</f>
        <v>1719</v>
      </c>
      <c r="X16" s="297">
        <f>'青岛 - 盘螺'!D15</f>
        <v>-1355.5</v>
      </c>
      <c r="Y16" s="298">
        <f>'连云港 - 螺纹'!D15</f>
        <v>-1314.9</v>
      </c>
      <c r="Z16" s="299">
        <f>'连云港 - 盘螺'!D15</f>
        <v>-1320.15</v>
      </c>
      <c r="AA16" s="298">
        <f>'苏南 - 螺纹'!D15</f>
        <v>1761.3500000000004</v>
      </c>
      <c r="AB16" s="299">
        <f>'苏南 - 盘螺'!D15</f>
        <v>2125.25</v>
      </c>
      <c r="AC16" s="274">
        <f>'青岛 - 螺纹'!B15</f>
        <v>0</v>
      </c>
      <c r="AD16" s="297">
        <f>'青岛 - 盘螺'!B15</f>
        <v>0</v>
      </c>
      <c r="AE16" s="298">
        <f>'连云港 - 螺纹'!B15</f>
        <v>0</v>
      </c>
      <c r="AF16" s="299">
        <f>'连云港 - 盘螺'!B15</f>
        <v>0</v>
      </c>
      <c r="AG16" s="298">
        <f>'苏南 - 螺纹'!B15</f>
        <v>0</v>
      </c>
      <c r="AH16" s="299">
        <f>'苏南 - 盘螺'!B15</f>
        <v>0</v>
      </c>
    </row>
    <row r="17" spans="1:36">
      <c r="A17" s="270">
        <v>44514</v>
      </c>
      <c r="B17" s="271">
        <f>'青岛 - 螺纹'!U16</f>
        <v>4425</v>
      </c>
      <c r="C17" s="272">
        <f>'青岛 - 螺纹'!S16</f>
        <v>4425</v>
      </c>
      <c r="D17" s="272">
        <f>'青岛 - 螺纹'!T16</f>
        <v>0</v>
      </c>
      <c r="E17" s="273"/>
      <c r="F17" s="273"/>
      <c r="G17" s="273"/>
      <c r="H17" s="274">
        <f>'青岛 - 螺纹'!AE16+'青岛 - 盘螺'!AE16</f>
        <v>0</v>
      </c>
      <c r="I17" s="284"/>
      <c r="J17" s="274">
        <f>'连云港 - 螺纹'!AE16+'连云港 - 盘螺'!AE16</f>
        <v>0</v>
      </c>
      <c r="K17" s="284"/>
      <c r="L17" s="274">
        <f>'苏南 - 螺纹'!AE16+'苏南 - 盘螺'!AE16</f>
        <v>0</v>
      </c>
      <c r="M17" s="284"/>
      <c r="N17" s="287"/>
      <c r="O17" s="289"/>
      <c r="P17" s="288"/>
      <c r="Q17" s="274">
        <f>'青岛 - 螺纹'!O16+'青岛 - 螺纹'!P16</f>
        <v>4650</v>
      </c>
      <c r="R17" s="297">
        <f>'青岛 - 盘螺'!O16+'青岛 - 盘螺'!P16</f>
        <v>5000</v>
      </c>
      <c r="S17" s="298">
        <f>'连云港 - 螺纹'!O16+'连云港 - 螺纹'!P16</f>
        <v>4600</v>
      </c>
      <c r="T17" s="299">
        <f>'连云港 - 盘螺'!O16+'连云港 - 盘螺'!P16</f>
        <v>4830</v>
      </c>
      <c r="U17" s="298">
        <f>'苏南 - 螺纹'!O16+'苏南 - 螺纹'!P16</f>
        <v>4790</v>
      </c>
      <c r="V17" s="299">
        <f>'苏南 - 盘螺'!O16+'苏南 - 盘螺'!P16</f>
        <v>5140</v>
      </c>
      <c r="W17" s="274">
        <f>'青岛 - 螺纹'!D16</f>
        <v>4575.5</v>
      </c>
      <c r="X17" s="297">
        <f>'青岛 - 盘螺'!D16</f>
        <v>4820.5</v>
      </c>
      <c r="Y17" s="298">
        <f>'连云港 - 螺纹'!D16</f>
        <v>4546.1000000000004</v>
      </c>
      <c r="Z17" s="299">
        <f>'连云港 - 盘螺'!D16</f>
        <v>4701.8500000000004</v>
      </c>
      <c r="AA17" s="298">
        <f>'苏南 - 螺纹'!D16</f>
        <v>4574.8500000000004</v>
      </c>
      <c r="AB17" s="299">
        <f>'苏南 - 盘螺'!D16</f>
        <v>3006.8</v>
      </c>
      <c r="AC17" s="274">
        <f>'青岛 - 螺纹'!B16</f>
        <v>4800</v>
      </c>
      <c r="AD17" s="297">
        <f>'青岛 - 盘螺'!B16</f>
        <v>4620</v>
      </c>
      <c r="AE17" s="298">
        <f>'连云港 - 螺纹'!B16</f>
        <v>4620</v>
      </c>
      <c r="AF17" s="299">
        <f>'连云港 - 盘螺'!B16</f>
        <v>4900</v>
      </c>
      <c r="AG17" s="298">
        <f>'苏南 - 螺纹'!B16</f>
        <v>4800</v>
      </c>
      <c r="AH17" s="299">
        <f>'苏南 - 盘螺'!B16</f>
        <v>4900</v>
      </c>
    </row>
    <row r="18" spans="1:36" s="261" customFormat="1">
      <c r="A18" s="275">
        <v>44515</v>
      </c>
      <c r="B18" s="276">
        <f>'青岛 - 螺纹'!U17</f>
        <v>-230</v>
      </c>
      <c r="C18" s="277">
        <f>'青岛 - 螺纹'!S17</f>
        <v>4195</v>
      </c>
      <c r="D18" s="277">
        <f>'青岛 - 螺纹'!T17</f>
        <v>4425</v>
      </c>
      <c r="E18" s="278"/>
      <c r="F18" s="278"/>
      <c r="G18" s="278"/>
      <c r="H18" s="274">
        <f>'青岛 - 螺纹'!AE17+'青岛 - 盘螺'!AE17</f>
        <v>1639.7250000000001</v>
      </c>
      <c r="I18" s="290"/>
      <c r="J18" s="274">
        <f>'连云港 - 螺纹'!AE17+'连云港 - 盘螺'!AE17</f>
        <v>1353.021</v>
      </c>
      <c r="K18" s="284"/>
      <c r="L18" s="274">
        <f>'苏南 - 螺纹'!AE17+'苏南 - 盘螺'!AE17</f>
        <v>2078.6310000000003</v>
      </c>
      <c r="M18" s="284"/>
      <c r="N18" s="291"/>
      <c r="O18" s="289">
        <f>IF(VLOOKUP(A18,每日销量追踪!$A$4:$CM$310,2,0)=1,VLOOKUP(A18,每日销量追踪!$A$4:$CM$310,15,0),(VLOOKUP(A18,每日销量追踪!$A$4:$CM$310,15,0)-VLOOKUP(A18-1,每日销量追踪!$A$4:$CM$310,15,0)))</f>
        <v>11348.618999999999</v>
      </c>
      <c r="P18" s="292">
        <v>1</v>
      </c>
      <c r="Q18" s="300">
        <f>'青岛 - 螺纹'!O17+'青岛 - 螺纹'!P17</f>
        <v>4650</v>
      </c>
      <c r="R18" s="297">
        <f>'青岛 - 盘螺'!O17+'青岛 - 盘螺'!P17</f>
        <v>5000</v>
      </c>
      <c r="S18" s="298">
        <f>'连云港 - 螺纹'!O17+'连云港 - 螺纹'!P17</f>
        <v>4600</v>
      </c>
      <c r="T18" s="299">
        <f>'连云港 - 盘螺'!O17+'连云港 - 盘螺'!P17</f>
        <v>4830</v>
      </c>
      <c r="U18" s="298">
        <f>'苏南 - 螺纹'!O17+'苏南 - 螺纹'!P17</f>
        <v>4750</v>
      </c>
      <c r="V18" s="299">
        <f>'苏南 - 盘螺'!O17+'苏南 - 盘螺'!P17</f>
        <v>5100</v>
      </c>
      <c r="W18" s="300">
        <f>'青岛 - 螺纹'!D17</f>
        <v>4611</v>
      </c>
      <c r="X18" s="301">
        <f>'青岛 - 盘螺'!D17</f>
        <v>4638.6120000000001</v>
      </c>
      <c r="Y18" s="302">
        <f>'连云港 - 螺纹'!D17</f>
        <v>4502.05</v>
      </c>
      <c r="Z18" s="303">
        <f>'连云港 - 盘螺'!D17</f>
        <v>4761.3999999999996</v>
      </c>
      <c r="AA18" s="302">
        <f>'苏南 - 螺纹'!D17</f>
        <v>4632.3500000000004</v>
      </c>
      <c r="AB18" s="303">
        <f>'苏南 - 盘螺'!D17</f>
        <v>4723.25</v>
      </c>
      <c r="AC18" s="300">
        <f>'青岛 - 螺纹'!B17</f>
        <v>4590</v>
      </c>
      <c r="AD18" s="297">
        <f>'青岛 - 盘螺'!B17</f>
        <v>4840</v>
      </c>
      <c r="AE18" s="298">
        <f>'连云港 - 螺纹'!B17</f>
        <v>4620</v>
      </c>
      <c r="AF18" s="299">
        <f>'连云港 - 盘螺'!B17</f>
        <v>4870</v>
      </c>
      <c r="AG18" s="298">
        <f>'苏南 - 螺纹'!B17</f>
        <v>4620</v>
      </c>
      <c r="AH18" s="299">
        <f>'苏南 - 盘螺'!B17</f>
        <v>4870</v>
      </c>
    </row>
    <row r="19" spans="1:36" s="261" customFormat="1">
      <c r="A19" s="275">
        <v>44516</v>
      </c>
      <c r="B19" s="276">
        <f>'青岛 - 螺纹'!U18</f>
        <v>-42</v>
      </c>
      <c r="C19" s="277">
        <f>'青岛 - 螺纹'!S18</f>
        <v>4153</v>
      </c>
      <c r="D19" s="277">
        <f>'青岛 - 螺纹'!T18</f>
        <v>4195</v>
      </c>
      <c r="E19" s="278"/>
      <c r="F19" s="278"/>
      <c r="G19" s="278"/>
      <c r="H19" s="274">
        <f>'青岛 - 螺纹'!AE18+'青岛 - 盘螺'!AE18</f>
        <v>5043.3530000000001</v>
      </c>
      <c r="I19" s="290"/>
      <c r="J19" s="274">
        <f>'连云港 - 螺纹'!AE18+'连云港 - 盘螺'!AE18</f>
        <v>6255.491</v>
      </c>
      <c r="K19" s="284"/>
      <c r="L19" s="274">
        <f>'苏南 - 螺纹'!AE18+'苏南 - 盘螺'!AE18</f>
        <v>7871.5709999999999</v>
      </c>
      <c r="M19" s="284"/>
      <c r="N19" s="291"/>
      <c r="O19" s="289">
        <f>IF(VLOOKUP(A19,每日销量追踪!$A$4:$CM$310,2,0)=1,VLOOKUP(A19,每日销量追踪!$A$4:$CM$310,15,0),(VLOOKUP(A19,每日销量追踪!$A$4:$CM$310,15,0)-VLOOKUP(A19-1,每日销量追踪!$A$4:$CM$310,15,0)))</f>
        <v>29015.169000000002</v>
      </c>
      <c r="P19" s="292">
        <v>1</v>
      </c>
      <c r="Q19" s="300">
        <f>'青岛 - 螺纹'!O18+'青岛 - 螺纹'!P18</f>
        <v>4600</v>
      </c>
      <c r="R19" s="297">
        <f>'青岛 - 盘螺'!O18+'青岛 - 盘螺'!P18</f>
        <v>4950</v>
      </c>
      <c r="S19" s="298">
        <f>'连云港 - 螺纹'!O18+'连云港 - 螺纹'!P18</f>
        <v>4620</v>
      </c>
      <c r="T19" s="299">
        <f>'连云港 - 盘螺'!O18+'连云港 - 盘螺'!P18</f>
        <v>4830</v>
      </c>
      <c r="U19" s="298">
        <f>'苏南 - 螺纹'!O18+'苏南 - 螺纹'!P18</f>
        <v>4750</v>
      </c>
      <c r="V19" s="299">
        <f>'苏南 - 盘螺'!O18+'苏南 - 盘螺'!P18</f>
        <v>5100</v>
      </c>
      <c r="W19" s="300">
        <f>'青岛 - 螺纹'!D18</f>
        <v>4515.5654045775545</v>
      </c>
      <c r="X19" s="301">
        <f>'青岛 - 盘螺'!D18</f>
        <v>4806.3847999999998</v>
      </c>
      <c r="Y19" s="302">
        <f>'连云港 - 螺纹'!D18</f>
        <v>4585.2362739112741</v>
      </c>
      <c r="Z19" s="303">
        <f>'连云港 - 盘螺'!D18</f>
        <v>4810.2254658385091</v>
      </c>
      <c r="AA19" s="302">
        <f>'苏南 - 螺纹'!D18</f>
        <v>4609.5630145890509</v>
      </c>
      <c r="AB19" s="303">
        <f>'苏南 - 盘螺'!D18</f>
        <v>4788.6558297918709</v>
      </c>
      <c r="AC19" s="300">
        <f>'青岛 - 螺纹'!B18</f>
        <v>4590</v>
      </c>
      <c r="AD19" s="297">
        <f>'青岛 - 盘螺'!B18</f>
        <v>4840</v>
      </c>
      <c r="AE19" s="298">
        <f>'连云港 - 螺纹'!B18</f>
        <v>4620</v>
      </c>
      <c r="AF19" s="299">
        <f>'连云港 - 盘螺'!B18</f>
        <v>4870</v>
      </c>
      <c r="AG19" s="298">
        <f>'苏南 - 螺纹'!B18</f>
        <v>4620</v>
      </c>
      <c r="AH19" s="299">
        <f>'苏南 - 盘螺'!B18</f>
        <v>4870</v>
      </c>
    </row>
    <row r="20" spans="1:36" s="261" customFormat="1">
      <c r="A20" s="275">
        <v>44517</v>
      </c>
      <c r="B20" s="276">
        <f>'青岛 - 螺纹'!U19</f>
        <v>-5</v>
      </c>
      <c r="C20" s="277">
        <f>'青岛 - 螺纹'!S19</f>
        <v>4148</v>
      </c>
      <c r="D20" s="277">
        <f>'青岛 - 螺纹'!T19</f>
        <v>4153</v>
      </c>
      <c r="E20" s="278"/>
      <c r="F20" s="278"/>
      <c r="G20" s="278"/>
      <c r="H20" s="274">
        <f>'青岛 - 螺纹'!AE19+'青岛 - 盘螺'!AE19</f>
        <v>2540.9569999999999</v>
      </c>
      <c r="I20" s="290"/>
      <c r="J20" s="274">
        <f>'连云港 - 螺纹'!AE19+'连云港 - 盘螺'!AE19</f>
        <v>1488.9549999999999</v>
      </c>
      <c r="K20" s="284"/>
      <c r="L20" s="274">
        <f>'苏南 - 螺纹'!AE19+'苏南 - 盘螺'!AE19</f>
        <v>2280.4870000000001</v>
      </c>
      <c r="M20" s="284"/>
      <c r="N20" s="291"/>
      <c r="O20" s="289">
        <f>IF(VLOOKUP(A20,每日销量追踪!$A$4:$CM$310,2,0)=1,VLOOKUP(A20,每日销量追踪!$A$4:$CM$310,15,0),(VLOOKUP(A20,每日销量追踪!$A$4:$CM$310,15,0)-VLOOKUP(A20-1,每日销量追踪!$A$4:$CM$310,15,0)))</f>
        <v>19217.490999999995</v>
      </c>
      <c r="P20" s="292">
        <v>1</v>
      </c>
      <c r="Q20" s="300">
        <f>'青岛 - 螺纹'!O19+'青岛 - 螺纹'!P19</f>
        <v>4640</v>
      </c>
      <c r="R20" s="297">
        <f>'青岛 - 盘螺'!O19+'青岛 - 盘螺'!P19</f>
        <v>4990</v>
      </c>
      <c r="S20" s="298">
        <f>'连云港 - 螺纹'!O19+'连云港 - 螺纹'!P19</f>
        <v>4610</v>
      </c>
      <c r="T20" s="299">
        <f>'连云港 - 盘螺'!O19+'连云港 - 盘螺'!P19</f>
        <v>4830</v>
      </c>
      <c r="U20" s="298">
        <f>'苏南 - 螺纹'!O19+'苏南 - 螺纹'!P19</f>
        <v>4750</v>
      </c>
      <c r="V20" s="299">
        <f>'苏南 - 盘螺'!O19+'苏南 - 盘螺'!P19</f>
        <v>5100</v>
      </c>
      <c r="W20" s="300">
        <f>'青岛 - 螺纹'!D19</f>
        <v>4586.4853512578347</v>
      </c>
      <c r="X20" s="301">
        <f>'青岛 - 盘螺'!D19</f>
        <v>4881.4381333333331</v>
      </c>
      <c r="Y20" s="302">
        <f>'连云港 - 螺纹'!D19</f>
        <v>4601.4121014787679</v>
      </c>
      <c r="Z20" s="303">
        <f>'连云港 - 盘螺'!D19</f>
        <v>4844.8542920847267</v>
      </c>
      <c r="AA20" s="302">
        <f>'苏南 - 螺纹'!D19</f>
        <v>4662.3537555972844</v>
      </c>
      <c r="AB20" s="303">
        <f>'苏南 - 盘螺'!D19</f>
        <v>4820.9087119973847</v>
      </c>
      <c r="AC20" s="300">
        <f>'青岛 - 螺纹'!B19</f>
        <v>4590</v>
      </c>
      <c r="AD20" s="297">
        <f>'青岛 - 盘螺'!B19</f>
        <v>4840</v>
      </c>
      <c r="AE20" s="298">
        <f>'连云港 - 螺纹'!B19</f>
        <v>4620</v>
      </c>
      <c r="AF20" s="299">
        <f>'连云港 - 盘螺'!B19</f>
        <v>4870</v>
      </c>
      <c r="AG20" s="298">
        <f>'苏南 - 螺纹'!B19</f>
        <v>4620</v>
      </c>
      <c r="AH20" s="299">
        <f>'苏南 - 盘螺'!B19</f>
        <v>4870</v>
      </c>
    </row>
    <row r="21" spans="1:36" s="261" customFormat="1">
      <c r="A21" s="275">
        <v>44518</v>
      </c>
      <c r="B21" s="276">
        <f>'青岛 - 螺纹'!U20</f>
        <v>68</v>
      </c>
      <c r="C21" s="277">
        <f>'青岛 - 螺纹'!S20</f>
        <v>4216</v>
      </c>
      <c r="D21" s="277">
        <f>'青岛 - 螺纹'!T20</f>
        <v>4148</v>
      </c>
      <c r="E21" s="278"/>
      <c r="F21" s="278"/>
      <c r="G21" s="278"/>
      <c r="H21" s="274">
        <f>'青岛 - 螺纹'!AE20+'青岛 - 盘螺'!AE20</f>
        <v>4780.2800000000007</v>
      </c>
      <c r="I21" s="290"/>
      <c r="J21" s="274">
        <f>'连云港 - 螺纹'!AE20+'连云港 - 盘螺'!AE20</f>
        <v>3243.4089999999997</v>
      </c>
      <c r="K21" s="284"/>
      <c r="L21" s="274">
        <f>'苏南 - 螺纹'!AE20+'苏南 - 盘螺'!AE20</f>
        <v>4912.3670000000002</v>
      </c>
      <c r="M21" s="284"/>
      <c r="N21" s="291"/>
      <c r="O21" s="289">
        <f>IF(VLOOKUP(A21,每日销量追踪!$A$4:$CM$310,2,0)=1,VLOOKUP(A21,每日销量追踪!$A$4:$CM$310,15,0),(VLOOKUP(A21,每日销量追踪!$A$4:$CM$310,15,0)-VLOOKUP(A21-1,每日销量追踪!$A$4:$CM$310,15,0)))</f>
        <v>16697.033999999985</v>
      </c>
      <c r="P21" s="292">
        <v>1</v>
      </c>
      <c r="Q21" s="300">
        <f>'青岛 - 螺纹'!O20+'青岛 - 螺纹'!P20</f>
        <v>4600</v>
      </c>
      <c r="R21" s="297">
        <f>'青岛 - 盘螺'!O20+'青岛 - 盘螺'!P20</f>
        <v>4950</v>
      </c>
      <c r="S21" s="298">
        <f>'连云港 - 螺纹'!O20+'连云港 - 螺纹'!P20</f>
        <v>4590</v>
      </c>
      <c r="T21" s="299">
        <f>'连云港 - 盘螺'!O20+'连云港 - 盘螺'!P20</f>
        <v>4830</v>
      </c>
      <c r="U21" s="298">
        <f>'苏南 - 螺纹'!O20+'苏南 - 螺纹'!P20</f>
        <v>4750</v>
      </c>
      <c r="V21" s="299">
        <f>'苏南 - 盘螺'!O20+'苏南 - 盘螺'!P20</f>
        <v>5100</v>
      </c>
      <c r="W21" s="300">
        <f>'青岛 - 螺纹'!D20</f>
        <v>4563.3414853890736</v>
      </c>
      <c r="X21" s="301">
        <f>'青岛 - 盘螺'!D20</f>
        <v>4850.0229333333336</v>
      </c>
      <c r="Y21" s="302">
        <f>'连云港 - 螺纹'!D20</f>
        <v>4606.9696049834938</v>
      </c>
      <c r="Z21" s="303">
        <f>'连云港 - 盘螺'!D20</f>
        <v>4858.2488241227375</v>
      </c>
      <c r="AA21" s="302">
        <f>'苏南 - 螺纹'!D20</f>
        <v>4668.5706541801082</v>
      </c>
      <c r="AB21" s="303">
        <f>'苏南 - 盘螺'!D20</f>
        <v>4838.3272184083398</v>
      </c>
      <c r="AC21" s="300">
        <f>'青岛 - 螺纹'!B20</f>
        <v>4560</v>
      </c>
      <c r="AD21" s="297">
        <f>'青岛 - 盘螺'!B20</f>
        <v>4810</v>
      </c>
      <c r="AE21" s="298">
        <f>'连云港 - 螺纹'!B20</f>
        <v>4590</v>
      </c>
      <c r="AF21" s="299">
        <f>'连云港 - 盘螺'!B20</f>
        <v>4840</v>
      </c>
      <c r="AG21" s="298">
        <f>'苏南 - 螺纹'!B20</f>
        <v>4590</v>
      </c>
      <c r="AH21" s="299">
        <f>'苏南 - 盘螺'!B20</f>
        <v>4840</v>
      </c>
    </row>
    <row r="22" spans="1:36" s="261" customFormat="1">
      <c r="A22" s="275">
        <v>44519</v>
      </c>
      <c r="B22" s="276">
        <f>'青岛 - 螺纹'!U21</f>
        <v>-56</v>
      </c>
      <c r="C22" s="277">
        <f>'青岛 - 螺纹'!S21</f>
        <v>4160</v>
      </c>
      <c r="D22" s="277">
        <f>'青岛 - 螺纹'!T21</f>
        <v>4216</v>
      </c>
      <c r="E22" s="278"/>
      <c r="F22" s="278"/>
      <c r="G22" s="278"/>
      <c r="H22" s="274">
        <f>'青岛 - 螺纹'!AE21+'青岛 - 盘螺'!AE21</f>
        <v>8440.482</v>
      </c>
      <c r="I22" s="290"/>
      <c r="J22" s="274">
        <f>'连云港 - 螺纹'!AE21+'连云港 - 盘螺'!AE21</f>
        <v>10730.73</v>
      </c>
      <c r="K22" s="284"/>
      <c r="L22" s="274">
        <f>'苏南 - 螺纹'!AE21+'苏南 - 盘螺'!AE21</f>
        <v>14622.926000000001</v>
      </c>
      <c r="M22" s="284"/>
      <c r="N22" s="291"/>
      <c r="O22" s="289">
        <f>IF(VLOOKUP(A22,每日销量追踪!$A$4:$CM$310,2,0)=1,VLOOKUP(A22,每日销量追踪!$A$4:$CM$310,15,0),(VLOOKUP(A22,每日销量追踪!$A$4:$CM$310,15,0)-VLOOKUP(A22-1,每日销量追踪!$A$4:$CM$310,15,0)))</f>
        <v>48550.390000000029</v>
      </c>
      <c r="P22" s="292">
        <v>1</v>
      </c>
      <c r="Q22" s="300">
        <f>'青岛 - 螺纹'!O21+'青岛 - 螺纹'!P21</f>
        <v>4600</v>
      </c>
      <c r="R22" s="297">
        <f>'青岛 - 盘螺'!O21+'青岛 - 盘螺'!P21</f>
        <v>4950</v>
      </c>
      <c r="S22" s="298">
        <f>'连云港 - 螺纹'!O21+'连云港 - 螺纹'!P21</f>
        <v>4580</v>
      </c>
      <c r="T22" s="299">
        <f>'连云港 - 盘螺'!O21+'连云港 - 盘螺'!P21</f>
        <v>4830</v>
      </c>
      <c r="U22" s="298">
        <f>'苏南 - 螺纹'!O21+'苏南 - 螺纹'!P21</f>
        <v>4750</v>
      </c>
      <c r="V22" s="299">
        <f>'苏南 - 盘螺'!O21+'苏南 - 盘螺'!P21</f>
        <v>5100</v>
      </c>
      <c r="W22" s="300">
        <f>'青岛 - 螺纹'!D21</f>
        <v>4525.2517562891744</v>
      </c>
      <c r="X22" s="301">
        <f>'青岛 - 盘螺'!D21</f>
        <v>4814.1175999999996</v>
      </c>
      <c r="Y22" s="302">
        <f>'连云港 - 螺纹'!D21</f>
        <v>4550.553713878714</v>
      </c>
      <c r="Z22" s="303">
        <f>'连云港 - 盘螺'!D21</f>
        <v>4802.2650342411207</v>
      </c>
      <c r="AA22" s="302">
        <f>'苏南 - 螺纹'!D21</f>
        <v>4611.6327435119647</v>
      </c>
      <c r="AB22" s="303">
        <f>'苏南 - 盘螺'!D21</f>
        <v>4785.6000127129419</v>
      </c>
      <c r="AC22" s="300">
        <f>'青岛 - 螺纹'!B21</f>
        <v>4560</v>
      </c>
      <c r="AD22" s="297">
        <f>'青岛 - 盘螺'!B21</f>
        <v>4810</v>
      </c>
      <c r="AE22" s="298">
        <f>'连云港 - 螺纹'!B21</f>
        <v>4570</v>
      </c>
      <c r="AF22" s="299">
        <f>'连云港 - 盘螺'!B21</f>
        <v>4820</v>
      </c>
      <c r="AG22" s="298">
        <f>'苏南 - 螺纹'!B21</f>
        <v>4590</v>
      </c>
      <c r="AH22" s="299">
        <f>'苏南 - 盘螺'!B21</f>
        <v>4840</v>
      </c>
    </row>
    <row r="23" spans="1:36" s="261" customFormat="1">
      <c r="A23" s="275">
        <v>44520</v>
      </c>
      <c r="B23" s="276">
        <f>'青岛 - 螺纹'!U22</f>
        <v>0</v>
      </c>
      <c r="C23" s="277">
        <f>'青岛 - 螺纹'!S22</f>
        <v>4160</v>
      </c>
      <c r="D23" s="277">
        <f>'青岛 - 螺纹'!T22</f>
        <v>4160</v>
      </c>
      <c r="E23" s="278"/>
      <c r="F23" s="278"/>
      <c r="G23" s="278"/>
      <c r="H23" s="274">
        <f>'青岛 - 螺纹'!AE22+'青岛 - 盘螺'!AE22</f>
        <v>5186.3279999999995</v>
      </c>
      <c r="I23" s="290"/>
      <c r="J23" s="274">
        <f>'连云港 - 螺纹'!AE22+'连云港 - 盘螺'!AE22</f>
        <v>3034.6459999999997</v>
      </c>
      <c r="K23" s="284"/>
      <c r="L23" s="274">
        <f>'苏南 - 螺纹'!AE22+'苏南 - 盘螺'!AE22</f>
        <v>2547.3069999999998</v>
      </c>
      <c r="M23" s="284"/>
      <c r="N23" s="291"/>
      <c r="O23" s="289">
        <f>IF(VLOOKUP(A23,每日销量追踪!$A$4:$CM$310,2,0)=1,VLOOKUP(A23,每日销量追踪!$A$4:$CM$310,15,0),(VLOOKUP(A23,每日销量追踪!$A$4:$CM$310,15,0)-VLOOKUP(A23-1,每日销量追踪!$A$4:$CM$310,15,0)))</f>
        <v>15860.997000000003</v>
      </c>
      <c r="P23" s="292">
        <v>1</v>
      </c>
      <c r="Q23" s="300">
        <f>'青岛 - 螺纹'!O22+'青岛 - 螺纹'!P22</f>
        <v>4630</v>
      </c>
      <c r="R23" s="297">
        <f>'青岛 - 盘螺'!O22+'青岛 - 盘螺'!P22</f>
        <v>4980</v>
      </c>
      <c r="S23" s="298">
        <f>'连云港 - 螺纹'!O22+'连云港 - 螺纹'!P22</f>
        <v>4550</v>
      </c>
      <c r="T23" s="299">
        <f>'连云港 - 盘螺'!O22+'连云港 - 盘螺'!P22</f>
        <v>4830</v>
      </c>
      <c r="U23" s="298">
        <f>'苏南 - 螺纹'!O22+'苏南 - 螺纹'!P22</f>
        <v>4750</v>
      </c>
      <c r="V23" s="299">
        <f>'苏南 - 盘螺'!O22+'苏南 - 盘螺'!P22</f>
        <v>5100</v>
      </c>
      <c r="W23" s="300">
        <f>'青岛 - 螺纹'!D22</f>
        <v>4571.7808843132252</v>
      </c>
      <c r="X23" s="301">
        <f>'青岛 - 盘螺'!D22</f>
        <v>4881.3811999999998</v>
      </c>
      <c r="Y23" s="302">
        <f>'连云港 - 螺纹'!D22</f>
        <v>4543.3115248948579</v>
      </c>
      <c r="Z23" s="303">
        <f>'连云港 - 盘螺'!D22</f>
        <v>4824.374924351011</v>
      </c>
      <c r="AA23" s="302">
        <f>'苏南 - 螺纹'!D22</f>
        <v>4645.817075930473</v>
      </c>
      <c r="AB23" s="303">
        <f>'苏南 - 盘螺'!D22</f>
        <v>4826.8328702190256</v>
      </c>
      <c r="AC23" s="300">
        <f>'青岛 - 螺纹'!B22</f>
        <v>4590</v>
      </c>
      <c r="AD23" s="297">
        <f>'青岛 - 盘螺'!B22</f>
        <v>4840</v>
      </c>
      <c r="AE23" s="298">
        <f>'连云港 - 螺纹'!B22</f>
        <v>4600</v>
      </c>
      <c r="AF23" s="299">
        <f>'连云港 - 盘螺'!B22</f>
        <v>4850</v>
      </c>
      <c r="AG23" s="298">
        <f>'苏南 - 螺纹'!B22</f>
        <v>4620</v>
      </c>
      <c r="AH23" s="299">
        <f>'苏南 - 盘螺'!B22</f>
        <v>4870</v>
      </c>
    </row>
    <row r="24" spans="1:36" s="261" customFormat="1">
      <c r="A24" s="275">
        <v>44521</v>
      </c>
      <c r="B24" s="276">
        <f>'青岛 - 螺纹'!U23</f>
        <v>0</v>
      </c>
      <c r="C24" s="277">
        <f>'青岛 - 螺纹'!S23</f>
        <v>4160</v>
      </c>
      <c r="D24" s="277">
        <f>'青岛 - 螺纹'!T23</f>
        <v>4160</v>
      </c>
      <c r="E24" s="278"/>
      <c r="F24" s="278"/>
      <c r="G24" s="278"/>
      <c r="H24" s="274">
        <f>'青岛 - 螺纹'!AE23+'青岛 - 盘螺'!AE23</f>
        <v>2543.61</v>
      </c>
      <c r="I24" s="290"/>
      <c r="J24" s="274">
        <f>'连云港 - 螺纹'!AE23+'连云港 - 盘螺'!AE23</f>
        <v>710.26299999999992</v>
      </c>
      <c r="K24" s="284"/>
      <c r="L24" s="274">
        <f>'苏南 - 螺纹'!AE23+'苏南 - 盘螺'!AE23</f>
        <v>275.38200000000001</v>
      </c>
      <c r="M24" s="284"/>
      <c r="N24" s="291"/>
      <c r="O24" s="289">
        <f>IF(VLOOKUP(A24,每日销量追踪!$A$4:$CM$310,2,0)=1,VLOOKUP(A24,每日销量追踪!$A$4:$CM$310,15,0),(VLOOKUP(A24,每日销量追踪!$A$4:$CM$310,15,0)-VLOOKUP(A24-1,每日销量追踪!$A$4:$CM$310,15,0)))</f>
        <v>5508.2730000000447</v>
      </c>
      <c r="P24" s="292">
        <v>1</v>
      </c>
      <c r="Q24" s="300">
        <f>'青岛 - 螺纹'!O23+'青岛 - 螺纹'!P23</f>
        <v>4670</v>
      </c>
      <c r="R24" s="297">
        <f>'青岛 - 盘螺'!O23+'青岛 - 盘螺'!P23</f>
        <v>5020</v>
      </c>
      <c r="S24" s="298">
        <f>'连云港 - 螺纹'!O23+'连云港 - 螺纹'!P23</f>
        <v>4570</v>
      </c>
      <c r="T24" s="299">
        <f>'连云港 - 盘螺'!O23+'连云港 - 盘螺'!P23</f>
        <v>4830</v>
      </c>
      <c r="U24" s="298">
        <f>'苏南 - 螺纹'!O23+'苏南 - 螺纹'!P23</f>
        <v>4890</v>
      </c>
      <c r="V24" s="299">
        <f>'苏南 - 盘螺'!O23+'苏南 - 盘螺'!P23</f>
        <v>5140</v>
      </c>
      <c r="W24" s="300">
        <f>'青岛 - 螺纹'!D23</f>
        <v>4614.3467315888402</v>
      </c>
      <c r="X24" s="301">
        <f>'青岛 - 盘螺'!D23</f>
        <v>4899.8569333333335</v>
      </c>
      <c r="Y24" s="302">
        <f>'连云港 - 螺纹'!D23</f>
        <v>4591.3353504520173</v>
      </c>
      <c r="Z24" s="303">
        <f>'连云港 - 盘螺'!D23</f>
        <v>4849.2105734844863</v>
      </c>
      <c r="AA24" s="302">
        <f>'苏南 - 螺纹'!D23</f>
        <v>4763.5560894952705</v>
      </c>
      <c r="AB24" s="303">
        <f>'苏南 - 盘螺'!D23</f>
        <v>4872.074602679294</v>
      </c>
      <c r="AC24" s="300">
        <f>'青岛 - 螺纹'!B23</f>
        <v>4590</v>
      </c>
      <c r="AD24" s="297">
        <f>'青岛 - 盘螺'!B23</f>
        <v>4840</v>
      </c>
      <c r="AE24" s="298">
        <f>'连云港 - 螺纹'!B23</f>
        <v>4600</v>
      </c>
      <c r="AF24" s="299">
        <f>'连云港 - 盘螺'!B23</f>
        <v>4850</v>
      </c>
      <c r="AG24" s="298">
        <f>'苏南 - 螺纹'!B23</f>
        <v>4620</v>
      </c>
      <c r="AH24" s="299">
        <f>'苏南 - 盘螺'!B23</f>
        <v>4870</v>
      </c>
    </row>
    <row r="25" spans="1:36">
      <c r="A25" s="270">
        <v>44522</v>
      </c>
      <c r="B25" s="271">
        <f>'青岛 - 螺纹'!U24</f>
        <v>90</v>
      </c>
      <c r="C25" s="272">
        <f>'青岛 - 螺纹'!S24</f>
        <v>4250</v>
      </c>
      <c r="D25" s="272">
        <f>'青岛 - 螺纹'!T24</f>
        <v>4160</v>
      </c>
      <c r="E25" s="273"/>
      <c r="F25" s="273"/>
      <c r="G25" s="273"/>
      <c r="H25" s="274">
        <f>'青岛 - 螺纹'!AE24+'青岛 - 盘螺'!AE24</f>
        <v>4633.1949999999997</v>
      </c>
      <c r="I25" s="284"/>
      <c r="J25" s="274">
        <f>'连云港 - 螺纹'!AE24+'连云港 - 盘螺'!AE24</f>
        <v>3239.7650000000003</v>
      </c>
      <c r="K25" s="284"/>
      <c r="L25" s="274">
        <f>'苏南 - 螺纹'!AE24+'苏南 - 盘螺'!AE24</f>
        <v>1433.395</v>
      </c>
      <c r="M25" s="284"/>
      <c r="N25" s="287">
        <v>10.3</v>
      </c>
      <c r="O25" s="289">
        <f>IF(VLOOKUP(A25,每日销量追踪!$A$4:$CM$310,2,0)=1,VLOOKUP(A25,每日销量追踪!$A$4:$CM$310,15,0),(VLOOKUP(A25,每日销量追踪!$A$4:$CM$310,15,0)-VLOOKUP(A25-1,每日销量追踪!$A$4:$CM$310,15,0)))</f>
        <v>11261.313999999998</v>
      </c>
      <c r="P25" s="293">
        <v>1.2</v>
      </c>
      <c r="Q25" s="274">
        <f>'青岛 - 螺纹'!O24+'青岛 - 螺纹'!P24</f>
        <v>4670</v>
      </c>
      <c r="R25" s="297">
        <f>'青岛 - 盘螺'!O24+'青岛 - 盘螺'!P24</f>
        <v>5020</v>
      </c>
      <c r="S25" s="298">
        <f>'连云港 - 螺纹'!O24+'连云港 - 螺纹'!P24</f>
        <v>4570</v>
      </c>
      <c r="T25" s="299">
        <f>'连云港 - 盘螺'!O24+'连云港 - 盘螺'!P24</f>
        <v>4830</v>
      </c>
      <c r="U25" s="298">
        <f>'苏南 - 螺纹'!O24+'苏南 - 螺纹'!P24</f>
        <v>4890</v>
      </c>
      <c r="V25" s="299">
        <f>'苏南 - 盘螺'!O24+'苏南 - 盘螺'!P24</f>
        <v>5140</v>
      </c>
      <c r="W25" s="274">
        <f>'青岛 - 螺纹'!D24</f>
        <v>4617.2789240572147</v>
      </c>
      <c r="X25" s="297">
        <f>'青岛 - 盘螺'!D24</f>
        <v>4889.1770666666662</v>
      </c>
      <c r="Y25" s="298">
        <f>'连云港 - 螺纹'!D24</f>
        <v>4609.6894965631072</v>
      </c>
      <c r="Z25" s="299">
        <f>'连云港 - 盘螺'!D24</f>
        <v>4872.624823485693</v>
      </c>
      <c r="AA25" s="298">
        <f>'苏南 - 螺纹'!D24</f>
        <v>4736.4771887588877</v>
      </c>
      <c r="AB25" s="299">
        <f>'苏南 - 盘螺'!D24</f>
        <v>4880.2975524560188</v>
      </c>
      <c r="AC25" s="274">
        <f>'青岛 - 螺纹'!B24</f>
        <v>4590</v>
      </c>
      <c r="AD25" s="297">
        <f>'青岛 - 盘螺'!B24</f>
        <v>4840</v>
      </c>
      <c r="AE25" s="298">
        <f>'连云港 - 螺纹'!B24</f>
        <v>4600</v>
      </c>
      <c r="AF25" s="299">
        <f>'连云港 - 盘螺'!B24</f>
        <v>4850</v>
      </c>
      <c r="AG25" s="298">
        <f>'苏南 - 螺纹'!B24</f>
        <v>4620</v>
      </c>
      <c r="AH25" s="299">
        <f>'苏南 - 盘螺'!B24</f>
        <v>4870</v>
      </c>
    </row>
    <row r="26" spans="1:36">
      <c r="A26" s="270">
        <v>44523</v>
      </c>
      <c r="B26" s="271">
        <f>'青岛 - 螺纹'!U25</f>
        <v>50</v>
      </c>
      <c r="C26" s="272">
        <f>'青岛 - 螺纹'!S25</f>
        <v>4300</v>
      </c>
      <c r="D26" s="272">
        <f>'青岛 - 螺纹'!T25</f>
        <v>4250</v>
      </c>
      <c r="E26" s="273"/>
      <c r="F26" s="273"/>
      <c r="G26" s="273"/>
      <c r="H26" s="274">
        <f>'青岛 - 螺纹'!AE25+'青岛 - 盘螺'!AE25</f>
        <v>8480.8430000000008</v>
      </c>
      <c r="I26" s="284"/>
      <c r="J26" s="274">
        <f>'连云港 - 螺纹'!AE25+'连云港 - 盘螺'!AE25</f>
        <v>13048.858</v>
      </c>
      <c r="K26" s="284"/>
      <c r="L26" s="274">
        <f>'苏南 - 螺纹'!AE25+'苏南 - 盘螺'!AE25</f>
        <v>11192.986000000001</v>
      </c>
      <c r="M26" s="284"/>
      <c r="N26" s="287"/>
      <c r="O26" s="289">
        <f>IF(VLOOKUP(A26,每日销量追踪!$A$4:$CM$310,2,0)=1,VLOOKUP(A26,每日销量追踪!$A$4:$CM$310,15,0),(VLOOKUP(A26,每日销量追踪!$A$4:$CM$310,15,0)-VLOOKUP(A26-1,每日销量追踪!$A$4:$CM$310,15,0)))</f>
        <v>37062.590999999993</v>
      </c>
      <c r="P26" s="293">
        <v>1.2</v>
      </c>
      <c r="Q26" s="274">
        <f>'青岛 - 螺纹'!O25+'青岛 - 螺纹'!P25</f>
        <v>4670</v>
      </c>
      <c r="R26" s="297">
        <f>'青岛 - 盘螺'!O25+'青岛 - 盘螺'!P25</f>
        <v>5020</v>
      </c>
      <c r="S26" s="298">
        <f>'连云港 - 螺纹'!O25+'连云港 - 螺纹'!P25</f>
        <v>4560</v>
      </c>
      <c r="T26" s="299">
        <f>'连云港 - 盘螺'!O25+'连云港 - 盘螺'!P25</f>
        <v>4830</v>
      </c>
      <c r="U26" s="298">
        <f>'苏南 - 螺纹'!O25+'苏南 - 螺纹'!P25</f>
        <v>4890</v>
      </c>
      <c r="V26" s="299">
        <f>'苏南 - 盘螺'!O25+'苏南 - 盘螺'!P25</f>
        <v>5140</v>
      </c>
      <c r="W26" s="274">
        <f>'青岛 - 螺纹'!D25</f>
        <v>4586.3517470716697</v>
      </c>
      <c r="X26" s="297">
        <f>'青岛 - 盘螺'!D25</f>
        <v>4895.536533333333</v>
      </c>
      <c r="Y26" s="298">
        <f>'连云港 - 螺纹'!D25</f>
        <v>4586.0197039072036</v>
      </c>
      <c r="Z26" s="299">
        <f>'连云港 - 盘螺'!D25</f>
        <v>4830.8779158040024</v>
      </c>
      <c r="AA26" s="298">
        <f>'苏南 - 螺纹'!D25</f>
        <v>4676.512048405476</v>
      </c>
      <c r="AB26" s="299">
        <f>'苏南 - 盘螺'!D25</f>
        <v>4821.4792990931437</v>
      </c>
      <c r="AC26" s="274">
        <f>'青岛 - 螺纹'!B25</f>
        <v>4560</v>
      </c>
      <c r="AD26" s="297">
        <f>'青岛 - 盘螺'!B25</f>
        <v>4840</v>
      </c>
      <c r="AE26" s="298">
        <f>'连云港 - 螺纹'!B25</f>
        <v>4570</v>
      </c>
      <c r="AF26" s="299">
        <f>'连云港 - 盘螺'!B25</f>
        <v>4850</v>
      </c>
      <c r="AG26" s="298">
        <f>'苏南 - 螺纹'!B25</f>
        <v>4590</v>
      </c>
      <c r="AH26" s="299">
        <f>'苏南 - 盘螺'!B25</f>
        <v>4870</v>
      </c>
    </row>
    <row r="27" spans="1:36">
      <c r="A27" s="270">
        <v>44524</v>
      </c>
      <c r="B27" s="271">
        <f>'青岛 - 螺纹'!U26</f>
        <v>15</v>
      </c>
      <c r="C27" s="272">
        <f>'青岛 - 螺纹'!S26</f>
        <v>4315</v>
      </c>
      <c r="D27" s="272">
        <f>'青岛 - 螺纹'!T26</f>
        <v>4300</v>
      </c>
      <c r="E27" s="273"/>
      <c r="F27" s="273"/>
      <c r="G27" s="273"/>
      <c r="H27" s="274">
        <f>'青岛 - 螺纹'!AE26+'青岛 - 盘螺'!AE26</f>
        <v>6578.424</v>
      </c>
      <c r="I27" s="284"/>
      <c r="J27" s="274">
        <f>'连云港 - 螺纹'!AE26+'连云港 - 盘螺'!AE26</f>
        <v>11277.545</v>
      </c>
      <c r="K27" s="284"/>
      <c r="L27" s="274">
        <f>'苏南 - 螺纹'!AE26+'苏南 - 盘螺'!AE26</f>
        <v>13396.076000000001</v>
      </c>
      <c r="M27" s="284"/>
      <c r="N27" s="287"/>
      <c r="O27" s="289">
        <f>IF(VLOOKUP(A27,每日销量追踪!$A$4:$CM$310,2,0)=1,VLOOKUP(A27,每日销量追踪!$A$4:$CM$310,15,0),(VLOOKUP(A27,每日销量追踪!$A$4:$CM$310,15,0)-VLOOKUP(A27-1,每日销量追踪!$A$4:$CM$310,15,0)))</f>
        <v>36461.440999999984</v>
      </c>
      <c r="P27" s="293">
        <v>1.2</v>
      </c>
      <c r="Q27" s="274">
        <f>'青岛 - 螺纹'!O26+'青岛 - 螺纹'!P26</f>
        <v>4670</v>
      </c>
      <c r="R27" s="297">
        <f>'青岛 - 盘螺'!O26+'青岛 - 盘螺'!P26</f>
        <v>5020</v>
      </c>
      <c r="S27" s="298">
        <f>'连云港 - 螺纹'!O26+'连云港 - 螺纹'!P26</f>
        <v>4590</v>
      </c>
      <c r="T27" s="299">
        <f>'连云港 - 盘螺'!O26+'连云港 - 盘螺'!P26</f>
        <v>4850</v>
      </c>
      <c r="U27" s="298">
        <f>'苏南 - 螺纹'!O26+'苏南 - 螺纹'!P26</f>
        <v>4890</v>
      </c>
      <c r="V27" s="299">
        <f>'苏南 - 盘螺'!O26+'苏南 - 盘螺'!P26</f>
        <v>5140</v>
      </c>
      <c r="W27" s="274">
        <f>'青岛 - 螺纹'!D26</f>
        <v>4574.2493524112042</v>
      </c>
      <c r="X27" s="297">
        <f>'青岛 - 盘螺'!D26</f>
        <v>4895.9511999999995</v>
      </c>
      <c r="Y27" s="298">
        <f>'连云港 - 螺纹'!D26</f>
        <v>4613.4189116696061</v>
      </c>
      <c r="Z27" s="299">
        <f>'连云港 - 盘螺'!D26</f>
        <v>4874.2459282263626</v>
      </c>
      <c r="AA27" s="298">
        <f>'苏南 - 螺纹'!D26</f>
        <v>4693.9047069350154</v>
      </c>
      <c r="AB27" s="299">
        <f>'苏南 - 盘螺'!D26</f>
        <v>4849.0799855919995</v>
      </c>
      <c r="AC27" s="274">
        <f>'青岛 - 螺纹'!B26</f>
        <v>4560</v>
      </c>
      <c r="AD27" s="297">
        <f>'青岛 - 盘螺'!B26</f>
        <v>4840</v>
      </c>
      <c r="AE27" s="298">
        <f>'连云港 - 螺纹'!B26</f>
        <v>4570</v>
      </c>
      <c r="AF27" s="299">
        <f>'连云港 - 盘螺'!B26</f>
        <v>4850</v>
      </c>
      <c r="AG27" s="298">
        <f>'苏南 - 螺纹'!B26</f>
        <v>4590</v>
      </c>
      <c r="AH27" s="299">
        <f>'苏南 - 盘螺'!B26</f>
        <v>4870</v>
      </c>
    </row>
    <row r="28" spans="1:36">
      <c r="A28" s="270">
        <v>44525</v>
      </c>
      <c r="B28" s="271">
        <f>'青岛 - 螺纹'!U27</f>
        <v>160</v>
      </c>
      <c r="C28" s="272">
        <f>'青岛 - 螺纹'!S27</f>
        <v>4475</v>
      </c>
      <c r="D28" s="272">
        <f>'青岛 - 螺纹'!T27</f>
        <v>4315</v>
      </c>
      <c r="E28" s="273"/>
      <c r="F28" s="273"/>
      <c r="G28" s="273"/>
      <c r="H28" s="274">
        <f>'青岛 - 螺纹'!AE27+'青岛 - 盘螺'!AE27</f>
        <v>7876.5499999999993</v>
      </c>
      <c r="I28" s="284"/>
      <c r="J28" s="274">
        <f>'连云港 - 螺纹'!AE27+'连云港 - 盘螺'!AE27</f>
        <v>1857.252</v>
      </c>
      <c r="K28" s="284"/>
      <c r="L28" s="274">
        <f>'苏南 - 螺纹'!AE27+'苏南 - 盘螺'!AE27</f>
        <v>3557.2139999999999</v>
      </c>
      <c r="M28" s="284"/>
      <c r="N28" s="287"/>
      <c r="O28" s="289">
        <f>IF(VLOOKUP(A28,每日销量追踪!$A$4:$CM$310,2,0)=1,VLOOKUP(A28,每日销量追踪!$A$4:$CM$310,15,0),(VLOOKUP(A28,每日销量追踪!$A$4:$CM$310,15,0)-VLOOKUP(A28-1,每日销量追踪!$A$4:$CM$310,15,0)))</f>
        <v>17101.231999999989</v>
      </c>
      <c r="P28" s="293">
        <v>1.2</v>
      </c>
      <c r="Q28" s="274">
        <f>'青岛 - 螺纹'!O27+'青岛 - 螺纹'!P27</f>
        <v>4700</v>
      </c>
      <c r="R28" s="297">
        <f>'青岛 - 盘螺'!O27+'青岛 - 盘螺'!P27</f>
        <v>5050</v>
      </c>
      <c r="S28" s="298">
        <f>'连云港 - 螺纹'!O27+'连云港 - 螺纹'!P27</f>
        <v>4590</v>
      </c>
      <c r="T28" s="299">
        <f>'连云港 - 盘螺'!O27+'连云港 - 盘螺'!P27</f>
        <v>4850</v>
      </c>
      <c r="U28" s="298">
        <f>'苏南 - 螺纹'!O27+'苏南 - 螺纹'!P27</f>
        <v>4890</v>
      </c>
      <c r="V28" s="299">
        <f>'苏南 - 盘螺'!O27+'苏南 - 盘螺'!P27</f>
        <v>5140</v>
      </c>
      <c r="W28" s="274">
        <f>'青岛 - 螺纹'!D27</f>
        <v>4638.8591155607237</v>
      </c>
      <c r="X28" s="297">
        <f>'青岛 - 盘螺'!D27</f>
        <v>4954.9077333333335</v>
      </c>
      <c r="Y28" s="298">
        <f>'连云港 - 螺纹'!D27</f>
        <v>4645.8320279172131</v>
      </c>
      <c r="Z28" s="299">
        <f>'连云港 - 盘螺'!D27</f>
        <v>4924.2113367309021</v>
      </c>
      <c r="AA28" s="298">
        <f>'苏南 - 螺纹'!D27</f>
        <v>4764.2797336842832</v>
      </c>
      <c r="AB28" s="299">
        <f>'苏南 - 盘螺'!D27</f>
        <v>4908.0377120337071</v>
      </c>
      <c r="AC28" s="274">
        <f>'青岛 - 螺纹'!B27</f>
        <v>4580</v>
      </c>
      <c r="AD28" s="297">
        <f>'青岛 - 盘螺'!B27</f>
        <v>4840</v>
      </c>
      <c r="AE28" s="298">
        <f>'连云港 - 螺纹'!B27</f>
        <v>4590</v>
      </c>
      <c r="AF28" s="299">
        <f>'连云港 - 盘螺'!B27</f>
        <v>4850</v>
      </c>
      <c r="AG28" s="298">
        <f>'苏南 - 螺纹'!B27</f>
        <v>4610</v>
      </c>
      <c r="AH28" s="299">
        <f>'苏南 - 盘螺'!B27</f>
        <v>4870</v>
      </c>
    </row>
    <row r="29" spans="1:36">
      <c r="A29" s="270">
        <v>44526</v>
      </c>
      <c r="B29" s="271">
        <f>'青岛 - 螺纹'!U28</f>
        <v>-227</v>
      </c>
      <c r="C29" s="272">
        <f>'青岛 - 螺纹'!S28</f>
        <v>4248</v>
      </c>
      <c r="D29" s="272">
        <f>'青岛 - 螺纹'!T28</f>
        <v>4475</v>
      </c>
      <c r="E29" s="273"/>
      <c r="F29" s="273"/>
      <c r="G29" s="273"/>
      <c r="H29" s="274">
        <f>'青岛 - 螺纹'!AE28+'青岛 - 盘螺'!AE28</f>
        <v>4223.7520000000004</v>
      </c>
      <c r="I29" s="284"/>
      <c r="J29" s="274">
        <f>'连云港 - 螺纹'!AE28+'连云港 - 盘螺'!AE28</f>
        <v>2915.0609999999997</v>
      </c>
      <c r="K29" s="284"/>
      <c r="L29" s="274">
        <f>'苏南 - 螺纹'!AE28+'苏南 - 盘螺'!AE28</f>
        <v>2769.3910000000001</v>
      </c>
      <c r="M29" s="284"/>
      <c r="N29" s="287">
        <v>7.08</v>
      </c>
      <c r="O29" s="289">
        <f>IF(VLOOKUP(A29,每日销量追踪!$A$4:$CM$310,2,0)=1,VLOOKUP(A29,每日销量追踪!$A$4:$CM$310,15,0),(VLOOKUP(A29,每日销量追踪!$A$4:$CM$310,15,0)-VLOOKUP(A29-1,每日销量追踪!$A$4:$CM$310,15,0)))</f>
        <v>17205.645999999993</v>
      </c>
      <c r="P29" s="293">
        <v>1.2</v>
      </c>
      <c r="Q29" s="274">
        <f>'青岛 - 螺纹'!O28+'青岛 - 螺纹'!P28</f>
        <v>4700</v>
      </c>
      <c r="R29" s="297">
        <f>'青岛 - 盘螺'!O28+'青岛 - 盘螺'!P28</f>
        <v>5050</v>
      </c>
      <c r="S29" s="298">
        <f>'连云港 - 螺纹'!O28+'连云港 - 螺纹'!P28</f>
        <v>4550</v>
      </c>
      <c r="T29" s="299">
        <f>'连云港 - 盘螺'!O28+'连云港 - 盘螺'!P28</f>
        <v>4850</v>
      </c>
      <c r="U29" s="298">
        <f>'苏南 - 螺纹'!O28+'苏南 - 螺纹'!P28</f>
        <v>4890</v>
      </c>
      <c r="V29" s="299">
        <f>'苏南 - 盘螺'!O28+'苏南 - 盘螺'!P28</f>
        <v>5140</v>
      </c>
      <c r="W29" s="274">
        <f>'青岛 - 螺纹'!D28</f>
        <v>4524.8155605660968</v>
      </c>
      <c r="X29" s="297">
        <f>'青岛 - 盘螺'!D28</f>
        <v>4855.3578508805558</v>
      </c>
      <c r="Y29" s="298">
        <f>'连云港 - 螺纹'!D28</f>
        <v>4500.2664467733912</v>
      </c>
      <c r="Z29" s="299">
        <f>'连云港 - 盘螺'!D28</f>
        <v>4794.6859637946591</v>
      </c>
      <c r="AA29" s="298">
        <f>'苏南 - 螺纹'!D28</f>
        <v>4642.3109752917007</v>
      </c>
      <c r="AB29" s="299">
        <f>'苏南 - 盘螺'!D28</f>
        <v>4786.8115209521384</v>
      </c>
      <c r="AC29" s="274">
        <f>'青岛 - 螺纹'!B28</f>
        <v>4560</v>
      </c>
      <c r="AD29" s="297">
        <f>'青岛 - 盘螺'!B28</f>
        <v>4820</v>
      </c>
      <c r="AE29" s="298">
        <f>'连云港 - 螺纹'!B28</f>
        <v>4570</v>
      </c>
      <c r="AF29" s="299">
        <f>'连云港 - 盘螺'!B28</f>
        <v>4830</v>
      </c>
      <c r="AG29" s="298">
        <f>'苏南 - 螺纹'!B28</f>
        <v>4590</v>
      </c>
      <c r="AH29" s="299">
        <f>'苏南 - 盘螺'!B28</f>
        <v>4850</v>
      </c>
      <c r="AJ29">
        <f>VLOOKUP(A29,每日销量追踪!$A$4:$CM$310,15,0)-VLOOKUP(A29-1,每日销量追踪!$A$4:$CM$310,15,0)</f>
        <v>17205.645999999993</v>
      </c>
    </row>
    <row r="30" spans="1:36">
      <c r="A30" s="270">
        <v>44527</v>
      </c>
      <c r="B30" s="271">
        <f>'青岛 - 螺纹'!U29</f>
        <v>-148</v>
      </c>
      <c r="C30" s="272">
        <f>'青岛 - 螺纹'!S29</f>
        <v>4100</v>
      </c>
      <c r="D30" s="272">
        <f>'青岛 - 螺纹'!T29</f>
        <v>4248</v>
      </c>
      <c r="E30" s="273"/>
      <c r="F30" s="273"/>
      <c r="G30" s="273"/>
      <c r="H30" s="274">
        <f>'青岛 - 螺纹'!AE29+'青岛 - 盘螺'!AE29</f>
        <v>3618.261</v>
      </c>
      <c r="I30" s="284"/>
      <c r="J30" s="274">
        <f>'连云港 - 螺纹'!AE29+'连云港 - 盘螺'!AE29</f>
        <v>2249.652</v>
      </c>
      <c r="K30" s="284"/>
      <c r="L30" s="274">
        <f>'苏南 - 螺纹'!AE29+'苏南 - 盘螺'!AE29</f>
        <v>2699.674</v>
      </c>
      <c r="M30" s="284"/>
      <c r="N30" s="287"/>
      <c r="O30" s="289">
        <f>IF(VLOOKUP(A30,每日销量追踪!$A$4:$CM$310,2,0)=1,VLOOKUP(A30,每日销量追踪!$A$4:$CM$310,15,0),(VLOOKUP(A30,每日销量追踪!$A$4:$CM$310,15,0)-VLOOKUP(A30-1,每日销量追踪!$A$4:$CM$310,15,0)))</f>
        <v>10155.990999999995</v>
      </c>
      <c r="P30" s="293">
        <v>1.2</v>
      </c>
      <c r="Q30" s="274">
        <f>'青岛 - 螺纹'!O29+'青岛 - 螺纹'!P29</f>
        <v>4700</v>
      </c>
      <c r="R30" s="297">
        <f>'青岛 - 盘螺'!O29+'青岛 - 盘螺'!P29</f>
        <v>5050</v>
      </c>
      <c r="S30" s="298">
        <f>'连云港 - 螺纹'!O29+'连云港 - 螺纹'!P29</f>
        <v>4550</v>
      </c>
      <c r="T30" s="299">
        <f>'连云港 - 盘螺'!O29+'连云港 - 盘螺'!P29</f>
        <v>4850</v>
      </c>
      <c r="U30" s="298">
        <f>'苏南 - 螺纹'!O29+'苏南 - 螺纹'!P29</f>
        <v>4890</v>
      </c>
      <c r="V30" s="299">
        <f>'苏南 - 盘螺'!O29+'苏南 - 盘螺'!P29</f>
        <v>5140</v>
      </c>
      <c r="W30" s="274">
        <f>'青岛 - 螺纹'!D29</f>
        <v>4533.2817077436493</v>
      </c>
      <c r="X30" s="297">
        <f>'青岛 - 盘螺'!D29</f>
        <v>4855.0455307619559</v>
      </c>
      <c r="Y30" s="298">
        <f>'连云港 - 螺纹'!D29</f>
        <v>4521.8455891330887</v>
      </c>
      <c r="Z30" s="299">
        <f>'连云港 - 盘螺'!D29</f>
        <v>4797.1913866326913</v>
      </c>
      <c r="AA30" s="298">
        <f>'苏南 - 螺纹'!D29</f>
        <v>4642.8350851429213</v>
      </c>
      <c r="AB30" s="299">
        <f>'苏南 - 盘螺'!D29</f>
        <v>4791.1871048393932</v>
      </c>
      <c r="AC30" s="274">
        <f>'青岛 - 螺纹'!B29</f>
        <v>4510</v>
      </c>
      <c r="AD30" s="297">
        <f>'青岛 - 盘螺'!B29</f>
        <v>4770</v>
      </c>
      <c r="AE30" s="298">
        <f>'连云港 - 螺纹'!B29</f>
        <v>4520</v>
      </c>
      <c r="AF30" s="299">
        <f>'连云港 - 盘螺'!B29</f>
        <v>4780</v>
      </c>
      <c r="AG30" s="298">
        <f>'苏南 - 螺纹'!B29</f>
        <v>4540</v>
      </c>
      <c r="AH30" s="299">
        <f>'苏南 - 盘螺'!B29</f>
        <v>4800</v>
      </c>
    </row>
    <row r="31" spans="1:36">
      <c r="A31" s="270">
        <v>44528</v>
      </c>
      <c r="B31" s="271">
        <f>'青岛 - 螺纹'!U30</f>
        <v>0</v>
      </c>
      <c r="C31" s="272">
        <f>'青岛 - 螺纹'!S30</f>
        <v>4100</v>
      </c>
      <c r="D31" s="272">
        <f>'青岛 - 螺纹'!T30</f>
        <v>4100</v>
      </c>
      <c r="E31" s="273"/>
      <c r="F31" s="273"/>
      <c r="G31" s="273"/>
      <c r="H31" s="274">
        <f>'青岛 - 螺纹'!AE30+'青岛 - 盘螺'!AE30</f>
        <v>1966.7370000000001</v>
      </c>
      <c r="I31" s="284"/>
      <c r="J31" s="274">
        <f>'连云港 - 螺纹'!AE30+'连云港 - 盘螺'!AE30</f>
        <v>1886.2170000000001</v>
      </c>
      <c r="K31" s="284"/>
      <c r="L31" s="274">
        <f>'苏南 - 螺纹'!AE30+'苏南 - 盘螺'!AE30</f>
        <v>1494.788</v>
      </c>
      <c r="M31" s="284"/>
      <c r="N31" s="287">
        <v>8.0399999999999991</v>
      </c>
      <c r="O31" s="289">
        <f>IF(VLOOKUP(A31,每日销量追踪!$A$4:$CM$310,2,0)=1,VLOOKUP(A31,每日销量追踪!$A$4:$CM$310,15,0),(VLOOKUP(A31,每日销量追踪!$A$4:$CM$310,15,0)-VLOOKUP(A31-1,每日销量追踪!$A$4:$CM$310,15,0)))</f>
        <v>6890.4979999999778</v>
      </c>
      <c r="P31" s="293">
        <v>1.2</v>
      </c>
      <c r="Q31" s="274">
        <f>'青岛 - 螺纹'!O30+'青岛 - 螺纹'!P30</f>
        <v>4700</v>
      </c>
      <c r="R31" s="297">
        <f>'青岛 - 盘螺'!O30+'青岛 - 盘螺'!P30</f>
        <v>5050</v>
      </c>
      <c r="S31" s="298">
        <f>'连云港 - 螺纹'!O30+'连云港 - 螺纹'!P30</f>
        <v>4550</v>
      </c>
      <c r="T31" s="299">
        <f>'连云港 - 盘螺'!O30+'连云港 - 盘螺'!P30</f>
        <v>4800</v>
      </c>
      <c r="U31" s="298">
        <f>'苏南 - 螺纹'!O30+'苏南 - 螺纹'!P30</f>
        <v>4890</v>
      </c>
      <c r="V31" s="299">
        <f>'苏南 - 盘螺'!O30+'苏南 - 盘螺'!P30</f>
        <v>5140</v>
      </c>
      <c r="W31" s="274">
        <f>'青岛 - 螺纹'!D30</f>
        <v>4544.8329478740434</v>
      </c>
      <c r="X31" s="297">
        <f>'青岛 - 盘螺'!D30</f>
        <v>4870.4386166705008</v>
      </c>
      <c r="Y31" s="298">
        <f>'连云港 - 螺纹'!D30</f>
        <v>4530.1453913370578</v>
      </c>
      <c r="Z31" s="299">
        <f>'连云港 - 盘螺'!D30</f>
        <v>4772.4729808838501</v>
      </c>
      <c r="AA31" s="298">
        <f>'苏南 - 螺纹'!D30</f>
        <v>4651.4915118978315</v>
      </c>
      <c r="AB31" s="299">
        <f>'苏南 - 盘螺'!D30</f>
        <v>4804.0612023581134</v>
      </c>
      <c r="AC31" s="274">
        <f>'青岛 - 螺纹'!B30</f>
        <v>4511</v>
      </c>
      <c r="AD31" s="297">
        <f>'青岛 - 盘螺'!B30</f>
        <v>4770</v>
      </c>
      <c r="AE31" s="298">
        <f>'连云港 - 螺纹'!B30</f>
        <v>4520</v>
      </c>
      <c r="AF31" s="299">
        <f>'连云港 - 盘螺'!B30</f>
        <v>4780</v>
      </c>
      <c r="AG31" s="298">
        <f>'苏南 - 螺纹'!B30</f>
        <v>4540</v>
      </c>
      <c r="AH31" s="299">
        <f>'苏南 - 盘螺'!B30</f>
        <v>4800</v>
      </c>
    </row>
    <row r="32" spans="1:36">
      <c r="A32" s="270">
        <v>44529</v>
      </c>
      <c r="B32" s="271">
        <f>'青岛 - 螺纹'!U31</f>
        <v>-45</v>
      </c>
      <c r="C32" s="272">
        <f>'青岛 - 螺纹'!S31</f>
        <v>4055</v>
      </c>
      <c r="D32" s="272">
        <f>'青岛 - 螺纹'!T31</f>
        <v>4100</v>
      </c>
      <c r="E32" s="273"/>
      <c r="F32" s="273"/>
      <c r="G32" s="273"/>
      <c r="H32" s="274">
        <f>'青岛 - 螺纹'!AE31+'青岛 - 盘螺'!AE31</f>
        <v>7596.9800000000005</v>
      </c>
      <c r="I32" s="284"/>
      <c r="J32" s="274">
        <f>'连云港 - 螺纹'!AE31+'连云港 - 盘螺'!AE31</f>
        <v>8440.6540000000005</v>
      </c>
      <c r="K32" s="284"/>
      <c r="L32" s="274">
        <f>'苏南 - 螺纹'!AE31+'苏南 - 盘螺'!AE31</f>
        <v>8090.8279999999995</v>
      </c>
      <c r="M32" s="284"/>
      <c r="N32" s="287">
        <v>9.18</v>
      </c>
      <c r="O32" s="289">
        <f>IF(VLOOKUP(A32,每日销量追踪!$A$4:$CM$310,2,0)=1,VLOOKUP(A32,每日销量追踪!$A$4:$CM$310,15,0),(VLOOKUP(A32,每日销量追踪!$A$4:$CM$310,15,0)-VLOOKUP(A32-1,每日销量追踪!$A$4:$CM$310,15,0)))</f>
        <v>37230.222999999998</v>
      </c>
      <c r="P32" s="293">
        <v>1.2</v>
      </c>
      <c r="Q32" s="274">
        <f>'青岛 - 螺纹'!O31+'青岛 - 螺纹'!P31</f>
        <v>4700</v>
      </c>
      <c r="R32" s="297">
        <f>'青岛 - 盘螺'!O31+'青岛 - 盘螺'!P31</f>
        <v>5050</v>
      </c>
      <c r="S32" s="298">
        <f>'连云港 - 螺纹'!O31+'连云港 - 螺纹'!P31</f>
        <v>4550</v>
      </c>
      <c r="T32" s="299">
        <f>'连云港 - 盘螺'!O31+'连云港 - 盘螺'!P31</f>
        <v>4800</v>
      </c>
      <c r="U32" s="298">
        <f>'苏南 - 螺纹'!O31+'苏南 - 螺纹'!P31</f>
        <v>4890</v>
      </c>
      <c r="V32" s="299">
        <f>'苏南 - 盘螺'!O31+'苏南 - 盘螺'!P31</f>
        <v>5140</v>
      </c>
      <c r="W32" s="274">
        <f>'青岛 - 螺纹'!D31</f>
        <v>4530.8647796780015</v>
      </c>
      <c r="X32" s="297">
        <f>'青岛 - 盘螺'!D31</f>
        <v>4853.2924238938731</v>
      </c>
      <c r="Y32" s="298">
        <f>'连云港 - 螺纹'!D31</f>
        <v>4515.5363524849636</v>
      </c>
      <c r="Z32" s="299">
        <f>'连云港 - 盘螺'!D31</f>
        <v>4774.2961520765866</v>
      </c>
      <c r="AA32" s="298">
        <f>'苏南 - 螺纹'!D31</f>
        <v>4635.6135177427896</v>
      </c>
      <c r="AB32" s="299">
        <f>'苏南 - 盘螺'!D31</f>
        <v>4788.0885718725158</v>
      </c>
      <c r="AC32" s="274">
        <f>'青岛 - 螺纹'!B31</f>
        <v>4480</v>
      </c>
      <c r="AD32" s="297">
        <f>'青岛 - 盘螺'!B31</f>
        <v>4740</v>
      </c>
      <c r="AE32" s="298">
        <f>'连云港 - 螺纹'!B31</f>
        <v>4490</v>
      </c>
      <c r="AF32" s="299">
        <f>'连云港 - 盘螺'!B31</f>
        <v>4750</v>
      </c>
      <c r="AG32" s="298">
        <f>'苏南 - 螺纹'!B31</f>
        <v>4510</v>
      </c>
      <c r="AH32" s="299">
        <f>'苏南 - 盘螺'!B31</f>
        <v>4770</v>
      </c>
    </row>
    <row r="33" spans="1:34">
      <c r="A33" s="270">
        <v>44530</v>
      </c>
      <c r="B33" s="271">
        <f>'青岛 - 螺纹'!U32</f>
        <v>105</v>
      </c>
      <c r="C33" s="272">
        <f>'青岛 - 螺纹'!S32</f>
        <v>4160</v>
      </c>
      <c r="D33" s="272">
        <f>'青岛 - 螺纹'!T32</f>
        <v>4055</v>
      </c>
      <c r="E33" s="273"/>
      <c r="F33" s="273"/>
      <c r="G33" s="273"/>
      <c r="H33" s="274">
        <f>'青岛 - 螺纹'!AE32+'青岛 - 盘螺'!AE32</f>
        <v>5564.9589999999998</v>
      </c>
      <c r="I33" s="284"/>
      <c r="J33" s="274">
        <f>'连云港 - 螺纹'!AE32+'连云港 - 盘螺'!AE32</f>
        <v>3687.0950000000003</v>
      </c>
      <c r="K33" s="284"/>
      <c r="L33" s="274">
        <f>'苏南 - 螺纹'!AE32+'苏南 - 盘螺'!AE32</f>
        <v>3993.08</v>
      </c>
      <c r="M33" s="284"/>
      <c r="N33" s="287">
        <v>6.77</v>
      </c>
      <c r="O33" s="289">
        <f>IF(VLOOKUP(A33,每日销量追踪!$A$4:$CM$310,2,0)=1,VLOOKUP(A33,每日销量追踪!$A$4:$CM$310,15,0),(VLOOKUP(A33,每日销量追踪!$A$4:$CM$310,15,0)-VLOOKUP(A33-1,每日销量追踪!$A$4:$CM$310,15,0)))</f>
        <v>15169.839</v>
      </c>
      <c r="P33" s="293">
        <v>1.2</v>
      </c>
      <c r="Q33" s="274">
        <f>'青岛 - 螺纹'!O32+'青岛 - 螺纹'!P32</f>
        <v>4700</v>
      </c>
      <c r="R33" s="297">
        <f>'青岛 - 盘螺'!O32+'青岛 - 盘螺'!P32</f>
        <v>5050</v>
      </c>
      <c r="S33" s="298">
        <f>'连云港 - 螺纹'!O32+'连云港 - 螺纹'!P32</f>
        <v>4510</v>
      </c>
      <c r="T33" s="299">
        <f>'连云港 - 盘螺'!O32+'连云港 - 盘螺'!P32</f>
        <v>4750</v>
      </c>
      <c r="U33" s="298">
        <f>'苏南 - 螺纹'!O32+'苏南 - 螺纹'!P32</f>
        <v>4890</v>
      </c>
      <c r="V33" s="299">
        <f>'苏南 - 盘螺'!O32+'苏南 - 盘螺'!P32</f>
        <v>5140</v>
      </c>
      <c r="W33" s="274">
        <f>'青岛 - 螺纹'!D32</f>
        <v>4558.4390998673307</v>
      </c>
      <c r="X33" s="297">
        <f>'青岛 - 盘螺'!D32</f>
        <v>4874.6597312748681</v>
      </c>
      <c r="Y33" s="298">
        <f>'连云港 - 螺纹'!D32</f>
        <v>4503.2575082153789</v>
      </c>
      <c r="Z33" s="299">
        <f>'连云港 - 盘螺'!D32</f>
        <v>4792.1158332006162</v>
      </c>
      <c r="AA33" s="298">
        <f>'苏南 - 螺纹'!D32</f>
        <v>4660.2447550034503</v>
      </c>
      <c r="AB33" s="299">
        <f>'苏南 - 盘螺'!D32</f>
        <v>4818.1581276056486</v>
      </c>
      <c r="AC33" s="274">
        <f>'青岛 - 螺纹'!B32</f>
        <v>4480</v>
      </c>
      <c r="AD33" s="297">
        <f>'青岛 - 盘螺'!B32</f>
        <v>4740</v>
      </c>
      <c r="AE33" s="298">
        <f>'连云港 - 螺纹'!B32</f>
        <v>4490</v>
      </c>
      <c r="AF33" s="299">
        <f>'连云港 - 盘螺'!B32</f>
        <v>4750</v>
      </c>
      <c r="AG33" s="298">
        <f>'苏南 - 螺纹'!B32</f>
        <v>4510</v>
      </c>
      <c r="AH33" s="299">
        <f>'苏南 - 盘螺'!B32</f>
        <v>4770</v>
      </c>
    </row>
    <row r="34" spans="1:34">
      <c r="A34" s="270">
        <v>44531</v>
      </c>
      <c r="B34" s="271">
        <f>'青岛 - 螺纹'!U33</f>
        <v>38</v>
      </c>
      <c r="C34" s="272">
        <f>'青岛 - 螺纹'!S33</f>
        <v>4198</v>
      </c>
      <c r="D34" s="272">
        <f>'青岛 - 螺纹'!T33</f>
        <v>4160</v>
      </c>
      <c r="E34" s="273"/>
      <c r="F34" s="273"/>
      <c r="G34" s="273"/>
      <c r="H34" s="274">
        <f>'青岛 - 螺纹'!AE33+'青岛 - 盘螺'!AE33</f>
        <v>9441.4609999999993</v>
      </c>
      <c r="I34" s="284"/>
      <c r="J34" s="274">
        <f>'连云港 - 螺纹'!AE33+'连云港 - 盘螺'!AE33</f>
        <v>22671.123</v>
      </c>
      <c r="K34" s="284"/>
      <c r="L34" s="274">
        <f>'苏南 - 螺纹'!AE33+'苏南 - 盘螺'!AE33</f>
        <v>11921.225000000002</v>
      </c>
      <c r="M34" s="284"/>
      <c r="N34" s="287">
        <v>7.18</v>
      </c>
      <c r="O34" s="289">
        <f>IF(VLOOKUP(A34,每日销量追踪!$A$4:$CM$310,2,0)=1,VLOOKUP(A34,每日销量追踪!$A$4:$CM$310,15,0),(VLOOKUP(A34,每日销量追踪!$A$4:$CM$310,15,0)-VLOOKUP(A34-1,每日销量追踪!$A$4:$CM$310,15,0)))</f>
        <v>52996.332000000002</v>
      </c>
      <c r="P34" s="293">
        <v>1.2</v>
      </c>
      <c r="Q34" s="274">
        <f>'青岛 - 螺纹'!O33+'青岛 - 螺纹'!P33</f>
        <v>4700</v>
      </c>
      <c r="R34" s="297">
        <f>'青岛 - 盘螺'!O33+'青岛 - 盘螺'!P33</f>
        <v>5050</v>
      </c>
      <c r="S34" s="298">
        <f>'连云港 - 螺纹'!O33+'连云港 - 螺纹'!P33</f>
        <v>4510</v>
      </c>
      <c r="T34" s="299">
        <f>'连云港 - 盘螺'!O33+'连云港 - 盘螺'!P33</f>
        <v>4750</v>
      </c>
      <c r="U34" s="298">
        <f>'苏南 - 螺纹'!O33+'苏南 - 螺纹'!P33</f>
        <v>4920</v>
      </c>
      <c r="V34" s="299">
        <f>'苏南 - 盘螺'!O33+'苏南 - 盘螺'!P33</f>
        <v>5270</v>
      </c>
      <c r="W34" s="274">
        <f>'青岛 - 螺纹'!D33</f>
        <v>4533.5608625930026</v>
      </c>
      <c r="X34" s="297">
        <f>'青岛 - 盘螺'!D33</f>
        <v>4840.4269534544901</v>
      </c>
      <c r="Y34" s="298">
        <f>'连云港 - 螺纹'!D33</f>
        <v>4487.9380598610924</v>
      </c>
      <c r="Z34" s="299">
        <f>'连云港 - 盘螺'!D33</f>
        <v>4767.4803002955177</v>
      </c>
      <c r="AA34" s="298">
        <f>'苏南 - 螺纹'!D33</f>
        <v>4648.0397199886584</v>
      </c>
      <c r="AB34" s="299">
        <f>'苏南 - 盘螺'!D33</f>
        <v>4873.1038901601833</v>
      </c>
      <c r="AC34" s="274">
        <f>'青岛 - 螺纹'!B33</f>
        <v>4520</v>
      </c>
      <c r="AD34" s="297">
        <f>'青岛 - 盘螺'!B33</f>
        <v>4760</v>
      </c>
      <c r="AE34" s="298">
        <f>'连云港 - 螺纹'!B33</f>
        <v>4530</v>
      </c>
      <c r="AF34" s="299">
        <f>'连云港 - 盘螺'!B33</f>
        <v>4770</v>
      </c>
      <c r="AG34" s="298">
        <f>'苏南 - 螺纹'!B33</f>
        <v>4560</v>
      </c>
      <c r="AH34" s="299">
        <f>'苏南 - 盘螺'!B33</f>
        <v>4790</v>
      </c>
    </row>
    <row r="35" spans="1:34">
      <c r="A35" s="270">
        <v>44532</v>
      </c>
      <c r="B35" s="271">
        <f>'青岛 - 螺纹'!U34</f>
        <v>117</v>
      </c>
      <c r="C35" s="272">
        <f>'青岛 - 螺纹'!S34</f>
        <v>4315</v>
      </c>
      <c r="D35" s="272">
        <f>'青岛 - 螺纹'!T34</f>
        <v>4198</v>
      </c>
      <c r="E35" s="273"/>
      <c r="F35" s="273"/>
      <c r="G35" s="273"/>
      <c r="H35" s="274">
        <f>'青岛 - 螺纹'!AE34+'青岛 - 盘螺'!AE34</f>
        <v>3252.0639999999999</v>
      </c>
      <c r="I35" s="284"/>
      <c r="J35" s="274">
        <f>'连云港 - 螺纹'!AE34+'连云港 - 盘螺'!AE34</f>
        <v>1069.5619999999999</v>
      </c>
      <c r="K35" s="284"/>
      <c r="L35" s="274">
        <f>'苏南 - 螺纹'!AE34+'苏南 - 盘螺'!AE34</f>
        <v>1823.748</v>
      </c>
      <c r="M35" s="284"/>
      <c r="N35" s="287">
        <v>3.66</v>
      </c>
      <c r="O35" s="289">
        <f>IF(VLOOKUP(A35,每日销量追踪!$A$4:$CM$310,2,0)=1,VLOOKUP(A35,每日销量追踪!$A$4:$CM$310,15,0),(VLOOKUP(A35,每日销量追踪!$A$4:$CM$310,15,0)-VLOOKUP(A35-1,每日销量追踪!$A$4:$CM$310,15,0)))</f>
        <v>12751.962</v>
      </c>
      <c r="P35" s="293">
        <v>1.2</v>
      </c>
      <c r="Q35" s="274">
        <f>'青岛 - 螺纹'!O34+'青岛 - 螺纹'!P34</f>
        <v>4700</v>
      </c>
      <c r="R35" s="297">
        <f>'青岛 - 盘螺'!O34+'青岛 - 盘螺'!P34</f>
        <v>5050</v>
      </c>
      <c r="S35" s="298">
        <f>'连云港 - 螺纹'!O34+'连云港 - 螺纹'!P34</f>
        <v>4550</v>
      </c>
      <c r="T35" s="299">
        <f>'连云港 - 盘螺'!O34+'连云港 - 盘螺'!P34</f>
        <v>4770</v>
      </c>
      <c r="U35" s="298">
        <f>'苏南 - 螺纹'!O34+'苏南 - 螺纹'!P34</f>
        <v>4920</v>
      </c>
      <c r="V35" s="299">
        <f>'苏南 - 盘螺'!O34+'苏南 - 盘螺'!P34</f>
        <v>5270</v>
      </c>
      <c r="W35" s="274">
        <f>'青岛 - 螺纹'!D34</f>
        <v>4586.0919348146472</v>
      </c>
      <c r="X35" s="297">
        <f>'青岛 - 盘螺'!D34</f>
        <v>4894.8598443086903</v>
      </c>
      <c r="Y35" s="298">
        <f>'连云港 - 螺纹'!D34</f>
        <v>4594.9359881316668</v>
      </c>
      <c r="Z35" s="299">
        <f>'连云港 - 盘螺'!D34</f>
        <v>4867</v>
      </c>
      <c r="AA35" s="298">
        <f>'苏南 - 螺纹'!D34</f>
        <v>4706.3595288473025</v>
      </c>
      <c r="AB35" s="299">
        <f>'苏南 - 盘螺'!D34</f>
        <v>4879.5002277567237</v>
      </c>
      <c r="AC35" s="274">
        <f>'青岛 - 螺纹'!B34</f>
        <v>4520</v>
      </c>
      <c r="AD35" s="297">
        <f>'青岛 - 盘螺'!B34</f>
        <v>4760</v>
      </c>
      <c r="AE35" s="298">
        <f>'连云港 - 螺纹'!B34</f>
        <v>4530</v>
      </c>
      <c r="AF35" s="299">
        <f>'连云港 - 盘螺'!B34</f>
        <v>4770</v>
      </c>
      <c r="AG35" s="298">
        <f>'苏南 - 螺纹'!B34</f>
        <v>4560</v>
      </c>
      <c r="AH35" s="299">
        <f>'苏南 - 盘螺'!B34</f>
        <v>4790</v>
      </c>
    </row>
    <row r="36" spans="1:34">
      <c r="A36" s="270">
        <v>44533</v>
      </c>
      <c r="B36" s="271">
        <f>'青岛 - 螺纹'!U35</f>
        <v>-25</v>
      </c>
      <c r="C36" s="272">
        <f>'青岛 - 螺纹'!S35</f>
        <v>4290</v>
      </c>
      <c r="D36" s="272">
        <f>'青岛 - 螺纹'!T35</f>
        <v>4315</v>
      </c>
      <c r="E36" s="273"/>
      <c r="F36" s="273"/>
      <c r="G36" s="273"/>
      <c r="H36" s="274">
        <f>'青岛 - 螺纹'!AE35+'青岛 - 盘螺'!AE35</f>
        <v>6163.5</v>
      </c>
      <c r="I36" s="284"/>
      <c r="J36" s="274">
        <f>'连云港 - 螺纹'!AE35+'连云港 - 盘螺'!AE35</f>
        <v>11379.884999999998</v>
      </c>
      <c r="K36" s="284"/>
      <c r="L36" s="274">
        <f>'苏南 - 螺纹'!AE35+'苏南 - 盘螺'!AE35</f>
        <v>10510.181</v>
      </c>
      <c r="M36" s="284"/>
      <c r="N36" s="287">
        <v>4.2</v>
      </c>
      <c r="O36" s="289">
        <f>IF(VLOOKUP(A36,每日销量追踪!$A$4:$CM$310,2,0)=1,VLOOKUP(A36,每日销量追踪!$A$4:$CM$310,15,0),(VLOOKUP(A36,每日销量追踪!$A$4:$CM$310,15,0)-VLOOKUP(A36-1,每日销量追踪!$A$4:$CM$310,15,0)))</f>
        <v>30544.222000000009</v>
      </c>
      <c r="P36" s="293">
        <v>1.2</v>
      </c>
      <c r="Q36" s="274">
        <f>'青岛 - 螺纹'!O35+'青岛 - 螺纹'!P35</f>
        <v>4670</v>
      </c>
      <c r="R36" s="297">
        <f>'青岛 - 盘螺'!O35+'青岛 - 盘螺'!P35</f>
        <v>5020</v>
      </c>
      <c r="S36" s="298">
        <f>'连云港 - 螺纹'!O35+'连云港 - 螺纹'!P35</f>
        <v>4590</v>
      </c>
      <c r="T36" s="299">
        <f>'连云港 - 盘螺'!O35+'连云港 - 盘螺'!P35</f>
        <v>4790</v>
      </c>
      <c r="U36" s="298">
        <f>'苏南 - 螺纹'!O35+'苏南 - 螺纹'!P35</f>
        <v>4920</v>
      </c>
      <c r="V36" s="299">
        <f>'苏南 - 盘螺'!O35+'苏南 - 盘螺'!P35</f>
        <v>5270</v>
      </c>
      <c r="W36" s="274">
        <f>'青岛 - 螺纹'!D35</f>
        <v>4519.646258810345</v>
      </c>
      <c r="X36" s="297">
        <f>'青岛 - 盘螺'!D35</f>
        <v>4826.0942528575379</v>
      </c>
      <c r="Y36" s="298">
        <f>'连云港 - 螺纹'!D35</f>
        <v>4555.735842809454</v>
      </c>
      <c r="Z36" s="299">
        <f>'连云港 - 盘螺'!D35</f>
        <v>4812.0370050239617</v>
      </c>
      <c r="AA36" s="298">
        <f>'苏南 - 螺纹'!D35</f>
        <v>4655.0848555977218</v>
      </c>
      <c r="AB36" s="299">
        <f>'苏南 - 盘螺'!D35</f>
        <v>4831.3686152139244</v>
      </c>
      <c r="AC36" s="274">
        <f>'青岛 - 螺纹'!B35</f>
        <v>4550</v>
      </c>
      <c r="AD36" s="297">
        <f>'青岛 - 盘螺'!B35</f>
        <v>4790</v>
      </c>
      <c r="AE36" s="298">
        <f>'连云港 - 螺纹'!B35</f>
        <v>4560</v>
      </c>
      <c r="AF36" s="299">
        <f>'连云港 - 盘螺'!B35</f>
        <v>4800</v>
      </c>
      <c r="AG36" s="298">
        <f>'苏南 - 螺纹'!B35</f>
        <v>4590</v>
      </c>
      <c r="AH36" s="299">
        <f>'苏南 - 盘螺'!B35</f>
        <v>4820</v>
      </c>
    </row>
    <row r="37" spans="1:34">
      <c r="A37" s="270">
        <v>44534</v>
      </c>
      <c r="B37" s="271">
        <f>'青岛 - 螺纹'!U36</f>
        <v>137</v>
      </c>
      <c r="C37" s="272">
        <f>'青岛 - 螺纹'!S36</f>
        <v>4427</v>
      </c>
      <c r="D37" s="272">
        <f>'青岛 - 螺纹'!T36</f>
        <v>4290</v>
      </c>
      <c r="E37" s="273"/>
      <c r="F37" s="273"/>
      <c r="G37" s="273"/>
      <c r="H37" s="274">
        <f>'青岛 - 螺纹'!AE36+'青岛 - 盘螺'!AE36</f>
        <v>4363.2340000000004</v>
      </c>
      <c r="I37" s="284"/>
      <c r="J37" s="274">
        <f>'连云港 - 螺纹'!AE36+'连云港 - 盘螺'!AE36</f>
        <v>2777.1930000000002</v>
      </c>
      <c r="K37" s="284"/>
      <c r="L37" s="274">
        <f>'苏南 - 螺纹'!AE36+'苏南 - 盘螺'!AE36</f>
        <v>2612.1579999999999</v>
      </c>
      <c r="M37" s="284"/>
      <c r="N37" s="287">
        <v>2.7</v>
      </c>
      <c r="O37" s="289">
        <f>IF(VLOOKUP(A37,每日销量追踪!$A$4:$CM$310,2,0)=1,VLOOKUP(A37,每日销量追踪!$A$4:$CM$310,15,0),(VLOOKUP(A37,每日销量追踪!$A$4:$CM$310,15,0)-VLOOKUP(A37-1,每日销量追踪!$A$4:$CM$310,15,0)))</f>
        <v>15810.440999999992</v>
      </c>
      <c r="P37" s="293">
        <v>1.2</v>
      </c>
      <c r="Q37" s="274">
        <f>'青岛 - 螺纹'!O36+'青岛 - 螺纹'!P36</f>
        <v>4700</v>
      </c>
      <c r="R37" s="297">
        <f>'青岛 - 盘螺'!O36+'青岛 - 盘螺'!P36</f>
        <v>5050</v>
      </c>
      <c r="S37" s="298">
        <f>'连云港 - 螺纹'!O36+'连云港 - 螺纹'!P36</f>
        <v>4630</v>
      </c>
      <c r="T37" s="299">
        <f>'连云港 - 盘螺'!O36+'连云港 - 盘螺'!P36</f>
        <v>4820</v>
      </c>
      <c r="U37" s="298">
        <f>'苏南 - 螺纹'!O36+'苏南 - 螺纹'!P36</f>
        <v>4920</v>
      </c>
      <c r="V37" s="299">
        <f>'苏南 - 盘螺'!O36+'苏南 - 盘螺'!P36</f>
        <v>5270</v>
      </c>
      <c r="W37" s="274">
        <f>'青岛 - 螺纹'!D36</f>
        <v>4619.9440612725903</v>
      </c>
      <c r="X37" s="297">
        <f>'青岛 - 盘螺'!D36</f>
        <v>4932.7937243289898</v>
      </c>
      <c r="Y37" s="298">
        <f>'连云港 - 螺纹'!D36</f>
        <v>4645.8661125851831</v>
      </c>
      <c r="Z37" s="299">
        <f>'连云港 - 盘螺'!D36</f>
        <v>4904.7598874555397</v>
      </c>
      <c r="AA37" s="298">
        <f>'苏南 - 螺纹'!D36</f>
        <v>4735.2668322240615</v>
      </c>
      <c r="AB37" s="299">
        <f>'苏南 - 盘螺'!D36</f>
        <v>4907.2756865221399</v>
      </c>
      <c r="AC37" s="274">
        <f>'青岛 - 螺纹'!B36</f>
        <v>4580</v>
      </c>
      <c r="AD37" s="297">
        <f>'青岛 - 盘螺'!B36</f>
        <v>4820</v>
      </c>
      <c r="AE37" s="298">
        <f>'连云港 - 螺纹'!B36</f>
        <v>4590</v>
      </c>
      <c r="AF37" s="299">
        <f>'连云港 - 盘螺'!B36</f>
        <v>4830</v>
      </c>
      <c r="AG37" s="298">
        <f>'苏南 - 螺纹'!B36</f>
        <v>4620</v>
      </c>
      <c r="AH37" s="299">
        <f>'苏南 - 盘螺'!B36</f>
        <v>4850</v>
      </c>
    </row>
    <row r="38" spans="1:34">
      <c r="A38" s="270">
        <v>44535</v>
      </c>
      <c r="B38" s="271">
        <f>'青岛 - 螺纹'!U37</f>
        <v>-19</v>
      </c>
      <c r="C38" s="272">
        <f>'青岛 - 螺纹'!S37</f>
        <v>4408</v>
      </c>
      <c r="D38" s="272">
        <f>'青岛 - 螺纹'!T37</f>
        <v>4427</v>
      </c>
      <c r="E38" s="273"/>
      <c r="F38" s="273"/>
      <c r="G38" s="273"/>
      <c r="H38" s="274">
        <f>'青岛 - 螺纹'!AE37+'青岛 - 盘螺'!AE37</f>
        <v>2640.7780000000002</v>
      </c>
      <c r="I38" s="284"/>
      <c r="J38" s="274">
        <f>'连云港 - 螺纹'!AE37+'连云港 - 盘螺'!AE37</f>
        <v>2036.5160000000001</v>
      </c>
      <c r="K38" s="284"/>
      <c r="L38" s="274">
        <f>'苏南 - 螺纹'!AE37+'苏南 - 盘螺'!AE37</f>
        <v>569.45000000000005</v>
      </c>
      <c r="M38" s="284"/>
      <c r="N38" s="287">
        <v>2.72</v>
      </c>
      <c r="O38" s="289">
        <f>IF(VLOOKUP(A38,每日销量追踪!$A$4:$CM$310,2,0)=1,VLOOKUP(A38,每日销量追踪!$A$4:$CM$310,15,0),(VLOOKUP(A38,每日销量追踪!$A$4:$CM$310,15,0)-VLOOKUP(A38-1,每日销量追踪!$A$4:$CM$310,15,0)))</f>
        <v>6704.0799999999872</v>
      </c>
      <c r="P38" s="293">
        <v>1.2</v>
      </c>
      <c r="Q38" s="274">
        <f>'青岛 - 螺纹'!O37+'青岛 - 螺纹'!P37</f>
        <v>4680</v>
      </c>
      <c r="R38" s="297">
        <f>'青岛 - 盘螺'!O37+'青岛 - 盘螺'!P37</f>
        <v>5030</v>
      </c>
      <c r="S38" s="298">
        <f>'连云港 - 螺纹'!O37+'连云港 - 螺纹'!P37</f>
        <v>4630</v>
      </c>
      <c r="T38" s="299">
        <f>'连云港 - 盘螺'!O37+'连云港 - 盘螺'!P37</f>
        <v>4820</v>
      </c>
      <c r="U38" s="298">
        <f>'苏南 - 螺纹'!O37+'苏南 - 螺纹'!P37</f>
        <v>4970</v>
      </c>
      <c r="V38" s="299">
        <f>'苏南 - 盘螺'!O37+'苏南 - 盘螺'!P37</f>
        <v>5320</v>
      </c>
      <c r="W38" s="274">
        <f>'青岛 - 螺纹'!D37</f>
        <v>4569.7790966912871</v>
      </c>
      <c r="X38" s="297">
        <f>'青岛 - 盘螺'!D37</f>
        <v>4887.4147772044944</v>
      </c>
      <c r="Y38" s="298">
        <f>'连云港 - 螺纹'!D37</f>
        <v>4604.6673249736741</v>
      </c>
      <c r="Z38" s="299">
        <f>'连云港 - 盘螺'!D37</f>
        <v>4864.3013895524764</v>
      </c>
      <c r="AA38" s="298">
        <f>'苏南 - 螺纹'!D37</f>
        <v>4740.6529043973505</v>
      </c>
      <c r="AB38" s="299">
        <f>'苏南 - 盘螺'!D37</f>
        <v>4916.2262914013809</v>
      </c>
      <c r="AC38" s="274">
        <f>'青岛 - 螺纹'!B37</f>
        <v>4600</v>
      </c>
      <c r="AD38" s="297">
        <f>'青岛 - 盘螺'!B37</f>
        <v>4830</v>
      </c>
      <c r="AE38" s="298">
        <f>'连云港 - 螺纹'!B37</f>
        <v>4610</v>
      </c>
      <c r="AF38" s="299">
        <f>'连云港 - 盘螺'!B37</f>
        <v>4840</v>
      </c>
      <c r="AG38" s="298">
        <f>'苏南 - 螺纹'!B37</f>
        <v>4640</v>
      </c>
      <c r="AH38" s="299">
        <f>'苏南 - 盘螺'!B37</f>
        <v>4860</v>
      </c>
    </row>
    <row r="39" spans="1:34">
      <c r="A39" s="270">
        <v>44536</v>
      </c>
      <c r="B39" s="271">
        <f>'青岛 - 螺纹'!U38</f>
        <v>0</v>
      </c>
      <c r="C39" s="272">
        <f>'青岛 - 螺纹'!S38</f>
        <v>4408</v>
      </c>
      <c r="D39" s="272">
        <f>'青岛 - 螺纹'!T38</f>
        <v>4408</v>
      </c>
      <c r="E39" s="273"/>
      <c r="F39" s="273"/>
      <c r="G39" s="273"/>
      <c r="H39" s="274">
        <f>'青岛 - 螺纹'!AE38+'青岛 - 盘螺'!AE38</f>
        <v>0</v>
      </c>
      <c r="I39" s="284"/>
      <c r="J39" s="274">
        <f>'连云港 - 螺纹'!AE38+'连云港 - 盘螺'!AE38</f>
        <v>0</v>
      </c>
      <c r="K39" s="284"/>
      <c r="L39" s="274">
        <f>'苏南 - 螺纹'!AE38+'苏南 - 盘螺'!AE38</f>
        <v>0</v>
      </c>
      <c r="M39" s="284"/>
      <c r="N39" s="287"/>
      <c r="O39" s="289">
        <f>IF(VLOOKUP(A39,每日销量追踪!$A$4:$CM$310,2,0)=1,VLOOKUP(A39,每日销量追踪!$A$4:$CM$310,15,0),(VLOOKUP(A39,每日销量追踪!$A$4:$CM$310,15,0)-VLOOKUP(A39-1,每日销量追踪!$A$4:$CM$310,15,0)))</f>
        <v>0</v>
      </c>
      <c r="P39" s="293">
        <v>1.2</v>
      </c>
      <c r="Q39" s="274">
        <f>'青岛 - 螺纹'!O38+'青岛 - 螺纹'!P38</f>
        <v>4670</v>
      </c>
      <c r="R39" s="297">
        <f>'青岛 - 盘螺'!O38+'青岛 - 盘螺'!P38</f>
        <v>5020</v>
      </c>
      <c r="S39" s="298">
        <f>'连云港 - 螺纹'!O38+'连云港 - 螺纹'!P38</f>
        <v>4630</v>
      </c>
      <c r="T39" s="299">
        <f>'连云港 - 盘螺'!O38+'连云港 - 盘螺'!P38</f>
        <v>4820</v>
      </c>
      <c r="U39" s="298">
        <f>'苏南 - 螺纹'!O38+'苏南 - 螺纹'!P38</f>
        <v>4970</v>
      </c>
      <c r="V39" s="299">
        <f>'苏南 - 盘螺'!O38+'苏南 - 盘螺'!P38</f>
        <v>5320</v>
      </c>
      <c r="W39" s="274">
        <f>'青岛 - 螺纹'!D38</f>
        <v>4587.9987079736929</v>
      </c>
      <c r="X39" s="297">
        <f>'青岛 - 盘螺'!D38</f>
        <v>4901.1375235368796</v>
      </c>
      <c r="Y39" s="298">
        <f>'连云港 - 螺纹'!D38</f>
        <v>4621.4854312696907</v>
      </c>
      <c r="Z39" s="299">
        <f>'连云港 - 盘螺'!D38</f>
        <v>4874.4615765072285</v>
      </c>
      <c r="AA39" s="298">
        <f>'苏南 - 螺纹'!D38</f>
        <v>4738.1655464073056</v>
      </c>
      <c r="AB39" s="299">
        <f>'苏南 - 盘螺'!D38</f>
        <v>4908.1264461475748</v>
      </c>
      <c r="AC39" s="274">
        <f>'青岛 - 螺纹'!B38</f>
        <v>4600</v>
      </c>
      <c r="AD39" s="297">
        <f>'青岛 - 盘螺'!B38</f>
        <v>4830</v>
      </c>
      <c r="AE39" s="298">
        <f>'连云港 - 螺纹'!B38</f>
        <v>4610</v>
      </c>
      <c r="AF39" s="299">
        <f>'连云港 - 盘螺'!B38</f>
        <v>4840</v>
      </c>
      <c r="AG39" s="298">
        <f>'苏南 - 螺纹'!B38</f>
        <v>4640</v>
      </c>
      <c r="AH39" s="299">
        <f>'苏南 - 盘螺'!B38</f>
        <v>4860</v>
      </c>
    </row>
    <row r="40" spans="1:34">
      <c r="A40" s="270">
        <v>44537</v>
      </c>
      <c r="B40" s="271">
        <f>'青岛 - 螺纹'!U39</f>
        <v>-4408</v>
      </c>
      <c r="C40" s="272">
        <f>'青岛 - 螺纹'!S39</f>
        <v>0</v>
      </c>
      <c r="D40" s="272">
        <f>'青岛 - 螺纹'!T39</f>
        <v>4408</v>
      </c>
      <c r="E40" s="273"/>
      <c r="F40" s="273"/>
      <c r="G40" s="273"/>
      <c r="H40" s="274">
        <f>'青岛 - 螺纹'!AE39+'青岛 - 盘螺'!AE39</f>
        <v>0</v>
      </c>
      <c r="I40" s="284"/>
      <c r="J40" s="274">
        <f>'连云港 - 螺纹'!AE39+'连云港 - 盘螺'!AE39</f>
        <v>0</v>
      </c>
      <c r="K40" s="284"/>
      <c r="L40" s="274">
        <f>'苏南 - 螺纹'!AE39+'苏南 - 盘螺'!AE39</f>
        <v>0</v>
      </c>
      <c r="M40" s="284"/>
      <c r="N40" s="287"/>
      <c r="O40" s="289">
        <f>IF(VLOOKUP(A40,每日销量追踪!$A$4:$CM$310,2,0)=1,VLOOKUP(A40,每日销量追踪!$A$4:$CM$310,15,0),(VLOOKUP(A40,每日销量追踪!$A$4:$CM$310,15,0)-VLOOKUP(A40-1,每日销量追踪!$A$4:$CM$310,15,0)))</f>
        <v>0</v>
      </c>
      <c r="P40" s="293">
        <v>1.2</v>
      </c>
      <c r="Q40" s="274">
        <f>'青岛 - 螺纹'!O39+'青岛 - 螺纹'!P39</f>
        <v>-30</v>
      </c>
      <c r="R40" s="297">
        <f>'青岛 - 盘螺'!O39+'青岛 - 盘螺'!P39</f>
        <v>-30</v>
      </c>
      <c r="S40" s="298">
        <f>'连云港 - 螺纹'!O39+'连云港 - 螺纹'!P39</f>
        <v>20</v>
      </c>
      <c r="T40" s="299">
        <f>'连云港 - 盘螺'!O39+'连云港 - 盘螺'!P39</f>
        <v>20</v>
      </c>
      <c r="U40" s="298">
        <f>'苏南 - 螺纹'!O39+'苏南 - 螺纹'!P39</f>
        <v>90</v>
      </c>
      <c r="V40" s="299">
        <f>'苏南 - 盘螺'!O39+'苏南 - 盘螺'!P39</f>
        <v>90</v>
      </c>
      <c r="W40" s="274">
        <f>'青岛 - 螺纹'!D39</f>
        <v>-55.399999999999636</v>
      </c>
      <c r="X40" s="297">
        <f>'青岛 - 盘螺'!D39</f>
        <v>-38.899999999999636</v>
      </c>
      <c r="Y40" s="298">
        <f>'连云港 - 螺纹'!D39</f>
        <v>23.200000000000728</v>
      </c>
      <c r="Z40" s="299">
        <f>'连云港 - 盘螺'!D39</f>
        <v>105.5</v>
      </c>
      <c r="AA40" s="298">
        <f>'苏南 - 螺纹'!D39</f>
        <v>-57.049999999999272</v>
      </c>
      <c r="AB40" s="299">
        <f>'苏南 - 盘螺'!D39</f>
        <v>-132.09999999999945</v>
      </c>
      <c r="AC40" s="274">
        <f>'青岛 - 螺纹'!B39</f>
        <v>0</v>
      </c>
      <c r="AD40" s="297">
        <f>'青岛 - 盘螺'!B39</f>
        <v>0</v>
      </c>
      <c r="AE40" s="298">
        <f>'连云港 - 螺纹'!B39</f>
        <v>0</v>
      </c>
      <c r="AF40" s="299">
        <f>'连云港 - 盘螺'!B39</f>
        <v>0</v>
      </c>
      <c r="AG40" s="298">
        <f>'苏南 - 螺纹'!B39</f>
        <v>0</v>
      </c>
      <c r="AH40" s="299">
        <f>'苏南 - 盘螺'!B39</f>
        <v>0</v>
      </c>
    </row>
    <row r="41" spans="1:34">
      <c r="A41" s="270">
        <v>44538</v>
      </c>
      <c r="B41" s="271">
        <f>'青岛 - 螺纹'!U40</f>
        <v>0</v>
      </c>
      <c r="C41" s="272">
        <f>'青岛 - 螺纹'!S40</f>
        <v>0</v>
      </c>
      <c r="D41" s="272">
        <f>'青岛 - 螺纹'!T40</f>
        <v>0</v>
      </c>
      <c r="E41" s="273"/>
      <c r="F41" s="273"/>
      <c r="G41" s="273"/>
      <c r="H41" s="274">
        <f>'青岛 - 螺纹'!AE40+'青岛 - 盘螺'!AE40</f>
        <v>0</v>
      </c>
      <c r="I41" s="284"/>
      <c r="J41" s="274">
        <f>'连云港 - 螺纹'!AE40+'连云港 - 盘螺'!AE40</f>
        <v>0</v>
      </c>
      <c r="K41" s="284"/>
      <c r="L41" s="274">
        <f>'苏南 - 螺纹'!AE40+'苏南 - 盘螺'!AE40</f>
        <v>0</v>
      </c>
      <c r="M41" s="284"/>
      <c r="N41" s="287"/>
      <c r="O41" s="289">
        <f>IF(VLOOKUP(A41,每日销量追踪!$A$4:$CM$310,2,0)=1,VLOOKUP(A41,每日销量追踪!$A$4:$CM$310,15,0),(VLOOKUP(A41,每日销量追踪!$A$4:$CM$310,15,0)-VLOOKUP(A41-1,每日销量追踪!$A$4:$CM$310,15,0)))</f>
        <v>0</v>
      </c>
      <c r="P41" s="293">
        <v>1.2</v>
      </c>
      <c r="Q41" s="274">
        <f>'青岛 - 螺纹'!O40+'青岛 - 螺纹'!P40</f>
        <v>-30</v>
      </c>
      <c r="R41" s="297">
        <f>'青岛 - 盘螺'!O40+'青岛 - 盘螺'!P40</f>
        <v>-30</v>
      </c>
      <c r="S41" s="298">
        <f>'连云港 - 螺纹'!O40+'连云港 - 螺纹'!P40</f>
        <v>20</v>
      </c>
      <c r="T41" s="299">
        <f>'连云港 - 盘螺'!O40+'连云港 - 盘螺'!P40</f>
        <v>20</v>
      </c>
      <c r="U41" s="298">
        <f>'苏南 - 螺纹'!O40+'苏南 - 螺纹'!P40</f>
        <v>90</v>
      </c>
      <c r="V41" s="299">
        <f>'苏南 - 盘螺'!O40+'苏南 - 盘螺'!P40</f>
        <v>90</v>
      </c>
      <c r="W41" s="274">
        <f>'青岛 - 螺纹'!D40</f>
        <v>-78</v>
      </c>
      <c r="X41" s="297">
        <f>'青岛 - 盘螺'!D40</f>
        <v>-78</v>
      </c>
      <c r="Y41" s="298">
        <f>'连云港 - 螺纹'!D40</f>
        <v>-37.4</v>
      </c>
      <c r="Z41" s="299">
        <f>'连云港 - 盘螺'!D40</f>
        <v>-42.65</v>
      </c>
      <c r="AA41" s="298">
        <f>'苏南 - 螺纹'!D40</f>
        <v>-42.65</v>
      </c>
      <c r="AB41" s="299">
        <f>'苏南 - 盘螺'!D40</f>
        <v>-132.25</v>
      </c>
      <c r="AC41" s="274">
        <f>'青岛 - 螺纹'!B40</f>
        <v>0</v>
      </c>
      <c r="AD41" s="297">
        <f>'青岛 - 盘螺'!B40</f>
        <v>0</v>
      </c>
      <c r="AE41" s="298">
        <f>'连云港 - 螺纹'!B40</f>
        <v>0</v>
      </c>
      <c r="AF41" s="299">
        <f>'连云港 - 盘螺'!B40</f>
        <v>0</v>
      </c>
      <c r="AG41" s="298">
        <f>'苏南 - 螺纹'!B40</f>
        <v>0</v>
      </c>
      <c r="AH41" s="299">
        <f>'苏南 - 盘螺'!B40</f>
        <v>0</v>
      </c>
    </row>
    <row r="42" spans="1:34">
      <c r="A42" s="270">
        <v>44539</v>
      </c>
      <c r="B42" s="271">
        <f>'青岛 - 螺纹'!U41</f>
        <v>0</v>
      </c>
      <c r="C42" s="272">
        <f>'青岛 - 螺纹'!S41</f>
        <v>0</v>
      </c>
      <c r="D42" s="272">
        <f>'青岛 - 螺纹'!T41</f>
        <v>0</v>
      </c>
      <c r="E42" s="273"/>
      <c r="F42" s="273"/>
      <c r="G42" s="273"/>
      <c r="H42" s="274">
        <f>'青岛 - 螺纹'!AE41+'青岛 - 盘螺'!AE41</f>
        <v>0</v>
      </c>
      <c r="I42" s="284"/>
      <c r="J42" s="274">
        <f>'连云港 - 螺纹'!AE41+'连云港 - 盘螺'!AE41</f>
        <v>0</v>
      </c>
      <c r="K42" s="284"/>
      <c r="L42" s="274">
        <f>'苏南 - 螺纹'!AE41+'苏南 - 盘螺'!AE41</f>
        <v>0</v>
      </c>
      <c r="M42" s="284"/>
      <c r="N42" s="287"/>
      <c r="O42" s="289">
        <f>IF(VLOOKUP(A42,每日销量追踪!$A$4:$CM$310,2,0)=1,VLOOKUP(A42,每日销量追踪!$A$4:$CM$310,15,0),(VLOOKUP(A42,每日销量追踪!$A$4:$CM$310,15,0)-VLOOKUP(A42-1,每日销量追踪!$A$4:$CM$310,15,0)))</f>
        <v>0</v>
      </c>
      <c r="P42" s="293">
        <v>1.2</v>
      </c>
      <c r="Q42" s="274">
        <f>'青岛 - 螺纹'!O41+'青岛 - 螺纹'!P41</f>
        <v>-30</v>
      </c>
      <c r="R42" s="297">
        <f>'青岛 - 盘螺'!O41+'青岛 - 盘螺'!P41</f>
        <v>-30</v>
      </c>
      <c r="S42" s="298">
        <f>'连云港 - 螺纹'!O41+'连云港 - 螺纹'!P41</f>
        <v>20</v>
      </c>
      <c r="T42" s="299">
        <f>'连云港 - 盘螺'!O41+'连云港 - 盘螺'!P41</f>
        <v>20</v>
      </c>
      <c r="U42" s="298">
        <f>'苏南 - 螺纹'!O41+'苏南 - 螺纹'!P41</f>
        <v>90</v>
      </c>
      <c r="V42" s="299">
        <f>'苏南 - 盘螺'!O41+'苏南 - 盘螺'!P41</f>
        <v>90</v>
      </c>
      <c r="W42" s="274">
        <f>'青岛 - 螺纹'!D41</f>
        <v>-78</v>
      </c>
      <c r="X42" s="297">
        <f>'青岛 - 盘螺'!D41</f>
        <v>-78</v>
      </c>
      <c r="Y42" s="298">
        <f>'连云港 - 螺纹'!D41</f>
        <v>-37.4</v>
      </c>
      <c r="Z42" s="299">
        <f>'连云港 - 盘螺'!D41</f>
        <v>-42.65</v>
      </c>
      <c r="AA42" s="298">
        <f>'苏南 - 螺纹'!D41</f>
        <v>-42.65</v>
      </c>
      <c r="AB42" s="299">
        <f>'苏南 - 盘螺'!D41</f>
        <v>-132.25</v>
      </c>
      <c r="AC42" s="274">
        <f>'青岛 - 螺纹'!B41</f>
        <v>0</v>
      </c>
      <c r="AD42" s="297">
        <f>'青岛 - 盘螺'!B41</f>
        <v>0</v>
      </c>
      <c r="AE42" s="298">
        <f>'连云港 - 螺纹'!B41</f>
        <v>0</v>
      </c>
      <c r="AF42" s="299">
        <f>'连云港 - 盘螺'!B41</f>
        <v>0</v>
      </c>
      <c r="AG42" s="298">
        <f>'苏南 - 螺纹'!B41</f>
        <v>0</v>
      </c>
      <c r="AH42" s="299">
        <f>'苏南 - 盘螺'!B41</f>
        <v>0</v>
      </c>
    </row>
    <row r="43" spans="1:34">
      <c r="A43" s="270">
        <v>44540</v>
      </c>
      <c r="B43" s="271">
        <f>'青岛 - 螺纹'!U42</f>
        <v>0</v>
      </c>
      <c r="C43" s="272">
        <f>'青岛 - 螺纹'!S42</f>
        <v>0</v>
      </c>
      <c r="D43" s="272">
        <f>'青岛 - 螺纹'!T42</f>
        <v>0</v>
      </c>
      <c r="E43" s="273"/>
      <c r="F43" s="273"/>
      <c r="G43" s="273"/>
      <c r="H43" s="274">
        <f>'青岛 - 螺纹'!AE42+'青岛 - 盘螺'!AE42</f>
        <v>0</v>
      </c>
      <c r="I43" s="284"/>
      <c r="J43" s="274">
        <f>'连云港 - 螺纹'!AE42+'连云港 - 盘螺'!AE42</f>
        <v>0</v>
      </c>
      <c r="K43" s="284"/>
      <c r="L43" s="274">
        <f>'苏南 - 螺纹'!AE42+'苏南 - 盘螺'!AE42</f>
        <v>0</v>
      </c>
      <c r="M43" s="284"/>
      <c r="N43" s="287"/>
      <c r="O43" s="289">
        <f>IF(VLOOKUP(A43,每日销量追踪!$A$4:$CM$310,2,0)=1,VLOOKUP(A43,每日销量追踪!$A$4:$CM$310,15,0),(VLOOKUP(A43,每日销量追踪!$A$4:$CM$310,15,0)-VLOOKUP(A43-1,每日销量追踪!$A$4:$CM$310,15,0)))</f>
        <v>0</v>
      </c>
      <c r="P43" s="293">
        <v>1.2</v>
      </c>
      <c r="Q43" s="274">
        <f>'青岛 - 螺纹'!O42+'青岛 - 螺纹'!P42</f>
        <v>0</v>
      </c>
      <c r="R43" s="297">
        <f>'青岛 - 盘螺'!O42+'青岛 - 盘螺'!P42</f>
        <v>0</v>
      </c>
      <c r="S43" s="298">
        <f>'连云港 - 螺纹'!O42+'连云港 - 螺纹'!P42</f>
        <v>0</v>
      </c>
      <c r="T43" s="299">
        <f>'连云港 - 盘螺'!O42+'连云港 - 盘螺'!P42</f>
        <v>0</v>
      </c>
      <c r="U43" s="298">
        <f>'苏南 - 螺纹'!O42+'苏南 - 螺纹'!P42</f>
        <v>0</v>
      </c>
      <c r="V43" s="299">
        <f>'苏南 - 盘螺'!O42+'苏南 - 盘螺'!P42</f>
        <v>0</v>
      </c>
      <c r="W43" s="274">
        <f>'青岛 - 螺纹'!D42</f>
        <v>0</v>
      </c>
      <c r="X43" s="297">
        <f>'青岛 - 盘螺'!D42</f>
        <v>0</v>
      </c>
      <c r="Y43" s="298">
        <f>'连云港 - 螺纹'!D42</f>
        <v>0</v>
      </c>
      <c r="Z43" s="299">
        <f>'连云港 - 盘螺'!D42</f>
        <v>0</v>
      </c>
      <c r="AA43" s="298">
        <f>'苏南 - 螺纹'!D42</f>
        <v>0</v>
      </c>
      <c r="AB43" s="299">
        <f>'苏南 - 盘螺'!D42</f>
        <v>0</v>
      </c>
      <c r="AC43" s="274">
        <f>'青岛 - 螺纹'!B42</f>
        <v>0</v>
      </c>
      <c r="AD43" s="297">
        <f>'青岛 - 盘螺'!B42</f>
        <v>0</v>
      </c>
      <c r="AE43" s="298">
        <f>'连云港 - 螺纹'!B42</f>
        <v>0</v>
      </c>
      <c r="AF43" s="299">
        <f>'连云港 - 盘螺'!B42</f>
        <v>0</v>
      </c>
      <c r="AG43" s="298">
        <f>'苏南 - 螺纹'!B42</f>
        <v>0</v>
      </c>
      <c r="AH43" s="299">
        <f>'苏南 - 盘螺'!B42</f>
        <v>0</v>
      </c>
    </row>
    <row r="44" spans="1:34">
      <c r="A44" s="270">
        <v>44541</v>
      </c>
      <c r="B44" s="271">
        <f>'青岛 - 螺纹'!U43</f>
        <v>0</v>
      </c>
      <c r="C44" s="272">
        <f>'青岛 - 螺纹'!S43</f>
        <v>0</v>
      </c>
      <c r="D44" s="272">
        <f>'青岛 - 螺纹'!T43</f>
        <v>0</v>
      </c>
      <c r="E44" s="273"/>
      <c r="F44" s="273"/>
      <c r="G44" s="273"/>
      <c r="H44" s="274">
        <f>'青岛 - 螺纹'!AE43+'青岛 - 盘螺'!AE43</f>
        <v>0</v>
      </c>
      <c r="I44" s="284"/>
      <c r="J44" s="274">
        <f>'连云港 - 螺纹'!AE43+'连云港 - 盘螺'!AE43</f>
        <v>0</v>
      </c>
      <c r="K44" s="284"/>
      <c r="L44" s="274">
        <f>'苏南 - 螺纹'!AE43+'苏南 - 盘螺'!AE43</f>
        <v>0</v>
      </c>
      <c r="M44" s="284"/>
      <c r="N44" s="287"/>
      <c r="O44" s="289">
        <f>IF(VLOOKUP(A44,每日销量追踪!$A$4:$CM$310,2,0)=1,VLOOKUP(A44,每日销量追踪!$A$4:$CM$310,15,0),(VLOOKUP(A44,每日销量追踪!$A$4:$CM$310,15,0)-VLOOKUP(A44-1,每日销量追踪!$A$4:$CM$310,15,0)))</f>
        <v>0</v>
      </c>
      <c r="P44" s="293">
        <v>1.2</v>
      </c>
      <c r="Q44" s="274">
        <f>'青岛 - 螺纹'!O43+'青岛 - 螺纹'!P43</f>
        <v>0</v>
      </c>
      <c r="R44" s="297">
        <f>'青岛 - 盘螺'!O43+'青岛 - 盘螺'!P43</f>
        <v>0</v>
      </c>
      <c r="S44" s="298">
        <f>'连云港 - 螺纹'!O43+'连云港 - 螺纹'!P43</f>
        <v>0</v>
      </c>
      <c r="T44" s="299">
        <f>'连云港 - 盘螺'!O43+'连云港 - 盘螺'!P43</f>
        <v>0</v>
      </c>
      <c r="U44" s="298">
        <f>'苏南 - 螺纹'!O43+'苏南 - 螺纹'!P43</f>
        <v>0</v>
      </c>
      <c r="V44" s="299">
        <f>'苏南 - 盘螺'!O43+'苏南 - 盘螺'!P43</f>
        <v>0</v>
      </c>
      <c r="W44" s="274">
        <f>'青岛 - 螺纹'!D43</f>
        <v>0</v>
      </c>
      <c r="X44" s="297">
        <f>'青岛 - 盘螺'!D43</f>
        <v>0</v>
      </c>
      <c r="Y44" s="298">
        <f>'连云港 - 螺纹'!D43</f>
        <v>0</v>
      </c>
      <c r="Z44" s="299">
        <f>'连云港 - 盘螺'!D43</f>
        <v>0</v>
      </c>
      <c r="AA44" s="298">
        <f>'苏南 - 螺纹'!D43</f>
        <v>0</v>
      </c>
      <c r="AB44" s="299">
        <f>'苏南 - 盘螺'!D43</f>
        <v>0</v>
      </c>
      <c r="AC44" s="274">
        <f>'青岛 - 螺纹'!B43</f>
        <v>0</v>
      </c>
      <c r="AD44" s="297">
        <f>'青岛 - 盘螺'!B43</f>
        <v>0</v>
      </c>
      <c r="AE44" s="298">
        <f>'连云港 - 螺纹'!B43</f>
        <v>0</v>
      </c>
      <c r="AF44" s="299">
        <f>'连云港 - 盘螺'!B43</f>
        <v>0</v>
      </c>
      <c r="AG44" s="298">
        <f>'苏南 - 螺纹'!B43</f>
        <v>0</v>
      </c>
      <c r="AH44" s="299">
        <f>'苏南 - 盘螺'!B43</f>
        <v>0</v>
      </c>
    </row>
    <row r="45" spans="1:34">
      <c r="A45" s="270">
        <v>44542</v>
      </c>
      <c r="B45" s="271">
        <f>'青岛 - 螺纹'!U44</f>
        <v>0</v>
      </c>
      <c r="C45" s="272">
        <f>'青岛 - 螺纹'!S44</f>
        <v>0</v>
      </c>
      <c r="D45" s="272">
        <f>'青岛 - 螺纹'!T44</f>
        <v>0</v>
      </c>
      <c r="E45" s="273"/>
      <c r="F45" s="273"/>
      <c r="G45" s="273"/>
      <c r="H45" s="274">
        <f>'青岛 - 螺纹'!AE44+'青岛 - 盘螺'!AE44</f>
        <v>0</v>
      </c>
      <c r="I45" s="284"/>
      <c r="J45" s="274">
        <f>'连云港 - 螺纹'!AE44+'连云港 - 盘螺'!AE44</f>
        <v>0</v>
      </c>
      <c r="K45" s="284"/>
      <c r="L45" s="274">
        <f>'苏南 - 螺纹'!AE44+'苏南 - 盘螺'!AE44</f>
        <v>0</v>
      </c>
      <c r="M45" s="284"/>
      <c r="N45" s="287"/>
      <c r="O45" s="289">
        <f>IF(VLOOKUP(A45,每日销量追踪!$A$4:$CM$310,2,0)=1,VLOOKUP(A45,每日销量追踪!$A$4:$CM$310,15,0),(VLOOKUP(A45,每日销量追踪!$A$4:$CM$310,15,0)-VLOOKUP(A45-1,每日销量追踪!$A$4:$CM$310,15,0)))</f>
        <v>0</v>
      </c>
      <c r="P45" s="293">
        <v>1.2</v>
      </c>
      <c r="Q45" s="274">
        <f>'青岛 - 螺纹'!O44+'青岛 - 螺纹'!P44</f>
        <v>0</v>
      </c>
      <c r="R45" s="297">
        <f>'青岛 - 盘螺'!O44+'青岛 - 盘螺'!P44</f>
        <v>0</v>
      </c>
      <c r="S45" s="298">
        <f>'连云港 - 螺纹'!O44+'连云港 - 螺纹'!P44</f>
        <v>0</v>
      </c>
      <c r="T45" s="299">
        <f>'连云港 - 盘螺'!O44+'连云港 - 盘螺'!P44</f>
        <v>0</v>
      </c>
      <c r="U45" s="298">
        <f>'苏南 - 螺纹'!O44+'苏南 - 螺纹'!P44</f>
        <v>0</v>
      </c>
      <c r="V45" s="299">
        <f>'苏南 - 盘螺'!O44+'苏南 - 盘螺'!P44</f>
        <v>0</v>
      </c>
      <c r="W45" s="274">
        <f>'青岛 - 螺纹'!D44</f>
        <v>0</v>
      </c>
      <c r="X45" s="297">
        <f>'青岛 - 盘螺'!D44</f>
        <v>0</v>
      </c>
      <c r="Y45" s="298">
        <f>'连云港 - 螺纹'!D44</f>
        <v>0</v>
      </c>
      <c r="Z45" s="299">
        <f>'连云港 - 盘螺'!D44</f>
        <v>0</v>
      </c>
      <c r="AA45" s="298">
        <f>'苏南 - 螺纹'!D44</f>
        <v>0</v>
      </c>
      <c r="AB45" s="299">
        <f>'苏南 - 盘螺'!D44</f>
        <v>0</v>
      </c>
      <c r="AC45" s="274">
        <f>'青岛 - 螺纹'!B44</f>
        <v>0</v>
      </c>
      <c r="AD45" s="297">
        <f>'青岛 - 盘螺'!B44</f>
        <v>0</v>
      </c>
      <c r="AE45" s="298">
        <f>'连云港 - 螺纹'!B44</f>
        <v>0</v>
      </c>
      <c r="AF45" s="299">
        <f>'连云港 - 盘螺'!B44</f>
        <v>0</v>
      </c>
      <c r="AG45" s="298">
        <f>'苏南 - 螺纹'!B44</f>
        <v>0</v>
      </c>
      <c r="AH45" s="299">
        <f>'苏南 - 盘螺'!B44</f>
        <v>0</v>
      </c>
    </row>
    <row r="46" spans="1:34">
      <c r="A46" s="270">
        <v>44543</v>
      </c>
      <c r="B46" s="271">
        <f>'青岛 - 螺纹'!U45</f>
        <v>0</v>
      </c>
      <c r="C46" s="272">
        <f>'青岛 - 螺纹'!S45</f>
        <v>0</v>
      </c>
      <c r="D46" s="272">
        <f>'青岛 - 螺纹'!T45</f>
        <v>0</v>
      </c>
      <c r="E46" s="273"/>
      <c r="F46" s="273"/>
      <c r="G46" s="273"/>
      <c r="H46" s="274">
        <f>'青岛 - 螺纹'!AE45+'青岛 - 盘螺'!AE45</f>
        <v>0</v>
      </c>
      <c r="I46" s="284"/>
      <c r="J46" s="274">
        <f>'连云港 - 螺纹'!AE45+'连云港 - 盘螺'!AE45</f>
        <v>0</v>
      </c>
      <c r="K46" s="284"/>
      <c r="L46" s="274">
        <f>'苏南 - 螺纹'!AE45+'苏南 - 盘螺'!AE45</f>
        <v>0</v>
      </c>
      <c r="M46" s="284"/>
      <c r="N46" s="287"/>
      <c r="O46" s="289">
        <f>IF(VLOOKUP(A46,每日销量追踪!$A$4:$CM$310,2,0)=1,VLOOKUP(A46,每日销量追踪!$A$4:$CM$310,15,0),(VLOOKUP(A46,每日销量追踪!$A$4:$CM$310,15,0)-VLOOKUP(A46-1,每日销量追踪!$A$4:$CM$310,15,0)))</f>
        <v>0</v>
      </c>
      <c r="P46" s="293">
        <v>1.2</v>
      </c>
      <c r="Q46" s="274">
        <f>'青岛 - 螺纹'!O45+'青岛 - 螺纹'!P45</f>
        <v>0</v>
      </c>
      <c r="R46" s="297">
        <f>'青岛 - 盘螺'!O45+'青岛 - 盘螺'!P45</f>
        <v>0</v>
      </c>
      <c r="S46" s="298">
        <f>'连云港 - 螺纹'!O45+'连云港 - 螺纹'!P45</f>
        <v>0</v>
      </c>
      <c r="T46" s="299">
        <f>'连云港 - 盘螺'!O45+'连云港 - 盘螺'!P45</f>
        <v>0</v>
      </c>
      <c r="U46" s="298">
        <f>'苏南 - 螺纹'!O45+'苏南 - 螺纹'!P45</f>
        <v>0</v>
      </c>
      <c r="V46" s="299">
        <f>'苏南 - 盘螺'!O45+'苏南 - 盘螺'!P45</f>
        <v>0</v>
      </c>
      <c r="W46" s="274">
        <f>'青岛 - 螺纹'!D45</f>
        <v>0</v>
      </c>
      <c r="X46" s="297">
        <f>'青岛 - 盘螺'!D45</f>
        <v>0</v>
      </c>
      <c r="Y46" s="298">
        <f>'连云港 - 螺纹'!D45</f>
        <v>0</v>
      </c>
      <c r="Z46" s="299">
        <f>'连云港 - 盘螺'!D45</f>
        <v>0</v>
      </c>
      <c r="AA46" s="298">
        <f>'苏南 - 螺纹'!D45</f>
        <v>0</v>
      </c>
      <c r="AB46" s="299">
        <f>'苏南 - 盘螺'!D45</f>
        <v>0</v>
      </c>
      <c r="AC46" s="274">
        <f>'青岛 - 螺纹'!B45</f>
        <v>0</v>
      </c>
      <c r="AD46" s="297">
        <f>'青岛 - 盘螺'!B45</f>
        <v>0</v>
      </c>
      <c r="AE46" s="298">
        <f>'连云港 - 螺纹'!B45</f>
        <v>0</v>
      </c>
      <c r="AF46" s="299">
        <f>'连云港 - 盘螺'!B45</f>
        <v>0</v>
      </c>
      <c r="AG46" s="298">
        <f>'苏南 - 螺纹'!B45</f>
        <v>0</v>
      </c>
      <c r="AH46" s="299">
        <f>'苏南 - 盘螺'!B45</f>
        <v>0</v>
      </c>
    </row>
    <row r="47" spans="1:34">
      <c r="A47" s="270">
        <v>44544</v>
      </c>
      <c r="B47" s="271">
        <f>'青岛 - 螺纹'!U46</f>
        <v>0</v>
      </c>
      <c r="C47" s="272">
        <f>'青岛 - 螺纹'!S46</f>
        <v>0</v>
      </c>
      <c r="D47" s="272">
        <f>'青岛 - 螺纹'!T46</f>
        <v>0</v>
      </c>
      <c r="E47" s="273"/>
      <c r="F47" s="273"/>
      <c r="G47" s="273"/>
      <c r="H47" s="274">
        <f>'青岛 - 螺纹'!AE46+'青岛 - 盘螺'!AE46</f>
        <v>0</v>
      </c>
      <c r="I47" s="284"/>
      <c r="J47" s="274">
        <f>'连云港 - 螺纹'!AE46+'连云港 - 盘螺'!AE46</f>
        <v>0</v>
      </c>
      <c r="K47" s="284"/>
      <c r="L47" s="274">
        <f>'苏南 - 螺纹'!AE46+'苏南 - 盘螺'!AE46</f>
        <v>0</v>
      </c>
      <c r="M47" s="284"/>
      <c r="N47" s="287"/>
      <c r="O47" s="289">
        <f>IF(VLOOKUP(A47,每日销量追踪!$A$4:$CM$310,2,0)=1,VLOOKUP(A47,每日销量追踪!$A$4:$CM$310,15,0),(VLOOKUP(A47,每日销量追踪!$A$4:$CM$310,15,0)-VLOOKUP(A47-1,每日销量追踪!$A$4:$CM$310,15,0)))</f>
        <v>0</v>
      </c>
      <c r="P47" s="293">
        <v>1.2</v>
      </c>
      <c r="Q47" s="274">
        <f>'青岛 - 螺纹'!O46+'青岛 - 螺纹'!P46</f>
        <v>0</v>
      </c>
      <c r="R47" s="297">
        <f>'青岛 - 盘螺'!O46+'青岛 - 盘螺'!P46</f>
        <v>0</v>
      </c>
      <c r="S47" s="298">
        <f>'连云港 - 螺纹'!O46+'连云港 - 螺纹'!P46</f>
        <v>0</v>
      </c>
      <c r="T47" s="299">
        <f>'连云港 - 盘螺'!O46+'连云港 - 盘螺'!P46</f>
        <v>0</v>
      </c>
      <c r="U47" s="298">
        <f>'苏南 - 螺纹'!O46+'苏南 - 螺纹'!P46</f>
        <v>0</v>
      </c>
      <c r="V47" s="299">
        <f>'苏南 - 盘螺'!O46+'苏南 - 盘螺'!P46</f>
        <v>0</v>
      </c>
      <c r="W47" s="274">
        <f>'青岛 - 螺纹'!D46</f>
        <v>0</v>
      </c>
      <c r="X47" s="297">
        <f>'青岛 - 盘螺'!D46</f>
        <v>0</v>
      </c>
      <c r="Y47" s="298">
        <f>'连云港 - 螺纹'!D46</f>
        <v>0</v>
      </c>
      <c r="Z47" s="299">
        <f>'连云港 - 盘螺'!D46</f>
        <v>0</v>
      </c>
      <c r="AA47" s="298">
        <f>'苏南 - 螺纹'!D46</f>
        <v>0</v>
      </c>
      <c r="AB47" s="299">
        <f>'苏南 - 盘螺'!D46</f>
        <v>0</v>
      </c>
      <c r="AC47" s="274">
        <f>'青岛 - 螺纹'!B46</f>
        <v>0</v>
      </c>
      <c r="AD47" s="297">
        <f>'青岛 - 盘螺'!B46</f>
        <v>0</v>
      </c>
      <c r="AE47" s="298">
        <f>'连云港 - 螺纹'!B46</f>
        <v>0</v>
      </c>
      <c r="AF47" s="299">
        <f>'连云港 - 盘螺'!B46</f>
        <v>0</v>
      </c>
      <c r="AG47" s="298">
        <f>'苏南 - 螺纹'!B46</f>
        <v>0</v>
      </c>
      <c r="AH47" s="299">
        <f>'苏南 - 盘螺'!B46</f>
        <v>0</v>
      </c>
    </row>
    <row r="48" spans="1:34">
      <c r="A48" s="270">
        <v>44545</v>
      </c>
      <c r="B48" s="271">
        <f>'青岛 - 螺纹'!U47</f>
        <v>0</v>
      </c>
      <c r="C48" s="272">
        <f>'青岛 - 螺纹'!S47</f>
        <v>0</v>
      </c>
      <c r="D48" s="272">
        <f>'青岛 - 螺纹'!T47</f>
        <v>0</v>
      </c>
      <c r="E48" s="273"/>
      <c r="F48" s="273"/>
      <c r="G48" s="273"/>
      <c r="H48" s="274">
        <f>'青岛 - 螺纹'!AE47+'青岛 - 盘螺'!AE47</f>
        <v>0</v>
      </c>
      <c r="I48" s="284"/>
      <c r="J48" s="274">
        <f>'连云港 - 螺纹'!AE47+'连云港 - 盘螺'!AE47</f>
        <v>0</v>
      </c>
      <c r="K48" s="284"/>
      <c r="L48" s="274">
        <f>'苏南 - 螺纹'!AE47+'苏南 - 盘螺'!AE47</f>
        <v>0</v>
      </c>
      <c r="M48" s="284"/>
      <c r="N48" s="287"/>
      <c r="O48" s="289">
        <f>IF(VLOOKUP(A48,每日销量追踪!$A$4:$CM$310,2,0)=1,VLOOKUP(A48,每日销量追踪!$A$4:$CM$310,15,0),(VLOOKUP(A48,每日销量追踪!$A$4:$CM$310,15,0)-VLOOKUP(A48-1,每日销量追踪!$A$4:$CM$310,15,0)))</f>
        <v>0</v>
      </c>
      <c r="P48" s="293">
        <v>1.2</v>
      </c>
      <c r="Q48" s="274">
        <f>'青岛 - 螺纹'!O47+'青岛 - 螺纹'!P47</f>
        <v>0</v>
      </c>
      <c r="R48" s="297">
        <f>'青岛 - 盘螺'!O47+'青岛 - 盘螺'!P47</f>
        <v>0</v>
      </c>
      <c r="S48" s="298">
        <f>'连云港 - 螺纹'!O47+'连云港 - 螺纹'!P47</f>
        <v>0</v>
      </c>
      <c r="T48" s="299">
        <f>'连云港 - 盘螺'!O47+'连云港 - 盘螺'!P47</f>
        <v>0</v>
      </c>
      <c r="U48" s="298">
        <f>'苏南 - 螺纹'!O47+'苏南 - 螺纹'!P47</f>
        <v>0</v>
      </c>
      <c r="V48" s="299">
        <f>'苏南 - 盘螺'!O47+'苏南 - 盘螺'!P47</f>
        <v>0</v>
      </c>
      <c r="W48" s="274">
        <f>'青岛 - 螺纹'!D47</f>
        <v>0</v>
      </c>
      <c r="X48" s="297">
        <f>'青岛 - 盘螺'!D47</f>
        <v>0</v>
      </c>
      <c r="Y48" s="298">
        <f>'连云港 - 螺纹'!D47</f>
        <v>0</v>
      </c>
      <c r="Z48" s="299">
        <f>'连云港 - 盘螺'!D47</f>
        <v>0</v>
      </c>
      <c r="AA48" s="298">
        <f>'苏南 - 螺纹'!D47</f>
        <v>0</v>
      </c>
      <c r="AB48" s="299">
        <f>'苏南 - 盘螺'!D47</f>
        <v>0</v>
      </c>
      <c r="AC48" s="274">
        <f>'青岛 - 螺纹'!B47</f>
        <v>0</v>
      </c>
      <c r="AD48" s="297">
        <f>'青岛 - 盘螺'!B47</f>
        <v>0</v>
      </c>
      <c r="AE48" s="298">
        <f>'连云港 - 螺纹'!B47</f>
        <v>0</v>
      </c>
      <c r="AF48" s="299">
        <f>'连云港 - 盘螺'!B47</f>
        <v>0</v>
      </c>
      <c r="AG48" s="298">
        <f>'苏南 - 螺纹'!B47</f>
        <v>0</v>
      </c>
      <c r="AH48" s="299">
        <f>'苏南 - 盘螺'!B47</f>
        <v>0</v>
      </c>
    </row>
    <row r="49" spans="1:34">
      <c r="A49" s="270">
        <v>44546</v>
      </c>
      <c r="B49" s="271">
        <f>'青岛 - 螺纹'!U48</f>
        <v>0</v>
      </c>
      <c r="C49" s="272">
        <f>'青岛 - 螺纹'!S48</f>
        <v>0</v>
      </c>
      <c r="D49" s="272">
        <f>'青岛 - 螺纹'!T48</f>
        <v>0</v>
      </c>
      <c r="E49" s="273"/>
      <c r="F49" s="273"/>
      <c r="G49" s="273"/>
      <c r="H49" s="274">
        <f>'青岛 - 螺纹'!AE48+'青岛 - 盘螺'!AE48</f>
        <v>0</v>
      </c>
      <c r="I49" s="284"/>
      <c r="J49" s="274">
        <f>'连云港 - 螺纹'!AE48+'连云港 - 盘螺'!AE48</f>
        <v>0</v>
      </c>
      <c r="K49" s="284"/>
      <c r="L49" s="274">
        <f>'苏南 - 螺纹'!AE48+'苏南 - 盘螺'!AE48</f>
        <v>0</v>
      </c>
      <c r="M49" s="284"/>
      <c r="N49" s="287"/>
      <c r="O49" s="289">
        <f>IF(VLOOKUP(A49,每日销量追踪!$A$4:$CM$310,2,0)=1,VLOOKUP(A49,每日销量追踪!$A$4:$CM$310,15,0),(VLOOKUP(A49,每日销量追踪!$A$4:$CM$310,15,0)-VLOOKUP(A49-1,每日销量追踪!$A$4:$CM$310,15,0)))</f>
        <v>0</v>
      </c>
      <c r="P49" s="293">
        <v>1.2</v>
      </c>
      <c r="Q49" s="274">
        <f>'青岛 - 螺纹'!O48+'青岛 - 螺纹'!P48</f>
        <v>0</v>
      </c>
      <c r="R49" s="297">
        <f>'青岛 - 盘螺'!O48+'青岛 - 盘螺'!P48</f>
        <v>0</v>
      </c>
      <c r="S49" s="298">
        <f>'连云港 - 螺纹'!O48+'连云港 - 螺纹'!P48</f>
        <v>0</v>
      </c>
      <c r="T49" s="299">
        <f>'连云港 - 盘螺'!O48+'连云港 - 盘螺'!P48</f>
        <v>0</v>
      </c>
      <c r="U49" s="298">
        <f>'苏南 - 螺纹'!O48+'苏南 - 螺纹'!P48</f>
        <v>0</v>
      </c>
      <c r="V49" s="299">
        <f>'苏南 - 盘螺'!O48+'苏南 - 盘螺'!P48</f>
        <v>0</v>
      </c>
      <c r="W49" s="274">
        <f>'青岛 - 螺纹'!D48</f>
        <v>0</v>
      </c>
      <c r="X49" s="297">
        <f>'青岛 - 盘螺'!D48</f>
        <v>0</v>
      </c>
      <c r="Y49" s="298">
        <f>'连云港 - 螺纹'!D48</f>
        <v>0</v>
      </c>
      <c r="Z49" s="299">
        <f>'连云港 - 盘螺'!D48</f>
        <v>0</v>
      </c>
      <c r="AA49" s="298">
        <f>'苏南 - 螺纹'!D48</f>
        <v>0</v>
      </c>
      <c r="AB49" s="299">
        <f>'苏南 - 盘螺'!D48</f>
        <v>0</v>
      </c>
      <c r="AC49" s="274">
        <f>'青岛 - 螺纹'!B48</f>
        <v>0</v>
      </c>
      <c r="AD49" s="297">
        <f>'青岛 - 盘螺'!B48</f>
        <v>0</v>
      </c>
      <c r="AE49" s="298">
        <f>'连云港 - 螺纹'!B48</f>
        <v>0</v>
      </c>
      <c r="AF49" s="299">
        <f>'连云港 - 盘螺'!B48</f>
        <v>0</v>
      </c>
      <c r="AG49" s="298">
        <f>'苏南 - 螺纹'!B48</f>
        <v>0</v>
      </c>
      <c r="AH49" s="299">
        <f>'苏南 - 盘螺'!B48</f>
        <v>0</v>
      </c>
    </row>
    <row r="50" spans="1:34">
      <c r="A50" s="270">
        <v>44547</v>
      </c>
      <c r="B50" s="271">
        <f>'青岛 - 螺纹'!U49</f>
        <v>0</v>
      </c>
      <c r="C50" s="272">
        <f>'青岛 - 螺纹'!S49</f>
        <v>0</v>
      </c>
      <c r="D50" s="272">
        <f>'青岛 - 螺纹'!T49</f>
        <v>0</v>
      </c>
      <c r="E50" s="273"/>
      <c r="F50" s="273"/>
      <c r="G50" s="273"/>
      <c r="H50" s="274">
        <f>'青岛 - 螺纹'!AE49+'青岛 - 盘螺'!AE49</f>
        <v>0</v>
      </c>
      <c r="I50" s="284"/>
      <c r="J50" s="274">
        <f>'连云港 - 螺纹'!AE49+'连云港 - 盘螺'!AE49</f>
        <v>0</v>
      </c>
      <c r="K50" s="284"/>
      <c r="L50" s="274">
        <f>'苏南 - 螺纹'!AE49+'苏南 - 盘螺'!AE49</f>
        <v>0</v>
      </c>
      <c r="M50" s="284"/>
      <c r="N50" s="287"/>
      <c r="O50" s="289">
        <f>IF(VLOOKUP(A50,每日销量追踪!$A$4:$CM$310,2,0)=1,VLOOKUP(A50,每日销量追踪!$A$4:$CM$310,15,0),(VLOOKUP(A50,每日销量追踪!$A$4:$CM$310,15,0)-VLOOKUP(A50-1,每日销量追踪!$A$4:$CM$310,15,0)))</f>
        <v>0</v>
      </c>
      <c r="P50" s="293">
        <v>1.2</v>
      </c>
      <c r="Q50" s="274">
        <f>'青岛 - 螺纹'!O49+'青岛 - 螺纹'!P49</f>
        <v>0</v>
      </c>
      <c r="R50" s="297">
        <f>'青岛 - 盘螺'!O49+'青岛 - 盘螺'!P49</f>
        <v>0</v>
      </c>
      <c r="S50" s="298">
        <f>'连云港 - 螺纹'!O49+'连云港 - 螺纹'!P49</f>
        <v>0</v>
      </c>
      <c r="T50" s="299">
        <f>'连云港 - 盘螺'!O49+'连云港 - 盘螺'!P49</f>
        <v>0</v>
      </c>
      <c r="U50" s="298">
        <f>'苏南 - 螺纹'!O49+'苏南 - 螺纹'!P49</f>
        <v>0</v>
      </c>
      <c r="V50" s="299">
        <f>'苏南 - 盘螺'!O49+'苏南 - 盘螺'!P49</f>
        <v>0</v>
      </c>
      <c r="W50" s="274">
        <f>'青岛 - 螺纹'!D49</f>
        <v>0</v>
      </c>
      <c r="X50" s="297">
        <f>'青岛 - 盘螺'!D49</f>
        <v>0</v>
      </c>
      <c r="Y50" s="298">
        <f>'连云港 - 螺纹'!D49</f>
        <v>0</v>
      </c>
      <c r="Z50" s="299">
        <f>'连云港 - 盘螺'!D49</f>
        <v>0</v>
      </c>
      <c r="AA50" s="298">
        <f>'苏南 - 螺纹'!D49</f>
        <v>0</v>
      </c>
      <c r="AB50" s="299">
        <f>'苏南 - 盘螺'!D49</f>
        <v>0</v>
      </c>
      <c r="AC50" s="274">
        <f>'青岛 - 螺纹'!B49</f>
        <v>0</v>
      </c>
      <c r="AD50" s="297">
        <f>'青岛 - 盘螺'!B49</f>
        <v>0</v>
      </c>
      <c r="AE50" s="298">
        <f>'连云港 - 螺纹'!B49</f>
        <v>0</v>
      </c>
      <c r="AF50" s="299">
        <f>'连云港 - 盘螺'!B49</f>
        <v>0</v>
      </c>
      <c r="AG50" s="298">
        <f>'苏南 - 螺纹'!B49</f>
        <v>0</v>
      </c>
      <c r="AH50" s="299">
        <f>'苏南 - 盘螺'!B49</f>
        <v>0</v>
      </c>
    </row>
    <row r="51" spans="1:34">
      <c r="A51" s="270">
        <v>44548</v>
      </c>
      <c r="B51" s="271">
        <f>'青岛 - 螺纹'!U50</f>
        <v>0</v>
      </c>
      <c r="C51" s="272">
        <f>'青岛 - 螺纹'!S50</f>
        <v>0</v>
      </c>
      <c r="D51" s="272">
        <f>'青岛 - 螺纹'!T50</f>
        <v>0</v>
      </c>
      <c r="E51" s="273"/>
      <c r="F51" s="273"/>
      <c r="G51" s="273"/>
      <c r="H51" s="274">
        <f>'青岛 - 螺纹'!AE50+'青岛 - 盘螺'!AE50</f>
        <v>0</v>
      </c>
      <c r="I51" s="284"/>
      <c r="J51" s="274">
        <f>'连云港 - 螺纹'!AE50+'连云港 - 盘螺'!AE50</f>
        <v>0</v>
      </c>
      <c r="K51" s="284"/>
      <c r="L51" s="274">
        <f>'苏南 - 螺纹'!AE50+'苏南 - 盘螺'!AE50</f>
        <v>0</v>
      </c>
      <c r="M51" s="284"/>
      <c r="N51" s="287"/>
      <c r="O51" s="289">
        <f>IF(VLOOKUP(A51,每日销量追踪!$A$4:$CM$310,2,0)=1,VLOOKUP(A51,每日销量追踪!$A$4:$CM$310,15,0),(VLOOKUP(A51,每日销量追踪!$A$4:$CM$310,15,0)-VLOOKUP(A51-1,每日销量追踪!$A$4:$CM$310,15,0)))</f>
        <v>0</v>
      </c>
      <c r="P51" s="293">
        <v>1.2</v>
      </c>
      <c r="Q51" s="274">
        <f>'青岛 - 螺纹'!O50+'青岛 - 螺纹'!P50</f>
        <v>0</v>
      </c>
      <c r="R51" s="297">
        <f>'青岛 - 盘螺'!O50+'青岛 - 盘螺'!P50</f>
        <v>0</v>
      </c>
      <c r="S51" s="298">
        <f>'连云港 - 螺纹'!O50+'连云港 - 螺纹'!P50</f>
        <v>0</v>
      </c>
      <c r="T51" s="299">
        <f>'连云港 - 盘螺'!O50+'连云港 - 盘螺'!P50</f>
        <v>0</v>
      </c>
      <c r="U51" s="298">
        <f>'苏南 - 螺纹'!O50+'苏南 - 螺纹'!P50</f>
        <v>0</v>
      </c>
      <c r="V51" s="299">
        <f>'苏南 - 盘螺'!O50+'苏南 - 盘螺'!P50</f>
        <v>0</v>
      </c>
      <c r="W51" s="274">
        <f>'青岛 - 螺纹'!D50</f>
        <v>0</v>
      </c>
      <c r="X51" s="297">
        <f>'青岛 - 盘螺'!D50</f>
        <v>0</v>
      </c>
      <c r="Y51" s="298">
        <f>'连云港 - 螺纹'!D50</f>
        <v>0</v>
      </c>
      <c r="Z51" s="299">
        <f>'连云港 - 盘螺'!D50</f>
        <v>0</v>
      </c>
      <c r="AA51" s="298">
        <f>'苏南 - 螺纹'!D50</f>
        <v>0</v>
      </c>
      <c r="AB51" s="299">
        <f>'苏南 - 盘螺'!D50</f>
        <v>0</v>
      </c>
      <c r="AC51" s="274">
        <f>'青岛 - 螺纹'!B50</f>
        <v>0</v>
      </c>
      <c r="AD51" s="297">
        <f>'青岛 - 盘螺'!B50</f>
        <v>0</v>
      </c>
      <c r="AE51" s="298">
        <f>'连云港 - 螺纹'!B50</f>
        <v>0</v>
      </c>
      <c r="AF51" s="299">
        <f>'连云港 - 盘螺'!B50</f>
        <v>0</v>
      </c>
      <c r="AG51" s="298">
        <f>'苏南 - 螺纹'!B50</f>
        <v>0</v>
      </c>
      <c r="AH51" s="299">
        <f>'苏南 - 盘螺'!B50</f>
        <v>0</v>
      </c>
    </row>
    <row r="52" spans="1:34">
      <c r="A52" s="270">
        <v>44549</v>
      </c>
      <c r="B52" s="271">
        <f>'青岛 - 螺纹'!U51</f>
        <v>0</v>
      </c>
      <c r="C52" s="272">
        <f>'青岛 - 螺纹'!S51</f>
        <v>0</v>
      </c>
      <c r="D52" s="272">
        <f>'青岛 - 螺纹'!T51</f>
        <v>0</v>
      </c>
      <c r="E52" s="273"/>
      <c r="F52" s="273"/>
      <c r="G52" s="273"/>
      <c r="H52" s="274">
        <f>'青岛 - 螺纹'!AE51+'青岛 - 盘螺'!AE51</f>
        <v>0</v>
      </c>
      <c r="I52" s="284"/>
      <c r="J52" s="274">
        <f>'连云港 - 螺纹'!AE51+'连云港 - 盘螺'!AE51</f>
        <v>0</v>
      </c>
      <c r="K52" s="284"/>
      <c r="L52" s="274">
        <f>'苏南 - 螺纹'!AE51+'苏南 - 盘螺'!AE51</f>
        <v>0</v>
      </c>
      <c r="M52" s="284"/>
      <c r="N52" s="287"/>
      <c r="O52" s="289">
        <f>IF(VLOOKUP(A52,每日销量追踪!$A$4:$CM$310,2,0)=1,VLOOKUP(A52,每日销量追踪!$A$4:$CM$310,15,0),(VLOOKUP(A52,每日销量追踪!$A$4:$CM$310,15,0)-VLOOKUP(A52-1,每日销量追踪!$A$4:$CM$310,15,0)))</f>
        <v>0</v>
      </c>
      <c r="P52" s="293">
        <v>1.2</v>
      </c>
      <c r="Q52" s="274">
        <f>'青岛 - 螺纹'!O51+'青岛 - 螺纹'!P51</f>
        <v>0</v>
      </c>
      <c r="R52" s="297">
        <f>'青岛 - 盘螺'!O51+'青岛 - 盘螺'!P51</f>
        <v>0</v>
      </c>
      <c r="S52" s="298">
        <f>'连云港 - 螺纹'!O51+'连云港 - 螺纹'!P51</f>
        <v>0</v>
      </c>
      <c r="T52" s="299">
        <f>'连云港 - 盘螺'!O51+'连云港 - 盘螺'!P51</f>
        <v>0</v>
      </c>
      <c r="U52" s="298">
        <f>'苏南 - 螺纹'!O51+'苏南 - 螺纹'!P51</f>
        <v>0</v>
      </c>
      <c r="V52" s="299">
        <f>'苏南 - 盘螺'!O51+'苏南 - 盘螺'!P51</f>
        <v>0</v>
      </c>
      <c r="W52" s="274">
        <f>'青岛 - 螺纹'!D51</f>
        <v>0</v>
      </c>
      <c r="X52" s="297">
        <f>'青岛 - 盘螺'!D51</f>
        <v>0</v>
      </c>
      <c r="Y52" s="298">
        <f>'连云港 - 螺纹'!D51</f>
        <v>0</v>
      </c>
      <c r="Z52" s="299">
        <f>'连云港 - 盘螺'!D51</f>
        <v>0</v>
      </c>
      <c r="AA52" s="298">
        <f>'苏南 - 螺纹'!D51</f>
        <v>0</v>
      </c>
      <c r="AB52" s="299">
        <f>'苏南 - 盘螺'!D51</f>
        <v>0</v>
      </c>
      <c r="AC52" s="274">
        <f>'青岛 - 螺纹'!B51</f>
        <v>0</v>
      </c>
      <c r="AD52" s="297">
        <f>'青岛 - 盘螺'!B51</f>
        <v>0</v>
      </c>
      <c r="AE52" s="298">
        <f>'连云港 - 螺纹'!B51</f>
        <v>0</v>
      </c>
      <c r="AF52" s="299">
        <f>'连云港 - 盘螺'!B51</f>
        <v>0</v>
      </c>
      <c r="AG52" s="298">
        <f>'苏南 - 螺纹'!B51</f>
        <v>0</v>
      </c>
      <c r="AH52" s="299">
        <f>'苏南 - 盘螺'!B51</f>
        <v>0</v>
      </c>
    </row>
    <row r="53" spans="1:34">
      <c r="A53" s="270">
        <v>44550</v>
      </c>
      <c r="B53" s="271">
        <f>'青岛 - 螺纹'!U52</f>
        <v>0</v>
      </c>
      <c r="C53" s="272">
        <f>'青岛 - 螺纹'!S52</f>
        <v>0</v>
      </c>
      <c r="D53" s="272">
        <f>'青岛 - 螺纹'!T52</f>
        <v>0</v>
      </c>
      <c r="E53" s="273"/>
      <c r="F53" s="273"/>
      <c r="G53" s="273"/>
      <c r="H53" s="274">
        <f>'青岛 - 螺纹'!AE52+'青岛 - 盘螺'!AE52</f>
        <v>0</v>
      </c>
      <c r="I53" s="284"/>
      <c r="J53" s="274">
        <f>'连云港 - 螺纹'!AE52+'连云港 - 盘螺'!AE52</f>
        <v>0</v>
      </c>
      <c r="K53" s="284"/>
      <c r="L53" s="274">
        <f>'苏南 - 螺纹'!AE52+'苏南 - 盘螺'!AE52</f>
        <v>0</v>
      </c>
      <c r="M53" s="284"/>
      <c r="N53" s="287"/>
      <c r="O53" s="289">
        <f>IF(VLOOKUP(A53,每日销量追踪!$A$4:$CM$310,2,0)=1,VLOOKUP(A53,每日销量追踪!$A$4:$CM$310,15,0),(VLOOKUP(A53,每日销量追踪!$A$4:$CM$310,15,0)-VLOOKUP(A53-1,每日销量追踪!$A$4:$CM$310,15,0)))</f>
        <v>0</v>
      </c>
      <c r="P53" s="293">
        <v>1.2</v>
      </c>
      <c r="Q53" s="274">
        <f>'青岛 - 螺纹'!O52+'青岛 - 螺纹'!P52</f>
        <v>0</v>
      </c>
      <c r="R53" s="297">
        <f>'青岛 - 盘螺'!O52+'青岛 - 盘螺'!P52</f>
        <v>0</v>
      </c>
      <c r="S53" s="298">
        <f>'连云港 - 螺纹'!O52+'连云港 - 螺纹'!P52</f>
        <v>0</v>
      </c>
      <c r="T53" s="299">
        <f>'连云港 - 盘螺'!O52+'连云港 - 盘螺'!P52</f>
        <v>0</v>
      </c>
      <c r="U53" s="298">
        <f>'苏南 - 螺纹'!O52+'苏南 - 螺纹'!P52</f>
        <v>0</v>
      </c>
      <c r="V53" s="299">
        <f>'苏南 - 盘螺'!O52+'苏南 - 盘螺'!P52</f>
        <v>0</v>
      </c>
      <c r="W53" s="274">
        <f>'青岛 - 螺纹'!D52</f>
        <v>0</v>
      </c>
      <c r="X53" s="297">
        <f>'青岛 - 盘螺'!D52</f>
        <v>0</v>
      </c>
      <c r="Y53" s="298">
        <f>'连云港 - 螺纹'!D52</f>
        <v>0</v>
      </c>
      <c r="Z53" s="299">
        <f>'连云港 - 盘螺'!D52</f>
        <v>0</v>
      </c>
      <c r="AA53" s="298">
        <f>'苏南 - 螺纹'!D52</f>
        <v>0</v>
      </c>
      <c r="AB53" s="299">
        <f>'苏南 - 盘螺'!D52</f>
        <v>0</v>
      </c>
      <c r="AC53" s="274">
        <f>'青岛 - 螺纹'!B52</f>
        <v>0</v>
      </c>
      <c r="AD53" s="297">
        <f>'青岛 - 盘螺'!B52</f>
        <v>0</v>
      </c>
      <c r="AE53" s="298">
        <f>'连云港 - 螺纹'!B52</f>
        <v>0</v>
      </c>
      <c r="AF53" s="299">
        <f>'连云港 - 盘螺'!B52</f>
        <v>0</v>
      </c>
      <c r="AG53" s="298">
        <f>'苏南 - 螺纹'!B52</f>
        <v>0</v>
      </c>
      <c r="AH53" s="299">
        <f>'苏南 - 盘螺'!B52</f>
        <v>0</v>
      </c>
    </row>
    <row r="54" spans="1:34">
      <c r="A54" s="270">
        <v>44551</v>
      </c>
      <c r="B54" s="271">
        <f>'青岛 - 螺纹'!U53</f>
        <v>0</v>
      </c>
      <c r="C54" s="272">
        <f>'青岛 - 螺纹'!S53</f>
        <v>0</v>
      </c>
      <c r="D54" s="272">
        <f>'青岛 - 螺纹'!T53</f>
        <v>0</v>
      </c>
      <c r="E54" s="273"/>
      <c r="F54" s="273"/>
      <c r="G54" s="273"/>
      <c r="H54" s="274">
        <f>'青岛 - 螺纹'!AE53+'青岛 - 盘螺'!AE53</f>
        <v>0</v>
      </c>
      <c r="I54" s="284"/>
      <c r="J54" s="274">
        <f>'连云港 - 螺纹'!AE53+'连云港 - 盘螺'!AE53</f>
        <v>0</v>
      </c>
      <c r="K54" s="284"/>
      <c r="L54" s="274">
        <f>'苏南 - 螺纹'!AE53+'苏南 - 盘螺'!AE53</f>
        <v>0</v>
      </c>
      <c r="M54" s="284"/>
      <c r="N54" s="287"/>
      <c r="O54" s="289">
        <f>IF(VLOOKUP(A54,每日销量追踪!$A$4:$CM$310,2,0)=1,VLOOKUP(A54,每日销量追踪!$A$4:$CM$310,15,0),(VLOOKUP(A54,每日销量追踪!$A$4:$CM$310,15,0)-VLOOKUP(A54-1,每日销量追踪!$A$4:$CM$310,15,0)))</f>
        <v>0</v>
      </c>
      <c r="P54" s="293">
        <v>1.2</v>
      </c>
      <c r="Q54" s="274">
        <f>'青岛 - 螺纹'!O53+'青岛 - 螺纹'!P53</f>
        <v>0</v>
      </c>
      <c r="R54" s="297">
        <f>'青岛 - 盘螺'!O53+'青岛 - 盘螺'!P53</f>
        <v>0</v>
      </c>
      <c r="S54" s="298">
        <f>'连云港 - 螺纹'!O53+'连云港 - 螺纹'!P53</f>
        <v>0</v>
      </c>
      <c r="T54" s="299">
        <f>'连云港 - 盘螺'!O53+'连云港 - 盘螺'!P53</f>
        <v>0</v>
      </c>
      <c r="U54" s="298">
        <f>'苏南 - 螺纹'!O53+'苏南 - 螺纹'!P53</f>
        <v>0</v>
      </c>
      <c r="V54" s="299">
        <f>'苏南 - 盘螺'!O53+'苏南 - 盘螺'!P53</f>
        <v>0</v>
      </c>
      <c r="W54" s="274">
        <f>'青岛 - 螺纹'!D53</f>
        <v>0</v>
      </c>
      <c r="X54" s="297">
        <f>'青岛 - 盘螺'!D53</f>
        <v>0</v>
      </c>
      <c r="Y54" s="298">
        <f>'连云港 - 螺纹'!D53</f>
        <v>0</v>
      </c>
      <c r="Z54" s="299">
        <f>'连云港 - 盘螺'!D53</f>
        <v>0</v>
      </c>
      <c r="AA54" s="298">
        <f>'苏南 - 螺纹'!D53</f>
        <v>0</v>
      </c>
      <c r="AB54" s="299">
        <f>'苏南 - 盘螺'!D53</f>
        <v>0</v>
      </c>
      <c r="AC54" s="274">
        <f>'青岛 - 螺纹'!B53</f>
        <v>0</v>
      </c>
      <c r="AD54" s="297">
        <f>'青岛 - 盘螺'!B53</f>
        <v>0</v>
      </c>
      <c r="AE54" s="298">
        <f>'连云港 - 螺纹'!B53</f>
        <v>0</v>
      </c>
      <c r="AF54" s="299">
        <f>'连云港 - 盘螺'!B53</f>
        <v>0</v>
      </c>
      <c r="AG54" s="298">
        <f>'苏南 - 螺纹'!B53</f>
        <v>0</v>
      </c>
      <c r="AH54" s="299">
        <f>'苏南 - 盘螺'!B53</f>
        <v>0</v>
      </c>
    </row>
    <row r="55" spans="1:34">
      <c r="A55" s="270">
        <v>44552</v>
      </c>
      <c r="B55" s="271">
        <f>'青岛 - 螺纹'!U54</f>
        <v>0</v>
      </c>
      <c r="C55" s="272">
        <f>'青岛 - 螺纹'!S54</f>
        <v>0</v>
      </c>
      <c r="D55" s="272">
        <f>'青岛 - 螺纹'!T54</f>
        <v>0</v>
      </c>
      <c r="E55" s="273"/>
      <c r="F55" s="273"/>
      <c r="G55" s="273"/>
      <c r="H55" s="274">
        <f>'青岛 - 螺纹'!AE54+'青岛 - 盘螺'!AE54</f>
        <v>0</v>
      </c>
      <c r="I55" s="284"/>
      <c r="J55" s="274">
        <f>'连云港 - 螺纹'!AE54+'连云港 - 盘螺'!AE54</f>
        <v>0</v>
      </c>
      <c r="K55" s="284"/>
      <c r="L55" s="274">
        <f>'苏南 - 螺纹'!AE54+'苏南 - 盘螺'!AE54</f>
        <v>0</v>
      </c>
      <c r="M55" s="284"/>
      <c r="N55" s="287"/>
      <c r="O55" s="289">
        <f>IF(VLOOKUP(A55,每日销量追踪!$A$4:$CM$310,2,0)=1,VLOOKUP(A55,每日销量追踪!$A$4:$CM$310,15,0),(VLOOKUP(A55,每日销量追踪!$A$4:$CM$310,15,0)-VLOOKUP(A55-1,每日销量追踪!$A$4:$CM$310,15,0)))</f>
        <v>0</v>
      </c>
      <c r="P55" s="293">
        <v>1.2</v>
      </c>
      <c r="Q55" s="274">
        <f>'青岛 - 螺纹'!O54+'青岛 - 螺纹'!P54</f>
        <v>0</v>
      </c>
      <c r="R55" s="297">
        <f>'青岛 - 盘螺'!O54+'青岛 - 盘螺'!P54</f>
        <v>0</v>
      </c>
      <c r="S55" s="298">
        <f>'连云港 - 螺纹'!O54+'连云港 - 螺纹'!P54</f>
        <v>0</v>
      </c>
      <c r="T55" s="299">
        <f>'连云港 - 盘螺'!O54+'连云港 - 盘螺'!P54</f>
        <v>0</v>
      </c>
      <c r="U55" s="298">
        <f>'苏南 - 螺纹'!O54+'苏南 - 螺纹'!P54</f>
        <v>0</v>
      </c>
      <c r="V55" s="299">
        <f>'苏南 - 盘螺'!O54+'苏南 - 盘螺'!P54</f>
        <v>0</v>
      </c>
      <c r="W55" s="274">
        <f>'青岛 - 螺纹'!D54</f>
        <v>0</v>
      </c>
      <c r="X55" s="297">
        <f>'青岛 - 盘螺'!D54</f>
        <v>0</v>
      </c>
      <c r="Y55" s="298">
        <f>'连云港 - 螺纹'!D54</f>
        <v>0</v>
      </c>
      <c r="Z55" s="299">
        <f>'连云港 - 盘螺'!D54</f>
        <v>0</v>
      </c>
      <c r="AA55" s="298">
        <f>'苏南 - 螺纹'!D54</f>
        <v>0</v>
      </c>
      <c r="AB55" s="299">
        <f>'苏南 - 盘螺'!D54</f>
        <v>0</v>
      </c>
      <c r="AC55" s="274">
        <f>'青岛 - 螺纹'!B54</f>
        <v>0</v>
      </c>
      <c r="AD55" s="297">
        <f>'青岛 - 盘螺'!B54</f>
        <v>0</v>
      </c>
      <c r="AE55" s="298">
        <f>'连云港 - 螺纹'!B54</f>
        <v>0</v>
      </c>
      <c r="AF55" s="299">
        <f>'连云港 - 盘螺'!B54</f>
        <v>0</v>
      </c>
      <c r="AG55" s="298">
        <f>'苏南 - 螺纹'!B54</f>
        <v>0</v>
      </c>
      <c r="AH55" s="299">
        <f>'苏南 - 盘螺'!B54</f>
        <v>0</v>
      </c>
    </row>
    <row r="56" spans="1:34">
      <c r="A56" s="270">
        <v>44553</v>
      </c>
      <c r="B56" s="271">
        <f>'青岛 - 螺纹'!U55</f>
        <v>0</v>
      </c>
      <c r="C56" s="272">
        <f>'青岛 - 螺纹'!S55</f>
        <v>0</v>
      </c>
      <c r="D56" s="272">
        <f>'青岛 - 螺纹'!T55</f>
        <v>0</v>
      </c>
      <c r="E56" s="273"/>
      <c r="F56" s="273"/>
      <c r="G56" s="273"/>
      <c r="H56" s="274">
        <f>'青岛 - 螺纹'!AE55+'青岛 - 盘螺'!AE55</f>
        <v>0</v>
      </c>
      <c r="I56" s="284"/>
      <c r="J56" s="274">
        <f>'连云港 - 螺纹'!AE55+'连云港 - 盘螺'!AE55</f>
        <v>0</v>
      </c>
      <c r="K56" s="284"/>
      <c r="L56" s="274">
        <f>'苏南 - 螺纹'!AE55+'苏南 - 盘螺'!AE55</f>
        <v>0</v>
      </c>
      <c r="M56" s="284"/>
      <c r="N56" s="287"/>
      <c r="O56" s="289">
        <f>IF(VLOOKUP(A56,每日销量追踪!$A$4:$CM$310,2,0)=1,VLOOKUP(A56,每日销量追踪!$A$4:$CM$310,15,0),(VLOOKUP(A56,每日销量追踪!$A$4:$CM$310,15,0)-VLOOKUP(A56-1,每日销量追踪!$A$4:$CM$310,15,0)))</f>
        <v>0</v>
      </c>
      <c r="P56" s="293">
        <v>1.2</v>
      </c>
      <c r="Q56" s="274">
        <f>'青岛 - 螺纹'!O55+'青岛 - 螺纹'!P55</f>
        <v>0</v>
      </c>
      <c r="R56" s="297">
        <f>'青岛 - 盘螺'!O55+'青岛 - 盘螺'!P55</f>
        <v>0</v>
      </c>
      <c r="S56" s="298">
        <f>'连云港 - 螺纹'!O55+'连云港 - 螺纹'!P55</f>
        <v>0</v>
      </c>
      <c r="T56" s="299">
        <f>'连云港 - 盘螺'!O55+'连云港 - 盘螺'!P55</f>
        <v>0</v>
      </c>
      <c r="U56" s="298">
        <f>'苏南 - 螺纹'!O55+'苏南 - 螺纹'!P55</f>
        <v>0</v>
      </c>
      <c r="V56" s="299">
        <f>'苏南 - 盘螺'!O55+'苏南 - 盘螺'!P55</f>
        <v>0</v>
      </c>
      <c r="W56" s="274">
        <f>'青岛 - 螺纹'!D55</f>
        <v>0</v>
      </c>
      <c r="X56" s="297">
        <f>'青岛 - 盘螺'!D55</f>
        <v>0</v>
      </c>
      <c r="Y56" s="298">
        <f>'连云港 - 螺纹'!D55</f>
        <v>0</v>
      </c>
      <c r="Z56" s="299">
        <f>'连云港 - 盘螺'!D55</f>
        <v>0</v>
      </c>
      <c r="AA56" s="298">
        <f>'苏南 - 螺纹'!D55</f>
        <v>0</v>
      </c>
      <c r="AB56" s="299">
        <f>'苏南 - 盘螺'!D55</f>
        <v>0</v>
      </c>
      <c r="AC56" s="274">
        <f>'青岛 - 螺纹'!B55</f>
        <v>0</v>
      </c>
      <c r="AD56" s="297">
        <f>'青岛 - 盘螺'!B55</f>
        <v>0</v>
      </c>
      <c r="AE56" s="298">
        <f>'连云港 - 螺纹'!B55</f>
        <v>0</v>
      </c>
      <c r="AF56" s="299">
        <f>'连云港 - 盘螺'!B55</f>
        <v>0</v>
      </c>
      <c r="AG56" s="298">
        <f>'苏南 - 螺纹'!B55</f>
        <v>0</v>
      </c>
      <c r="AH56" s="299">
        <f>'苏南 - 盘螺'!B55</f>
        <v>0</v>
      </c>
    </row>
    <row r="57" spans="1:34">
      <c r="A57" s="270">
        <v>44554</v>
      </c>
      <c r="B57" s="271">
        <f>'青岛 - 螺纹'!U56</f>
        <v>0</v>
      </c>
      <c r="C57" s="272">
        <f>'青岛 - 螺纹'!S56</f>
        <v>0</v>
      </c>
      <c r="D57" s="272">
        <f>'青岛 - 螺纹'!T56</f>
        <v>0</v>
      </c>
      <c r="E57" s="273"/>
      <c r="F57" s="273"/>
      <c r="G57" s="273"/>
      <c r="H57" s="274">
        <f>'青岛 - 螺纹'!AE56+'青岛 - 盘螺'!AE56</f>
        <v>0</v>
      </c>
      <c r="I57" s="284"/>
      <c r="J57" s="274">
        <f>'连云港 - 螺纹'!AE56+'连云港 - 盘螺'!AE56</f>
        <v>0</v>
      </c>
      <c r="K57" s="284"/>
      <c r="L57" s="274">
        <f>'苏南 - 螺纹'!AE56+'苏南 - 盘螺'!AE56</f>
        <v>0</v>
      </c>
      <c r="M57" s="284"/>
      <c r="N57" s="287"/>
      <c r="O57" s="289">
        <f>IF(VLOOKUP(A57,每日销量追踪!$A$4:$CM$310,2,0)=1,VLOOKUP(A57,每日销量追踪!$A$4:$CM$310,15,0),(VLOOKUP(A57,每日销量追踪!$A$4:$CM$310,15,0)-VLOOKUP(A57-1,每日销量追踪!$A$4:$CM$310,15,0)))</f>
        <v>0</v>
      </c>
      <c r="P57" s="293">
        <v>1.2</v>
      </c>
      <c r="Q57" s="274">
        <f>'青岛 - 螺纹'!O56+'青岛 - 螺纹'!P56</f>
        <v>0</v>
      </c>
      <c r="R57" s="297">
        <f>'青岛 - 盘螺'!O56+'青岛 - 盘螺'!P56</f>
        <v>0</v>
      </c>
      <c r="S57" s="298">
        <f>'连云港 - 螺纹'!O56+'连云港 - 螺纹'!P56</f>
        <v>0</v>
      </c>
      <c r="T57" s="299">
        <f>'连云港 - 盘螺'!O56+'连云港 - 盘螺'!P56</f>
        <v>0</v>
      </c>
      <c r="U57" s="298">
        <f>'苏南 - 螺纹'!O56+'苏南 - 螺纹'!P56</f>
        <v>0</v>
      </c>
      <c r="V57" s="299">
        <f>'苏南 - 盘螺'!O56+'苏南 - 盘螺'!P56</f>
        <v>0</v>
      </c>
      <c r="W57" s="274">
        <f>'青岛 - 螺纹'!D56</f>
        <v>0</v>
      </c>
      <c r="X57" s="297">
        <f>'青岛 - 盘螺'!D56</f>
        <v>0</v>
      </c>
      <c r="Y57" s="298">
        <f>'连云港 - 螺纹'!D56</f>
        <v>0</v>
      </c>
      <c r="Z57" s="299">
        <f>'连云港 - 盘螺'!D56</f>
        <v>0</v>
      </c>
      <c r="AA57" s="298">
        <f>'苏南 - 螺纹'!D56</f>
        <v>0</v>
      </c>
      <c r="AB57" s="299">
        <f>'苏南 - 盘螺'!D56</f>
        <v>0</v>
      </c>
      <c r="AC57" s="274">
        <f>'青岛 - 螺纹'!B56</f>
        <v>0</v>
      </c>
      <c r="AD57" s="297">
        <f>'青岛 - 盘螺'!B56</f>
        <v>0</v>
      </c>
      <c r="AE57" s="298">
        <f>'连云港 - 螺纹'!B56</f>
        <v>0</v>
      </c>
      <c r="AF57" s="299">
        <f>'连云港 - 盘螺'!B56</f>
        <v>0</v>
      </c>
      <c r="AG57" s="298">
        <f>'苏南 - 螺纹'!B56</f>
        <v>0</v>
      </c>
      <c r="AH57" s="299">
        <f>'苏南 - 盘螺'!B56</f>
        <v>0</v>
      </c>
    </row>
    <row r="58" spans="1:34">
      <c r="A58" s="270">
        <v>44555</v>
      </c>
      <c r="B58" s="271">
        <f>'青岛 - 螺纹'!U57</f>
        <v>0</v>
      </c>
      <c r="C58" s="272">
        <f>'青岛 - 螺纹'!S57</f>
        <v>0</v>
      </c>
      <c r="D58" s="272">
        <f>'青岛 - 螺纹'!T57</f>
        <v>0</v>
      </c>
      <c r="E58" s="273"/>
      <c r="F58" s="273"/>
      <c r="G58" s="273"/>
      <c r="H58" s="274">
        <f>'青岛 - 螺纹'!AE57+'青岛 - 盘螺'!AE57</f>
        <v>0</v>
      </c>
      <c r="I58" s="284"/>
      <c r="J58" s="274">
        <f>'连云港 - 螺纹'!AE57+'连云港 - 盘螺'!AE57</f>
        <v>0</v>
      </c>
      <c r="K58" s="284"/>
      <c r="L58" s="274">
        <f>'苏南 - 螺纹'!AE57+'苏南 - 盘螺'!AE57</f>
        <v>0</v>
      </c>
      <c r="M58" s="284"/>
      <c r="N58" s="287"/>
      <c r="O58" s="289">
        <f>IF(VLOOKUP(A58,每日销量追踪!$A$4:$CM$310,2,0)=1,VLOOKUP(A58,每日销量追踪!$A$4:$CM$310,15,0),(VLOOKUP(A58,每日销量追踪!$A$4:$CM$310,15,0)-VLOOKUP(A58-1,每日销量追踪!$A$4:$CM$310,15,0)))</f>
        <v>0</v>
      </c>
      <c r="P58" s="293">
        <v>1.2</v>
      </c>
      <c r="Q58" s="274">
        <f>'青岛 - 螺纹'!O57+'青岛 - 螺纹'!P57</f>
        <v>0</v>
      </c>
      <c r="R58" s="297">
        <f>'青岛 - 盘螺'!O57+'青岛 - 盘螺'!P57</f>
        <v>0</v>
      </c>
      <c r="S58" s="298">
        <f>'连云港 - 螺纹'!O57+'连云港 - 螺纹'!P57</f>
        <v>0</v>
      </c>
      <c r="T58" s="299">
        <f>'连云港 - 盘螺'!O57+'连云港 - 盘螺'!P57</f>
        <v>0</v>
      </c>
      <c r="U58" s="298">
        <f>'苏南 - 螺纹'!O57+'苏南 - 螺纹'!P57</f>
        <v>0</v>
      </c>
      <c r="V58" s="299">
        <f>'苏南 - 盘螺'!O57+'苏南 - 盘螺'!P57</f>
        <v>0</v>
      </c>
      <c r="W58" s="274">
        <f>'青岛 - 螺纹'!D57</f>
        <v>0</v>
      </c>
      <c r="X58" s="297">
        <f>'青岛 - 盘螺'!D57</f>
        <v>0</v>
      </c>
      <c r="Y58" s="298">
        <f>'连云港 - 螺纹'!D57</f>
        <v>0</v>
      </c>
      <c r="Z58" s="299">
        <f>'连云港 - 盘螺'!D57</f>
        <v>0</v>
      </c>
      <c r="AA58" s="298">
        <f>'苏南 - 螺纹'!D57</f>
        <v>0</v>
      </c>
      <c r="AB58" s="299">
        <f>'苏南 - 盘螺'!D57</f>
        <v>0</v>
      </c>
      <c r="AC58" s="274">
        <f>'青岛 - 螺纹'!B57</f>
        <v>0</v>
      </c>
      <c r="AD58" s="297">
        <f>'青岛 - 盘螺'!B57</f>
        <v>0</v>
      </c>
      <c r="AE58" s="298">
        <f>'连云港 - 螺纹'!B57</f>
        <v>0</v>
      </c>
      <c r="AF58" s="299">
        <f>'连云港 - 盘螺'!B57</f>
        <v>0</v>
      </c>
      <c r="AG58" s="298">
        <f>'苏南 - 螺纹'!B57</f>
        <v>0</v>
      </c>
      <c r="AH58" s="299">
        <f>'苏南 - 盘螺'!B57</f>
        <v>0</v>
      </c>
    </row>
    <row r="59" spans="1:34">
      <c r="A59" s="270">
        <v>44556</v>
      </c>
      <c r="B59" s="271">
        <f>'青岛 - 螺纹'!U58</f>
        <v>0</v>
      </c>
      <c r="C59" s="272">
        <f>'青岛 - 螺纹'!S58</f>
        <v>0</v>
      </c>
      <c r="D59" s="272">
        <f>'青岛 - 螺纹'!T58</f>
        <v>0</v>
      </c>
      <c r="E59" s="273"/>
      <c r="F59" s="273"/>
      <c r="G59" s="273"/>
      <c r="H59" s="274">
        <f>'青岛 - 螺纹'!AE58+'青岛 - 盘螺'!AE58</f>
        <v>0</v>
      </c>
      <c r="I59" s="284"/>
      <c r="J59" s="274">
        <f>'连云港 - 螺纹'!AE58+'连云港 - 盘螺'!AE58</f>
        <v>0</v>
      </c>
      <c r="K59" s="284"/>
      <c r="L59" s="274">
        <f>'苏南 - 螺纹'!AE58+'苏南 - 盘螺'!AE58</f>
        <v>0</v>
      </c>
      <c r="M59" s="284"/>
      <c r="N59" s="287"/>
      <c r="O59" s="289">
        <f>IF(VLOOKUP(A59,每日销量追踪!$A$4:$CM$310,2,0)=1,VLOOKUP(A59,每日销量追踪!$A$4:$CM$310,15,0),(VLOOKUP(A59,每日销量追踪!$A$4:$CM$310,15,0)-VLOOKUP(A59-1,每日销量追踪!$A$4:$CM$310,15,0)))</f>
        <v>0</v>
      </c>
      <c r="P59" s="293">
        <v>1.2</v>
      </c>
      <c r="Q59" s="274">
        <f>'青岛 - 螺纹'!O58+'青岛 - 螺纹'!P58</f>
        <v>0</v>
      </c>
      <c r="R59" s="297">
        <f>'青岛 - 盘螺'!O58+'青岛 - 盘螺'!P58</f>
        <v>0</v>
      </c>
      <c r="S59" s="298">
        <f>'连云港 - 螺纹'!O58+'连云港 - 螺纹'!P58</f>
        <v>0</v>
      </c>
      <c r="T59" s="299">
        <f>'连云港 - 盘螺'!O58+'连云港 - 盘螺'!P58</f>
        <v>0</v>
      </c>
      <c r="U59" s="298">
        <f>'苏南 - 螺纹'!O58+'苏南 - 螺纹'!P58</f>
        <v>0</v>
      </c>
      <c r="V59" s="299">
        <f>'苏南 - 盘螺'!O58+'苏南 - 盘螺'!P58</f>
        <v>0</v>
      </c>
      <c r="W59" s="274">
        <f>'青岛 - 螺纹'!D58</f>
        <v>0</v>
      </c>
      <c r="X59" s="297">
        <f>'青岛 - 盘螺'!D58</f>
        <v>0</v>
      </c>
      <c r="Y59" s="298">
        <f>'连云港 - 螺纹'!D58</f>
        <v>0</v>
      </c>
      <c r="Z59" s="299">
        <f>'连云港 - 盘螺'!D58</f>
        <v>0</v>
      </c>
      <c r="AA59" s="298">
        <f>'苏南 - 螺纹'!D58</f>
        <v>0</v>
      </c>
      <c r="AB59" s="299">
        <f>'苏南 - 盘螺'!D58</f>
        <v>0</v>
      </c>
      <c r="AC59" s="274">
        <f>'青岛 - 螺纹'!B58</f>
        <v>0</v>
      </c>
      <c r="AD59" s="297">
        <f>'青岛 - 盘螺'!B58</f>
        <v>0</v>
      </c>
      <c r="AE59" s="298">
        <f>'连云港 - 螺纹'!B58</f>
        <v>0</v>
      </c>
      <c r="AF59" s="299">
        <f>'连云港 - 盘螺'!B58</f>
        <v>0</v>
      </c>
      <c r="AG59" s="298">
        <f>'苏南 - 螺纹'!B58</f>
        <v>0</v>
      </c>
      <c r="AH59" s="299">
        <f>'苏南 - 盘螺'!B58</f>
        <v>0</v>
      </c>
    </row>
    <row r="60" spans="1:34">
      <c r="A60" s="270">
        <v>44557</v>
      </c>
      <c r="B60" s="271">
        <f>'青岛 - 螺纹'!U59</f>
        <v>0</v>
      </c>
      <c r="C60" s="272">
        <f>'青岛 - 螺纹'!S59</f>
        <v>0</v>
      </c>
      <c r="D60" s="272">
        <f>'青岛 - 螺纹'!T59</f>
        <v>0</v>
      </c>
      <c r="E60" s="273"/>
      <c r="F60" s="273"/>
      <c r="G60" s="273"/>
      <c r="H60" s="274">
        <f>'青岛 - 螺纹'!AE59+'青岛 - 盘螺'!AE59</f>
        <v>0</v>
      </c>
      <c r="I60" s="284"/>
      <c r="J60" s="274">
        <f>'连云港 - 螺纹'!AE59+'连云港 - 盘螺'!AE59</f>
        <v>0</v>
      </c>
      <c r="K60" s="284"/>
      <c r="L60" s="274">
        <f>'苏南 - 螺纹'!AE59+'苏南 - 盘螺'!AE59</f>
        <v>0</v>
      </c>
      <c r="M60" s="284"/>
      <c r="N60" s="287"/>
      <c r="O60" s="289">
        <f>IF(VLOOKUP(A60,每日销量追踪!$A$4:$CM$310,2,0)=1,VLOOKUP(A60,每日销量追踪!$A$4:$CM$310,15,0),(VLOOKUP(A60,每日销量追踪!$A$4:$CM$310,15,0)-VLOOKUP(A60-1,每日销量追踪!$A$4:$CM$310,15,0)))</f>
        <v>0</v>
      </c>
      <c r="P60" s="293">
        <v>1.2</v>
      </c>
      <c r="Q60" s="274">
        <f>'青岛 - 螺纹'!O59+'青岛 - 螺纹'!P59</f>
        <v>0</v>
      </c>
      <c r="R60" s="297">
        <f>'青岛 - 盘螺'!O59+'青岛 - 盘螺'!P59</f>
        <v>0</v>
      </c>
      <c r="S60" s="298">
        <f>'连云港 - 螺纹'!O59+'连云港 - 螺纹'!P59</f>
        <v>0</v>
      </c>
      <c r="T60" s="299">
        <f>'连云港 - 盘螺'!O59+'连云港 - 盘螺'!P59</f>
        <v>0</v>
      </c>
      <c r="U60" s="298">
        <f>'苏南 - 螺纹'!O59+'苏南 - 螺纹'!P59</f>
        <v>0</v>
      </c>
      <c r="V60" s="299">
        <f>'苏南 - 盘螺'!O59+'苏南 - 盘螺'!P59</f>
        <v>0</v>
      </c>
      <c r="W60" s="274">
        <f>'青岛 - 螺纹'!D59</f>
        <v>0</v>
      </c>
      <c r="X60" s="297">
        <f>'青岛 - 盘螺'!D59</f>
        <v>0</v>
      </c>
      <c r="Y60" s="298">
        <f>'连云港 - 螺纹'!D59</f>
        <v>0</v>
      </c>
      <c r="Z60" s="299">
        <f>'连云港 - 盘螺'!D59</f>
        <v>0</v>
      </c>
      <c r="AA60" s="298">
        <f>'苏南 - 螺纹'!D59</f>
        <v>0</v>
      </c>
      <c r="AB60" s="299">
        <f>'苏南 - 盘螺'!D59</f>
        <v>0</v>
      </c>
      <c r="AC60" s="274">
        <f>'青岛 - 螺纹'!B59</f>
        <v>0</v>
      </c>
      <c r="AD60" s="297">
        <f>'青岛 - 盘螺'!B59</f>
        <v>0</v>
      </c>
      <c r="AE60" s="298">
        <f>'连云港 - 螺纹'!B59</f>
        <v>0</v>
      </c>
      <c r="AF60" s="299">
        <f>'连云港 - 盘螺'!B59</f>
        <v>0</v>
      </c>
      <c r="AG60" s="298">
        <f>'苏南 - 螺纹'!B59</f>
        <v>0</v>
      </c>
      <c r="AH60" s="299">
        <f>'苏南 - 盘螺'!B59</f>
        <v>0</v>
      </c>
    </row>
    <row r="61" spans="1:34">
      <c r="A61" s="270">
        <v>44558</v>
      </c>
      <c r="B61" s="271">
        <f>'青岛 - 螺纹'!U60</f>
        <v>0</v>
      </c>
      <c r="C61" s="272">
        <f>'青岛 - 螺纹'!S60</f>
        <v>0</v>
      </c>
      <c r="D61" s="272">
        <f>'青岛 - 螺纹'!T60</f>
        <v>0</v>
      </c>
      <c r="E61" s="273"/>
      <c r="F61" s="273"/>
      <c r="G61" s="273"/>
      <c r="H61" s="274">
        <f>'青岛 - 螺纹'!AE60+'青岛 - 盘螺'!AE60</f>
        <v>0</v>
      </c>
      <c r="I61" s="284"/>
      <c r="J61" s="274">
        <f>'连云港 - 螺纹'!AE60+'连云港 - 盘螺'!AE60</f>
        <v>0</v>
      </c>
      <c r="K61" s="284"/>
      <c r="L61" s="274">
        <f>'苏南 - 螺纹'!AE60+'苏南 - 盘螺'!AE60</f>
        <v>0</v>
      </c>
      <c r="M61" s="284"/>
      <c r="N61" s="287"/>
      <c r="O61" s="289">
        <f>IF(VLOOKUP(A61,每日销量追踪!$A$4:$CM$310,2,0)=1,VLOOKUP(A61,每日销量追踪!$A$4:$CM$310,15,0),(VLOOKUP(A61,每日销量追踪!$A$4:$CM$310,15,0)-VLOOKUP(A61-1,每日销量追踪!$A$4:$CM$310,15,0)))</f>
        <v>0</v>
      </c>
      <c r="P61" s="293">
        <v>1.2</v>
      </c>
      <c r="Q61" s="274">
        <f>'青岛 - 螺纹'!O60+'青岛 - 螺纹'!P60</f>
        <v>0</v>
      </c>
      <c r="R61" s="297">
        <f>'青岛 - 盘螺'!O60+'青岛 - 盘螺'!P60</f>
        <v>0</v>
      </c>
      <c r="S61" s="298">
        <f>'连云港 - 螺纹'!O60+'连云港 - 螺纹'!P60</f>
        <v>0</v>
      </c>
      <c r="T61" s="299">
        <f>'连云港 - 盘螺'!O60+'连云港 - 盘螺'!P60</f>
        <v>0</v>
      </c>
      <c r="U61" s="298">
        <f>'苏南 - 螺纹'!O60+'苏南 - 螺纹'!P60</f>
        <v>0</v>
      </c>
      <c r="V61" s="299">
        <f>'苏南 - 盘螺'!O60+'苏南 - 盘螺'!P60</f>
        <v>0</v>
      </c>
      <c r="W61" s="274">
        <f>'青岛 - 螺纹'!D60</f>
        <v>0</v>
      </c>
      <c r="X61" s="297">
        <f>'青岛 - 盘螺'!D60</f>
        <v>0</v>
      </c>
      <c r="Y61" s="298">
        <f>'连云港 - 螺纹'!D60</f>
        <v>0</v>
      </c>
      <c r="Z61" s="299">
        <f>'连云港 - 盘螺'!D60</f>
        <v>0</v>
      </c>
      <c r="AA61" s="298">
        <f>'苏南 - 螺纹'!D60</f>
        <v>0</v>
      </c>
      <c r="AB61" s="299">
        <f>'苏南 - 盘螺'!D60</f>
        <v>0</v>
      </c>
      <c r="AC61" s="274">
        <f>'青岛 - 螺纹'!B60</f>
        <v>0</v>
      </c>
      <c r="AD61" s="297">
        <f>'青岛 - 盘螺'!B60</f>
        <v>0</v>
      </c>
      <c r="AE61" s="298">
        <f>'连云港 - 螺纹'!B60</f>
        <v>0</v>
      </c>
      <c r="AF61" s="299">
        <f>'连云港 - 盘螺'!B60</f>
        <v>0</v>
      </c>
      <c r="AG61" s="298">
        <f>'苏南 - 螺纹'!B60</f>
        <v>0</v>
      </c>
      <c r="AH61" s="299">
        <f>'苏南 - 盘螺'!B60</f>
        <v>0</v>
      </c>
    </row>
    <row r="62" spans="1:34">
      <c r="A62" s="270">
        <v>44559</v>
      </c>
      <c r="B62" s="271">
        <f>'青岛 - 螺纹'!U61</f>
        <v>0</v>
      </c>
      <c r="C62" s="272">
        <f>'青岛 - 螺纹'!S61</f>
        <v>0</v>
      </c>
      <c r="D62" s="272">
        <f>'青岛 - 螺纹'!T61</f>
        <v>0</v>
      </c>
      <c r="E62" s="273"/>
      <c r="F62" s="273"/>
      <c r="G62" s="273"/>
      <c r="H62" s="274">
        <f>'青岛 - 螺纹'!AE61+'青岛 - 盘螺'!AE61</f>
        <v>0</v>
      </c>
      <c r="I62" s="284"/>
      <c r="J62" s="274">
        <f>'连云港 - 螺纹'!AE61+'连云港 - 盘螺'!AE61</f>
        <v>0</v>
      </c>
      <c r="K62" s="284"/>
      <c r="L62" s="274">
        <f>'苏南 - 螺纹'!AE61+'苏南 - 盘螺'!AE61</f>
        <v>0</v>
      </c>
      <c r="M62" s="284"/>
      <c r="N62" s="287"/>
      <c r="O62" s="289">
        <f>IF(VLOOKUP(A62,每日销量追踪!$A$4:$CM$310,2,0)=1,VLOOKUP(A62,每日销量追踪!$A$4:$CM$310,15,0),(VLOOKUP(A62,每日销量追踪!$A$4:$CM$310,15,0)-VLOOKUP(A62-1,每日销量追踪!$A$4:$CM$310,15,0)))</f>
        <v>0</v>
      </c>
      <c r="P62" s="293">
        <v>1.2</v>
      </c>
      <c r="Q62" s="274">
        <f>'青岛 - 螺纹'!O61+'青岛 - 螺纹'!P61</f>
        <v>0</v>
      </c>
      <c r="R62" s="297">
        <f>'青岛 - 盘螺'!O61+'青岛 - 盘螺'!P61</f>
        <v>0</v>
      </c>
      <c r="S62" s="298">
        <f>'连云港 - 螺纹'!O61+'连云港 - 螺纹'!P61</f>
        <v>0</v>
      </c>
      <c r="T62" s="299">
        <f>'连云港 - 盘螺'!O61+'连云港 - 盘螺'!P61</f>
        <v>0</v>
      </c>
      <c r="U62" s="298">
        <f>'苏南 - 螺纹'!O61+'苏南 - 螺纹'!P61</f>
        <v>0</v>
      </c>
      <c r="V62" s="299">
        <f>'苏南 - 盘螺'!O61+'苏南 - 盘螺'!P61</f>
        <v>0</v>
      </c>
      <c r="W62" s="274">
        <f>'青岛 - 螺纹'!D61</f>
        <v>0</v>
      </c>
      <c r="X62" s="297">
        <f>'青岛 - 盘螺'!D61</f>
        <v>0</v>
      </c>
      <c r="Y62" s="298">
        <f>'连云港 - 螺纹'!D61</f>
        <v>0</v>
      </c>
      <c r="Z62" s="299">
        <f>'连云港 - 盘螺'!D61</f>
        <v>0</v>
      </c>
      <c r="AA62" s="298">
        <f>'苏南 - 螺纹'!D61</f>
        <v>0</v>
      </c>
      <c r="AB62" s="299">
        <f>'苏南 - 盘螺'!D61</f>
        <v>0</v>
      </c>
      <c r="AC62" s="274">
        <f>'青岛 - 螺纹'!B61</f>
        <v>0</v>
      </c>
      <c r="AD62" s="297">
        <f>'青岛 - 盘螺'!B61</f>
        <v>0</v>
      </c>
      <c r="AE62" s="298">
        <f>'连云港 - 螺纹'!B61</f>
        <v>0</v>
      </c>
      <c r="AF62" s="299">
        <f>'连云港 - 盘螺'!B61</f>
        <v>0</v>
      </c>
      <c r="AG62" s="298">
        <f>'苏南 - 螺纹'!B61</f>
        <v>0</v>
      </c>
      <c r="AH62" s="299">
        <f>'苏南 - 盘螺'!B61</f>
        <v>0</v>
      </c>
    </row>
    <row r="63" spans="1:34">
      <c r="A63" s="270">
        <v>44560</v>
      </c>
      <c r="B63" s="271">
        <f>'青岛 - 螺纹'!U62</f>
        <v>0</v>
      </c>
      <c r="C63" s="272">
        <f>'青岛 - 螺纹'!S62</f>
        <v>0</v>
      </c>
      <c r="D63" s="272">
        <f>'青岛 - 螺纹'!T62</f>
        <v>0</v>
      </c>
      <c r="E63" s="273"/>
      <c r="F63" s="273"/>
      <c r="G63" s="273"/>
      <c r="H63" s="274">
        <f>'青岛 - 螺纹'!AE62+'青岛 - 盘螺'!AE62</f>
        <v>0</v>
      </c>
      <c r="I63" s="284"/>
      <c r="J63" s="274">
        <f>'连云港 - 螺纹'!AE62+'连云港 - 盘螺'!AE62</f>
        <v>0</v>
      </c>
      <c r="K63" s="284"/>
      <c r="L63" s="274">
        <f>'苏南 - 螺纹'!AE62+'苏南 - 盘螺'!AE62</f>
        <v>0</v>
      </c>
      <c r="M63" s="284"/>
      <c r="N63" s="287"/>
      <c r="O63" s="289">
        <f>IF(VLOOKUP(A63,每日销量追踪!$A$4:$CM$310,2,0)=1,VLOOKUP(A63,每日销量追踪!$A$4:$CM$310,15,0),(VLOOKUP(A63,每日销量追踪!$A$4:$CM$310,15,0)-VLOOKUP(A63-1,每日销量追踪!$A$4:$CM$310,15,0)))</f>
        <v>0</v>
      </c>
      <c r="P63" s="293">
        <v>1.2</v>
      </c>
      <c r="Q63" s="274">
        <f>'青岛 - 螺纹'!O62+'青岛 - 螺纹'!P62</f>
        <v>0</v>
      </c>
      <c r="R63" s="297">
        <f>'青岛 - 盘螺'!O62+'青岛 - 盘螺'!P62</f>
        <v>0</v>
      </c>
      <c r="S63" s="298">
        <f>'连云港 - 螺纹'!O62+'连云港 - 螺纹'!P62</f>
        <v>0</v>
      </c>
      <c r="T63" s="299">
        <f>'连云港 - 盘螺'!O62+'连云港 - 盘螺'!P62</f>
        <v>0</v>
      </c>
      <c r="U63" s="298">
        <f>'苏南 - 螺纹'!O62+'苏南 - 螺纹'!P62</f>
        <v>0</v>
      </c>
      <c r="V63" s="299">
        <f>'苏南 - 盘螺'!O62+'苏南 - 盘螺'!P62</f>
        <v>0</v>
      </c>
      <c r="W63" s="274">
        <f>'青岛 - 螺纹'!D62</f>
        <v>0</v>
      </c>
      <c r="X63" s="297">
        <f>'青岛 - 盘螺'!D62</f>
        <v>0</v>
      </c>
      <c r="Y63" s="298">
        <f>'连云港 - 螺纹'!D62</f>
        <v>0</v>
      </c>
      <c r="Z63" s="299">
        <f>'连云港 - 盘螺'!D62</f>
        <v>0</v>
      </c>
      <c r="AA63" s="298">
        <f>'苏南 - 螺纹'!D62</f>
        <v>0</v>
      </c>
      <c r="AB63" s="299">
        <f>'苏南 - 盘螺'!D62</f>
        <v>0</v>
      </c>
      <c r="AC63" s="274">
        <f>'青岛 - 螺纹'!B62</f>
        <v>0</v>
      </c>
      <c r="AD63" s="297">
        <f>'青岛 - 盘螺'!B62</f>
        <v>0</v>
      </c>
      <c r="AE63" s="298">
        <f>'连云港 - 螺纹'!B62</f>
        <v>0</v>
      </c>
      <c r="AF63" s="299">
        <f>'连云港 - 盘螺'!B62</f>
        <v>0</v>
      </c>
      <c r="AG63" s="298">
        <f>'苏南 - 螺纹'!B62</f>
        <v>0</v>
      </c>
      <c r="AH63" s="299">
        <f>'苏南 - 盘螺'!B62</f>
        <v>0</v>
      </c>
    </row>
    <row r="64" spans="1:34">
      <c r="A64" s="270">
        <v>44561</v>
      </c>
      <c r="B64" s="271">
        <f>'青岛 - 螺纹'!U63</f>
        <v>0</v>
      </c>
      <c r="C64" s="272">
        <f>'青岛 - 螺纹'!S63</f>
        <v>0</v>
      </c>
      <c r="D64" s="272">
        <f>'青岛 - 螺纹'!T63</f>
        <v>0</v>
      </c>
      <c r="E64" s="273"/>
      <c r="F64" s="273"/>
      <c r="G64" s="273"/>
      <c r="H64" s="274">
        <f>'青岛 - 螺纹'!AE63+'青岛 - 盘螺'!AE63</f>
        <v>0</v>
      </c>
      <c r="I64" s="284"/>
      <c r="J64" s="274">
        <f>'连云港 - 螺纹'!AE63+'连云港 - 盘螺'!AE63</f>
        <v>0</v>
      </c>
      <c r="K64" s="284"/>
      <c r="L64" s="274">
        <f>'苏南 - 螺纹'!AE63+'苏南 - 盘螺'!AE63</f>
        <v>0</v>
      </c>
      <c r="M64" s="284"/>
      <c r="N64" s="287"/>
      <c r="O64" s="289">
        <f>IF(VLOOKUP(A64,每日销量追踪!$A$4:$CM$310,2,0)=1,VLOOKUP(A64,每日销量追踪!$A$4:$CM$310,15,0),(VLOOKUP(A64,每日销量追踪!$A$4:$CM$310,15,0)-VLOOKUP(A64-1,每日销量追踪!$A$4:$CM$310,15,0)))</f>
        <v>0</v>
      </c>
      <c r="P64" s="293">
        <v>1.2</v>
      </c>
      <c r="Q64" s="274">
        <f>'青岛 - 螺纹'!O63+'青岛 - 螺纹'!P63</f>
        <v>0</v>
      </c>
      <c r="R64" s="297">
        <f>'青岛 - 盘螺'!O63+'青岛 - 盘螺'!P63</f>
        <v>0</v>
      </c>
      <c r="S64" s="298">
        <f>'连云港 - 螺纹'!O63+'连云港 - 螺纹'!P63</f>
        <v>0</v>
      </c>
      <c r="T64" s="299">
        <f>'连云港 - 盘螺'!O63+'连云港 - 盘螺'!P63</f>
        <v>0</v>
      </c>
      <c r="U64" s="298">
        <f>'苏南 - 螺纹'!O63+'苏南 - 螺纹'!P63</f>
        <v>0</v>
      </c>
      <c r="V64" s="299">
        <f>'苏南 - 盘螺'!O63+'苏南 - 盘螺'!P63</f>
        <v>0</v>
      </c>
      <c r="W64" s="274">
        <f>'青岛 - 螺纹'!D63</f>
        <v>0</v>
      </c>
      <c r="X64" s="297">
        <f>'青岛 - 盘螺'!D63</f>
        <v>0</v>
      </c>
      <c r="Y64" s="298">
        <f>'连云港 - 螺纹'!D63</f>
        <v>0</v>
      </c>
      <c r="Z64" s="299">
        <f>'连云港 - 盘螺'!D63</f>
        <v>0</v>
      </c>
      <c r="AA64" s="298">
        <f>'苏南 - 螺纹'!D63</f>
        <v>0</v>
      </c>
      <c r="AB64" s="299">
        <f>'苏南 - 盘螺'!D63</f>
        <v>0</v>
      </c>
      <c r="AC64" s="274">
        <f>'青岛 - 螺纹'!B63</f>
        <v>0</v>
      </c>
      <c r="AD64" s="297">
        <f>'青岛 - 盘螺'!B63</f>
        <v>0</v>
      </c>
      <c r="AE64" s="298">
        <f>'连云港 - 螺纹'!B63</f>
        <v>0</v>
      </c>
      <c r="AF64" s="299">
        <f>'连云港 - 盘螺'!B63</f>
        <v>0</v>
      </c>
      <c r="AG64" s="298">
        <f>'苏南 - 螺纹'!B63</f>
        <v>0</v>
      </c>
      <c r="AH64" s="299">
        <f>'苏南 - 盘螺'!B63</f>
        <v>0</v>
      </c>
    </row>
    <row r="65" spans="1:34">
      <c r="A65" s="270">
        <v>44562</v>
      </c>
      <c r="B65" s="271">
        <f>'青岛 - 螺纹'!U64</f>
        <v>0</v>
      </c>
      <c r="C65" s="272">
        <f>'青岛 - 螺纹'!S64</f>
        <v>0</v>
      </c>
      <c r="D65" s="272">
        <f>'青岛 - 螺纹'!T64</f>
        <v>0</v>
      </c>
      <c r="E65" s="273"/>
      <c r="F65" s="273"/>
      <c r="G65" s="273"/>
      <c r="H65" s="274">
        <f>'青岛 - 螺纹'!AE64+'青岛 - 盘螺'!AE64</f>
        <v>0</v>
      </c>
      <c r="I65" s="284"/>
      <c r="J65" s="274">
        <f>'连云港 - 螺纹'!AE64+'连云港 - 盘螺'!AE64</f>
        <v>0</v>
      </c>
      <c r="K65" s="284"/>
      <c r="L65" s="274">
        <f>'苏南 - 螺纹'!AE64+'苏南 - 盘螺'!AE64</f>
        <v>0</v>
      </c>
      <c r="M65" s="284"/>
      <c r="N65" s="287"/>
      <c r="O65" s="289">
        <f>IF(VLOOKUP(A65,每日销量追踪!$A$4:$CM$310,2,0)=1,VLOOKUP(A65,每日销量追踪!$A$4:$CM$310,15,0),(VLOOKUP(A65,每日销量追踪!$A$4:$CM$310,15,0)-VLOOKUP(A65-1,每日销量追踪!$A$4:$CM$310,15,0)))</f>
        <v>0</v>
      </c>
      <c r="P65" s="293">
        <v>1.2</v>
      </c>
      <c r="Q65" s="274">
        <f>'青岛 - 螺纹'!O64+'青岛 - 螺纹'!P64</f>
        <v>0</v>
      </c>
      <c r="R65" s="297">
        <f>'青岛 - 盘螺'!O64+'青岛 - 盘螺'!P64</f>
        <v>0</v>
      </c>
      <c r="S65" s="298">
        <f>'连云港 - 螺纹'!O64+'连云港 - 螺纹'!P64</f>
        <v>0</v>
      </c>
      <c r="T65" s="299">
        <f>'连云港 - 盘螺'!O64+'连云港 - 盘螺'!P64</f>
        <v>0</v>
      </c>
      <c r="U65" s="298">
        <f>'苏南 - 螺纹'!O64+'苏南 - 螺纹'!P64</f>
        <v>0</v>
      </c>
      <c r="V65" s="299">
        <f>'苏南 - 盘螺'!O64+'苏南 - 盘螺'!P64</f>
        <v>0</v>
      </c>
      <c r="W65" s="274">
        <f>'青岛 - 螺纹'!D64</f>
        <v>0</v>
      </c>
      <c r="X65" s="297">
        <f>'青岛 - 盘螺'!D64</f>
        <v>0</v>
      </c>
      <c r="Y65" s="298">
        <f>'连云港 - 螺纹'!D64</f>
        <v>0</v>
      </c>
      <c r="Z65" s="299">
        <f>'连云港 - 盘螺'!D64</f>
        <v>0</v>
      </c>
      <c r="AA65" s="298">
        <f>'苏南 - 螺纹'!D64</f>
        <v>0</v>
      </c>
      <c r="AB65" s="299">
        <f>'苏南 - 盘螺'!D64</f>
        <v>0</v>
      </c>
      <c r="AC65" s="274">
        <f>'青岛 - 螺纹'!B64</f>
        <v>0</v>
      </c>
      <c r="AD65" s="297">
        <f>'青岛 - 盘螺'!B64</f>
        <v>0</v>
      </c>
      <c r="AE65" s="298">
        <f>'连云港 - 螺纹'!B64</f>
        <v>0</v>
      </c>
      <c r="AF65" s="299">
        <f>'连云港 - 盘螺'!B64</f>
        <v>0</v>
      </c>
      <c r="AG65" s="298">
        <f>'苏南 - 螺纹'!B64</f>
        <v>0</v>
      </c>
      <c r="AH65" s="299">
        <f>'苏南 - 盘螺'!B64</f>
        <v>0</v>
      </c>
    </row>
    <row r="66" spans="1:34">
      <c r="A66" s="270">
        <v>44563</v>
      </c>
      <c r="B66" s="271">
        <f>'青岛 - 螺纹'!U65</f>
        <v>0</v>
      </c>
      <c r="C66" s="272">
        <f>'青岛 - 螺纹'!S65</f>
        <v>0</v>
      </c>
      <c r="D66" s="272">
        <f>'青岛 - 螺纹'!T65</f>
        <v>0</v>
      </c>
      <c r="E66" s="273"/>
      <c r="F66" s="273"/>
      <c r="G66" s="273"/>
      <c r="H66" s="274">
        <f>'青岛 - 螺纹'!AE65+'青岛 - 盘螺'!AE65</f>
        <v>0</v>
      </c>
      <c r="I66" s="284"/>
      <c r="J66" s="274">
        <f>'连云港 - 螺纹'!AE65+'连云港 - 盘螺'!AE65</f>
        <v>0</v>
      </c>
      <c r="K66" s="284"/>
      <c r="L66" s="274">
        <f>'苏南 - 螺纹'!AE65+'苏南 - 盘螺'!AE65</f>
        <v>0</v>
      </c>
      <c r="M66" s="284"/>
      <c r="N66" s="287"/>
      <c r="O66" s="289">
        <f>IF(VLOOKUP(A66,每日销量追踪!$A$4:$CM$310,2,0)=1,VLOOKUP(A66,每日销量追踪!$A$4:$CM$310,15,0),(VLOOKUP(A66,每日销量追踪!$A$4:$CM$310,15,0)-VLOOKUP(A66-1,每日销量追踪!$A$4:$CM$310,15,0)))</f>
        <v>0</v>
      </c>
      <c r="P66" s="293">
        <v>1.2</v>
      </c>
      <c r="Q66" s="274">
        <f>'青岛 - 螺纹'!O65+'青岛 - 螺纹'!P65</f>
        <v>0</v>
      </c>
      <c r="R66" s="297">
        <f>'青岛 - 盘螺'!O65+'青岛 - 盘螺'!P65</f>
        <v>0</v>
      </c>
      <c r="S66" s="298">
        <f>'连云港 - 螺纹'!O65+'连云港 - 螺纹'!P65</f>
        <v>0</v>
      </c>
      <c r="T66" s="299">
        <f>'连云港 - 盘螺'!O65+'连云港 - 盘螺'!P65</f>
        <v>0</v>
      </c>
      <c r="U66" s="298">
        <f>'苏南 - 螺纹'!O65+'苏南 - 螺纹'!P65</f>
        <v>0</v>
      </c>
      <c r="V66" s="299">
        <f>'苏南 - 盘螺'!O65+'苏南 - 盘螺'!P65</f>
        <v>0</v>
      </c>
      <c r="W66" s="274">
        <f>'青岛 - 螺纹'!D65</f>
        <v>0</v>
      </c>
      <c r="X66" s="297">
        <f>'青岛 - 盘螺'!D65</f>
        <v>0</v>
      </c>
      <c r="Y66" s="298">
        <f>'连云港 - 螺纹'!D65</f>
        <v>0</v>
      </c>
      <c r="Z66" s="299">
        <f>'连云港 - 盘螺'!D65</f>
        <v>0</v>
      </c>
      <c r="AA66" s="298">
        <f>'苏南 - 螺纹'!D65</f>
        <v>0</v>
      </c>
      <c r="AB66" s="299">
        <f>'苏南 - 盘螺'!D65</f>
        <v>0</v>
      </c>
      <c r="AC66" s="274">
        <f>'青岛 - 螺纹'!B65</f>
        <v>0</v>
      </c>
      <c r="AD66" s="297">
        <f>'青岛 - 盘螺'!B65</f>
        <v>0</v>
      </c>
      <c r="AE66" s="298">
        <f>'连云港 - 螺纹'!B65</f>
        <v>0</v>
      </c>
      <c r="AF66" s="299">
        <f>'连云港 - 盘螺'!B65</f>
        <v>0</v>
      </c>
      <c r="AG66" s="298">
        <f>'苏南 - 螺纹'!B65</f>
        <v>0</v>
      </c>
      <c r="AH66" s="299">
        <f>'苏南 - 盘螺'!B65</f>
        <v>0</v>
      </c>
    </row>
    <row r="67" spans="1:34">
      <c r="A67" s="270">
        <v>44564</v>
      </c>
      <c r="B67" s="271">
        <f>'青岛 - 螺纹'!U66</f>
        <v>0</v>
      </c>
      <c r="C67" s="272">
        <f>'青岛 - 螺纹'!S66</f>
        <v>0</v>
      </c>
      <c r="D67" s="272">
        <f>'青岛 - 螺纹'!T66</f>
        <v>0</v>
      </c>
      <c r="E67" s="273"/>
      <c r="F67" s="273"/>
      <c r="G67" s="273"/>
      <c r="H67" s="274">
        <f>'青岛 - 螺纹'!AE66+'青岛 - 盘螺'!AE66</f>
        <v>0</v>
      </c>
      <c r="I67" s="284"/>
      <c r="J67" s="274">
        <f>'连云港 - 螺纹'!AE66+'连云港 - 盘螺'!AE66</f>
        <v>0</v>
      </c>
      <c r="K67" s="284"/>
      <c r="L67" s="274">
        <f>'苏南 - 螺纹'!AE66+'苏南 - 盘螺'!AE66</f>
        <v>0</v>
      </c>
      <c r="M67" s="284"/>
      <c r="N67" s="287"/>
      <c r="O67" s="289" t="e">
        <f>IF(VLOOKUP(A67,每日销量追踪!$A$4:$CM$310,2,0)=1,VLOOKUP(A67,每日销量追踪!$A$4:$CM$310,15,0),(VLOOKUP(A67,每日销量追踪!$A$4:$CM$310,15,0)-VLOOKUP(A67-1,每日销量追踪!$A$4:$CM$310,15,0)))</f>
        <v>#N/A</v>
      </c>
      <c r="P67" s="293">
        <v>1.2</v>
      </c>
      <c r="Q67" s="274">
        <f>'青岛 - 螺纹'!O66+'青岛 - 螺纹'!P66</f>
        <v>0</v>
      </c>
      <c r="R67" s="297">
        <f>'青岛 - 盘螺'!O66+'青岛 - 盘螺'!P66</f>
        <v>0</v>
      </c>
      <c r="S67" s="298">
        <f>'连云港 - 螺纹'!O66+'连云港 - 螺纹'!P66</f>
        <v>0</v>
      </c>
      <c r="T67" s="299">
        <f>'连云港 - 盘螺'!O66+'连云港 - 盘螺'!P66</f>
        <v>0</v>
      </c>
      <c r="U67" s="298">
        <f>'苏南 - 螺纹'!O66+'苏南 - 螺纹'!P66</f>
        <v>0</v>
      </c>
      <c r="V67" s="299">
        <f>'苏南 - 盘螺'!O66+'苏南 - 盘螺'!P66</f>
        <v>0</v>
      </c>
      <c r="W67" s="274">
        <f>'青岛 - 螺纹'!D66</f>
        <v>0</v>
      </c>
      <c r="X67" s="297">
        <f>'青岛 - 盘螺'!D66</f>
        <v>0</v>
      </c>
      <c r="Y67" s="298">
        <f>'连云港 - 螺纹'!D66</f>
        <v>0</v>
      </c>
      <c r="Z67" s="299">
        <f>'连云港 - 盘螺'!D66</f>
        <v>0</v>
      </c>
      <c r="AA67" s="298">
        <f>'苏南 - 螺纹'!D66</f>
        <v>0</v>
      </c>
      <c r="AB67" s="299">
        <f>'苏南 - 盘螺'!D66</f>
        <v>0</v>
      </c>
      <c r="AC67" s="274">
        <f>'青岛 - 螺纹'!B66</f>
        <v>0</v>
      </c>
      <c r="AD67" s="297">
        <f>'青岛 - 盘螺'!B66</f>
        <v>0</v>
      </c>
      <c r="AE67" s="298">
        <f>'连云港 - 螺纹'!B66</f>
        <v>0</v>
      </c>
      <c r="AF67" s="299">
        <f>'连云港 - 盘螺'!B66</f>
        <v>0</v>
      </c>
      <c r="AG67" s="298">
        <f>'苏南 - 螺纹'!B66</f>
        <v>0</v>
      </c>
      <c r="AH67" s="299">
        <f>'苏南 - 盘螺'!B66</f>
        <v>0</v>
      </c>
    </row>
    <row r="68" spans="1:34">
      <c r="A68" s="270">
        <v>44565</v>
      </c>
      <c r="B68" s="271">
        <f>'青岛 - 螺纹'!U67</f>
        <v>0</v>
      </c>
      <c r="C68" s="272">
        <f>'青岛 - 螺纹'!S67</f>
        <v>0</v>
      </c>
      <c r="D68" s="272">
        <f>'青岛 - 螺纹'!T67</f>
        <v>0</v>
      </c>
      <c r="E68" s="273"/>
      <c r="F68" s="273"/>
      <c r="G68" s="273"/>
      <c r="H68" s="274">
        <f>'青岛 - 螺纹'!AE67+'青岛 - 盘螺'!AE67</f>
        <v>0</v>
      </c>
      <c r="I68" s="284"/>
      <c r="J68" s="274">
        <f>'连云港 - 螺纹'!AE67+'连云港 - 盘螺'!AE67</f>
        <v>0</v>
      </c>
      <c r="K68" s="284"/>
      <c r="L68" s="274">
        <f>'苏南 - 螺纹'!AE67+'苏南 - 盘螺'!AE67</f>
        <v>0</v>
      </c>
      <c r="M68" s="284"/>
      <c r="N68" s="287"/>
      <c r="O68" s="289" t="e">
        <f>IF(VLOOKUP(A68,每日销量追踪!$A$4:$CM$310,2,0)=1,VLOOKUP(A68,每日销量追踪!$A$4:$CM$310,15,0),(VLOOKUP(A68,每日销量追踪!$A$4:$CM$310,15,0)-VLOOKUP(A68-1,每日销量追踪!$A$4:$CM$310,15,0)))</f>
        <v>#N/A</v>
      </c>
      <c r="P68" s="293">
        <v>1.2</v>
      </c>
      <c r="Q68" s="274">
        <f>'青岛 - 螺纹'!O67+'青岛 - 螺纹'!P67</f>
        <v>0</v>
      </c>
      <c r="R68" s="297">
        <f>'青岛 - 盘螺'!O67+'青岛 - 盘螺'!P67</f>
        <v>0</v>
      </c>
      <c r="S68" s="298">
        <f>'连云港 - 螺纹'!O67+'连云港 - 螺纹'!P67</f>
        <v>0</v>
      </c>
      <c r="T68" s="299">
        <f>'连云港 - 盘螺'!O67+'连云港 - 盘螺'!P67</f>
        <v>0</v>
      </c>
      <c r="U68" s="298">
        <f>'苏南 - 螺纹'!O67+'苏南 - 螺纹'!P67</f>
        <v>0</v>
      </c>
      <c r="V68" s="299">
        <f>'苏南 - 盘螺'!O67+'苏南 - 盘螺'!P67</f>
        <v>0</v>
      </c>
      <c r="W68" s="274">
        <f>'青岛 - 螺纹'!D67</f>
        <v>0</v>
      </c>
      <c r="X68" s="297">
        <f>'青岛 - 盘螺'!D67</f>
        <v>0</v>
      </c>
      <c r="Y68" s="298">
        <f>'连云港 - 螺纹'!D67</f>
        <v>0</v>
      </c>
      <c r="Z68" s="299">
        <f>'连云港 - 盘螺'!D67</f>
        <v>0</v>
      </c>
      <c r="AA68" s="298">
        <f>'苏南 - 螺纹'!D67</f>
        <v>0</v>
      </c>
      <c r="AB68" s="299">
        <f>'苏南 - 盘螺'!D67</f>
        <v>0</v>
      </c>
      <c r="AC68" s="274">
        <f>'青岛 - 螺纹'!B67</f>
        <v>0</v>
      </c>
      <c r="AD68" s="297">
        <f>'青岛 - 盘螺'!B67</f>
        <v>0</v>
      </c>
      <c r="AE68" s="298">
        <f>'连云港 - 螺纹'!B67</f>
        <v>0</v>
      </c>
      <c r="AF68" s="299">
        <f>'连云港 - 盘螺'!B67</f>
        <v>0</v>
      </c>
      <c r="AG68" s="298">
        <f>'苏南 - 螺纹'!B67</f>
        <v>0</v>
      </c>
      <c r="AH68" s="299">
        <f>'苏南 - 盘螺'!B67</f>
        <v>0</v>
      </c>
    </row>
    <row r="69" spans="1:34">
      <c r="A69" s="270">
        <v>44566</v>
      </c>
      <c r="B69" s="271">
        <f>'青岛 - 螺纹'!U68</f>
        <v>0</v>
      </c>
      <c r="C69" s="272">
        <f>'青岛 - 螺纹'!S68</f>
        <v>0</v>
      </c>
      <c r="D69" s="272">
        <f>'青岛 - 螺纹'!T68</f>
        <v>0</v>
      </c>
      <c r="E69" s="273"/>
      <c r="F69" s="273"/>
      <c r="G69" s="273"/>
      <c r="H69" s="274">
        <f>'青岛 - 螺纹'!AE68+'青岛 - 盘螺'!AE68</f>
        <v>0</v>
      </c>
      <c r="I69" s="284"/>
      <c r="J69" s="274">
        <f>'连云港 - 螺纹'!AE68+'连云港 - 盘螺'!AE68</f>
        <v>0</v>
      </c>
      <c r="K69" s="284"/>
      <c r="L69" s="274">
        <f>'苏南 - 螺纹'!AE68+'苏南 - 盘螺'!AE68</f>
        <v>0</v>
      </c>
      <c r="M69" s="284"/>
      <c r="N69" s="287"/>
      <c r="O69" s="289" t="e">
        <f>IF(VLOOKUP(A69,每日销量追踪!$A$4:$CM$310,2,0)=1,VLOOKUP(A69,每日销量追踪!$A$4:$CM$310,15,0),(VLOOKUP(A69,每日销量追踪!$A$4:$CM$310,15,0)-VLOOKUP(A69-1,每日销量追踪!$A$4:$CM$310,15,0)))</f>
        <v>#N/A</v>
      </c>
      <c r="P69" s="293">
        <v>1.2</v>
      </c>
      <c r="Q69" s="274">
        <f>'青岛 - 螺纹'!O68+'青岛 - 螺纹'!P68</f>
        <v>0</v>
      </c>
      <c r="R69" s="297">
        <f>'青岛 - 盘螺'!O68+'青岛 - 盘螺'!P68</f>
        <v>0</v>
      </c>
      <c r="S69" s="298">
        <f>'连云港 - 螺纹'!O68+'连云港 - 螺纹'!P68</f>
        <v>0</v>
      </c>
      <c r="T69" s="299">
        <f>'连云港 - 盘螺'!O68+'连云港 - 盘螺'!P68</f>
        <v>0</v>
      </c>
      <c r="U69" s="298">
        <f>'苏南 - 螺纹'!O68+'苏南 - 螺纹'!P68</f>
        <v>0</v>
      </c>
      <c r="V69" s="299">
        <f>'苏南 - 盘螺'!O68+'苏南 - 盘螺'!P68</f>
        <v>0</v>
      </c>
      <c r="W69" s="274">
        <f>'青岛 - 螺纹'!D68</f>
        <v>0</v>
      </c>
      <c r="X69" s="297">
        <f>'青岛 - 盘螺'!D68</f>
        <v>0</v>
      </c>
      <c r="Y69" s="298">
        <f>'连云港 - 螺纹'!D68</f>
        <v>0</v>
      </c>
      <c r="Z69" s="299">
        <f>'连云港 - 盘螺'!D68</f>
        <v>0</v>
      </c>
      <c r="AA69" s="298">
        <f>'苏南 - 螺纹'!D68</f>
        <v>0</v>
      </c>
      <c r="AB69" s="299">
        <f>'苏南 - 盘螺'!D68</f>
        <v>0</v>
      </c>
      <c r="AC69" s="274">
        <f>'青岛 - 螺纹'!B68</f>
        <v>0</v>
      </c>
      <c r="AD69" s="297">
        <f>'青岛 - 盘螺'!B68</f>
        <v>0</v>
      </c>
      <c r="AE69" s="298">
        <f>'连云港 - 螺纹'!B68</f>
        <v>0</v>
      </c>
      <c r="AF69" s="299">
        <f>'连云港 - 盘螺'!B68</f>
        <v>0</v>
      </c>
      <c r="AG69" s="298">
        <f>'苏南 - 螺纹'!B68</f>
        <v>0</v>
      </c>
      <c r="AH69" s="299">
        <f>'苏南 - 盘螺'!B68</f>
        <v>0</v>
      </c>
    </row>
    <row r="70" spans="1:34">
      <c r="A70" s="270">
        <v>44567</v>
      </c>
      <c r="B70" s="271">
        <f>'青岛 - 螺纹'!U69</f>
        <v>0</v>
      </c>
      <c r="C70" s="272">
        <f>'青岛 - 螺纹'!S69</f>
        <v>0</v>
      </c>
      <c r="D70" s="272">
        <f>'青岛 - 螺纹'!T69</f>
        <v>0</v>
      </c>
      <c r="E70" s="273"/>
      <c r="F70" s="273"/>
      <c r="G70" s="273"/>
      <c r="H70" s="274">
        <f>'青岛 - 螺纹'!AE69+'青岛 - 盘螺'!AE69</f>
        <v>0</v>
      </c>
      <c r="I70" s="284"/>
      <c r="J70" s="274">
        <f>'连云港 - 螺纹'!AE69+'连云港 - 盘螺'!AE69</f>
        <v>0</v>
      </c>
      <c r="K70" s="284"/>
      <c r="L70" s="274">
        <f>'苏南 - 螺纹'!AE69+'苏南 - 盘螺'!AE69</f>
        <v>0</v>
      </c>
      <c r="M70" s="284"/>
      <c r="N70" s="287"/>
      <c r="O70" s="289" t="e">
        <f>IF(VLOOKUP(A70,每日销量追踪!$A$4:$CM$310,2,0)=1,VLOOKUP(A70,每日销量追踪!$A$4:$CM$310,15,0),(VLOOKUP(A70,每日销量追踪!$A$4:$CM$310,15,0)-VLOOKUP(A70-1,每日销量追踪!$A$4:$CM$310,15,0)))</f>
        <v>#N/A</v>
      </c>
      <c r="P70" s="293">
        <v>1.2</v>
      </c>
      <c r="Q70" s="274">
        <f>'青岛 - 螺纹'!O69+'青岛 - 螺纹'!P69</f>
        <v>0</v>
      </c>
      <c r="R70" s="297">
        <f>'青岛 - 盘螺'!O69+'青岛 - 盘螺'!P69</f>
        <v>0</v>
      </c>
      <c r="S70" s="298">
        <f>'连云港 - 螺纹'!O69+'连云港 - 螺纹'!P69</f>
        <v>0</v>
      </c>
      <c r="T70" s="299">
        <f>'连云港 - 盘螺'!O69+'连云港 - 盘螺'!P69</f>
        <v>0</v>
      </c>
      <c r="U70" s="298">
        <f>'苏南 - 螺纹'!O69+'苏南 - 螺纹'!P69</f>
        <v>0</v>
      </c>
      <c r="V70" s="299">
        <f>'苏南 - 盘螺'!O69+'苏南 - 盘螺'!P69</f>
        <v>0</v>
      </c>
      <c r="W70" s="274">
        <f>'青岛 - 螺纹'!D69</f>
        <v>0</v>
      </c>
      <c r="X70" s="297">
        <f>'青岛 - 盘螺'!D69</f>
        <v>0</v>
      </c>
      <c r="Y70" s="298">
        <f>'连云港 - 螺纹'!D69</f>
        <v>0</v>
      </c>
      <c r="Z70" s="299">
        <f>'连云港 - 盘螺'!D69</f>
        <v>0</v>
      </c>
      <c r="AA70" s="298">
        <f>'苏南 - 螺纹'!D69</f>
        <v>0</v>
      </c>
      <c r="AB70" s="299">
        <f>'苏南 - 盘螺'!D69</f>
        <v>0</v>
      </c>
      <c r="AC70" s="274">
        <f>'青岛 - 螺纹'!B69</f>
        <v>0</v>
      </c>
      <c r="AD70" s="297">
        <f>'青岛 - 盘螺'!B69</f>
        <v>0</v>
      </c>
      <c r="AE70" s="298">
        <f>'连云港 - 螺纹'!B69</f>
        <v>0</v>
      </c>
      <c r="AF70" s="299">
        <f>'连云港 - 盘螺'!B69</f>
        <v>0</v>
      </c>
      <c r="AG70" s="298">
        <f>'苏南 - 螺纹'!B69</f>
        <v>0</v>
      </c>
      <c r="AH70" s="299">
        <f>'苏南 - 盘螺'!B69</f>
        <v>0</v>
      </c>
    </row>
    <row r="71" spans="1:34">
      <c r="A71" s="270">
        <v>44568</v>
      </c>
      <c r="B71" s="271">
        <f>'青岛 - 螺纹'!U70</f>
        <v>0</v>
      </c>
      <c r="C71" s="272">
        <f>'青岛 - 螺纹'!S70</f>
        <v>0</v>
      </c>
      <c r="D71" s="272">
        <f>'青岛 - 螺纹'!T70</f>
        <v>0</v>
      </c>
      <c r="E71" s="273"/>
      <c r="F71" s="273"/>
      <c r="G71" s="273"/>
      <c r="H71" s="274">
        <f>'青岛 - 螺纹'!AE70+'青岛 - 盘螺'!AE70</f>
        <v>0</v>
      </c>
      <c r="I71" s="284"/>
      <c r="J71" s="274">
        <f>'连云港 - 螺纹'!AE70+'连云港 - 盘螺'!AE70</f>
        <v>0</v>
      </c>
      <c r="K71" s="284"/>
      <c r="L71" s="274">
        <f>'苏南 - 螺纹'!AE70+'苏南 - 盘螺'!AE70</f>
        <v>0</v>
      </c>
      <c r="M71" s="284"/>
      <c r="N71" s="287"/>
      <c r="O71" s="289" t="e">
        <f>IF(VLOOKUP(A71,每日销量追踪!$A$4:$CM$310,2,0)=1,VLOOKUP(A71,每日销量追踪!$A$4:$CM$310,15,0),(VLOOKUP(A71,每日销量追踪!$A$4:$CM$310,15,0)-VLOOKUP(A71-1,每日销量追踪!$A$4:$CM$310,15,0)))</f>
        <v>#N/A</v>
      </c>
      <c r="P71" s="293">
        <v>1.2</v>
      </c>
      <c r="Q71" s="274">
        <f>'青岛 - 螺纹'!O70+'青岛 - 螺纹'!P70</f>
        <v>0</v>
      </c>
      <c r="R71" s="297">
        <f>'青岛 - 盘螺'!O70+'青岛 - 盘螺'!P70</f>
        <v>0</v>
      </c>
      <c r="S71" s="298">
        <f>'连云港 - 螺纹'!O70+'连云港 - 螺纹'!P70</f>
        <v>0</v>
      </c>
      <c r="T71" s="299">
        <f>'连云港 - 盘螺'!O70+'连云港 - 盘螺'!P70</f>
        <v>0</v>
      </c>
      <c r="U71" s="298">
        <f>'苏南 - 螺纹'!O70+'苏南 - 螺纹'!P70</f>
        <v>0</v>
      </c>
      <c r="V71" s="299">
        <f>'苏南 - 盘螺'!O70+'苏南 - 盘螺'!P70</f>
        <v>0</v>
      </c>
      <c r="W71" s="274">
        <f>'青岛 - 螺纹'!D70</f>
        <v>0</v>
      </c>
      <c r="X71" s="297">
        <f>'青岛 - 盘螺'!D70</f>
        <v>0</v>
      </c>
      <c r="Y71" s="298">
        <f>'连云港 - 螺纹'!D70</f>
        <v>0</v>
      </c>
      <c r="Z71" s="299">
        <f>'连云港 - 盘螺'!D70</f>
        <v>0</v>
      </c>
      <c r="AA71" s="298">
        <f>'苏南 - 螺纹'!D70</f>
        <v>0</v>
      </c>
      <c r="AB71" s="299">
        <f>'苏南 - 盘螺'!D70</f>
        <v>0</v>
      </c>
      <c r="AC71" s="274">
        <f>'青岛 - 螺纹'!B70</f>
        <v>0</v>
      </c>
      <c r="AD71" s="297">
        <f>'青岛 - 盘螺'!B70</f>
        <v>0</v>
      </c>
      <c r="AE71" s="298">
        <f>'连云港 - 螺纹'!B70</f>
        <v>0</v>
      </c>
      <c r="AF71" s="299">
        <f>'连云港 - 盘螺'!B70</f>
        <v>0</v>
      </c>
      <c r="AG71" s="298">
        <f>'苏南 - 螺纹'!B70</f>
        <v>0</v>
      </c>
      <c r="AH71" s="299">
        <f>'苏南 - 盘螺'!B70</f>
        <v>0</v>
      </c>
    </row>
    <row r="72" spans="1:34">
      <c r="A72" s="270">
        <v>44569</v>
      </c>
      <c r="B72" s="271">
        <f>'青岛 - 螺纹'!U71</f>
        <v>0</v>
      </c>
      <c r="C72" s="272">
        <f>'青岛 - 螺纹'!S71</f>
        <v>0</v>
      </c>
      <c r="D72" s="272">
        <f>'青岛 - 螺纹'!T71</f>
        <v>0</v>
      </c>
      <c r="E72" s="273"/>
      <c r="F72" s="273"/>
      <c r="G72" s="273"/>
      <c r="H72" s="274">
        <f>'青岛 - 螺纹'!AE71+'青岛 - 盘螺'!AE71</f>
        <v>0</v>
      </c>
      <c r="I72" s="284"/>
      <c r="J72" s="274">
        <f>'连云港 - 螺纹'!AE71+'连云港 - 盘螺'!AE71</f>
        <v>0</v>
      </c>
      <c r="K72" s="284"/>
      <c r="L72" s="274">
        <f>'苏南 - 螺纹'!AE71+'苏南 - 盘螺'!AE71</f>
        <v>0</v>
      </c>
      <c r="M72" s="284"/>
      <c r="N72" s="287"/>
      <c r="O72" s="289" t="e">
        <f>IF(VLOOKUP(A72,每日销量追踪!$A$4:$CM$310,2,0)=1,VLOOKUP(A72,每日销量追踪!$A$4:$CM$310,15,0),(VLOOKUP(A72,每日销量追踪!$A$4:$CM$310,15,0)-VLOOKUP(A72-1,每日销量追踪!$A$4:$CM$310,15,0)))</f>
        <v>#N/A</v>
      </c>
      <c r="P72" s="293">
        <v>1.2</v>
      </c>
      <c r="Q72" s="274">
        <f>'青岛 - 螺纹'!O71+'青岛 - 螺纹'!P71</f>
        <v>0</v>
      </c>
      <c r="R72" s="297">
        <f>'青岛 - 盘螺'!O71+'青岛 - 盘螺'!P71</f>
        <v>0</v>
      </c>
      <c r="S72" s="298">
        <f>'连云港 - 螺纹'!O71+'连云港 - 螺纹'!P71</f>
        <v>0</v>
      </c>
      <c r="T72" s="299">
        <f>'连云港 - 盘螺'!O71+'连云港 - 盘螺'!P71</f>
        <v>0</v>
      </c>
      <c r="U72" s="298">
        <f>'苏南 - 螺纹'!O71+'苏南 - 螺纹'!P71</f>
        <v>0</v>
      </c>
      <c r="V72" s="299">
        <f>'苏南 - 盘螺'!O71+'苏南 - 盘螺'!P71</f>
        <v>0</v>
      </c>
      <c r="W72" s="274">
        <f>'青岛 - 螺纹'!D71</f>
        <v>0</v>
      </c>
      <c r="X72" s="297">
        <f>'青岛 - 盘螺'!D71</f>
        <v>0</v>
      </c>
      <c r="Y72" s="298">
        <f>'连云港 - 螺纹'!D71</f>
        <v>0</v>
      </c>
      <c r="Z72" s="299">
        <f>'连云港 - 盘螺'!D71</f>
        <v>0</v>
      </c>
      <c r="AA72" s="298">
        <f>'苏南 - 螺纹'!D71</f>
        <v>0</v>
      </c>
      <c r="AB72" s="299">
        <f>'苏南 - 盘螺'!D71</f>
        <v>0</v>
      </c>
      <c r="AC72" s="274">
        <f>'青岛 - 螺纹'!B71</f>
        <v>0</v>
      </c>
      <c r="AD72" s="297">
        <f>'青岛 - 盘螺'!B71</f>
        <v>0</v>
      </c>
      <c r="AE72" s="298">
        <f>'连云港 - 螺纹'!B71</f>
        <v>0</v>
      </c>
      <c r="AF72" s="299">
        <f>'连云港 - 盘螺'!B71</f>
        <v>0</v>
      </c>
      <c r="AG72" s="298">
        <f>'苏南 - 螺纹'!B71</f>
        <v>0</v>
      </c>
      <c r="AH72" s="299">
        <f>'苏南 - 盘螺'!B71</f>
        <v>0</v>
      </c>
    </row>
    <row r="73" spans="1:34">
      <c r="A73" s="270">
        <v>44570</v>
      </c>
      <c r="B73" s="271">
        <f>'青岛 - 螺纹'!U72</f>
        <v>0</v>
      </c>
      <c r="C73" s="272">
        <f>'青岛 - 螺纹'!S72</f>
        <v>0</v>
      </c>
      <c r="D73" s="272">
        <f>'青岛 - 螺纹'!T72</f>
        <v>0</v>
      </c>
      <c r="E73" s="273"/>
      <c r="F73" s="273"/>
      <c r="G73" s="273"/>
      <c r="H73" s="274">
        <f>'青岛 - 螺纹'!AE72+'青岛 - 盘螺'!AE72</f>
        <v>0</v>
      </c>
      <c r="I73" s="284"/>
      <c r="J73" s="274">
        <f>'连云港 - 螺纹'!AE72+'连云港 - 盘螺'!AE72</f>
        <v>0</v>
      </c>
      <c r="K73" s="284"/>
      <c r="L73" s="274">
        <f>'苏南 - 螺纹'!AE72+'苏南 - 盘螺'!AE72</f>
        <v>0</v>
      </c>
      <c r="M73" s="284"/>
      <c r="N73" s="287"/>
      <c r="O73" s="289" t="e">
        <f>IF(VLOOKUP(A73,每日销量追踪!$A$4:$CM$310,2,0)=1,VLOOKUP(A73,每日销量追踪!$A$4:$CM$310,15,0),(VLOOKUP(A73,每日销量追踪!$A$4:$CM$310,15,0)-VLOOKUP(A73-1,每日销量追踪!$A$4:$CM$310,15,0)))</f>
        <v>#N/A</v>
      </c>
      <c r="P73" s="293">
        <v>1.2</v>
      </c>
      <c r="Q73" s="274">
        <f>'青岛 - 螺纹'!O72+'青岛 - 螺纹'!P72</f>
        <v>0</v>
      </c>
      <c r="R73" s="297">
        <f>'青岛 - 盘螺'!O72+'青岛 - 盘螺'!P72</f>
        <v>0</v>
      </c>
      <c r="S73" s="298">
        <f>'连云港 - 螺纹'!O72+'连云港 - 螺纹'!P72</f>
        <v>0</v>
      </c>
      <c r="T73" s="299">
        <f>'连云港 - 盘螺'!O72+'连云港 - 盘螺'!P72</f>
        <v>0</v>
      </c>
      <c r="U73" s="298">
        <f>'苏南 - 螺纹'!O72+'苏南 - 螺纹'!P72</f>
        <v>0</v>
      </c>
      <c r="V73" s="299">
        <f>'苏南 - 盘螺'!O72+'苏南 - 盘螺'!P72</f>
        <v>0</v>
      </c>
      <c r="W73" s="274">
        <f>'青岛 - 螺纹'!D72</f>
        <v>0</v>
      </c>
      <c r="X73" s="297">
        <f>'青岛 - 盘螺'!D72</f>
        <v>0</v>
      </c>
      <c r="Y73" s="298">
        <f>'连云港 - 螺纹'!D72</f>
        <v>0</v>
      </c>
      <c r="Z73" s="299">
        <f>'连云港 - 盘螺'!D72</f>
        <v>0</v>
      </c>
      <c r="AA73" s="298">
        <f>'苏南 - 螺纹'!D72</f>
        <v>0</v>
      </c>
      <c r="AB73" s="299">
        <f>'苏南 - 盘螺'!D72</f>
        <v>0</v>
      </c>
      <c r="AC73" s="274">
        <f>'青岛 - 螺纹'!B72</f>
        <v>0</v>
      </c>
      <c r="AD73" s="297">
        <f>'青岛 - 盘螺'!B72</f>
        <v>0</v>
      </c>
      <c r="AE73" s="298">
        <f>'连云港 - 螺纹'!B72</f>
        <v>0</v>
      </c>
      <c r="AF73" s="299">
        <f>'连云港 - 盘螺'!B72</f>
        <v>0</v>
      </c>
      <c r="AG73" s="298">
        <f>'苏南 - 螺纹'!B72</f>
        <v>0</v>
      </c>
      <c r="AH73" s="299">
        <f>'苏南 - 盘螺'!B72</f>
        <v>0</v>
      </c>
    </row>
    <row r="74" spans="1:34">
      <c r="A74" s="270">
        <v>44571</v>
      </c>
      <c r="B74" s="271">
        <f>'青岛 - 螺纹'!U73</f>
        <v>0</v>
      </c>
      <c r="C74" s="272">
        <f>'青岛 - 螺纹'!S73</f>
        <v>0</v>
      </c>
      <c r="D74" s="272">
        <f>'青岛 - 螺纹'!T73</f>
        <v>0</v>
      </c>
      <c r="E74" s="273"/>
      <c r="F74" s="273"/>
      <c r="G74" s="273"/>
      <c r="H74" s="274">
        <f>'青岛 - 螺纹'!AE73+'青岛 - 盘螺'!AE73</f>
        <v>0</v>
      </c>
      <c r="I74" s="284"/>
      <c r="J74" s="274">
        <f>'连云港 - 螺纹'!AE73+'连云港 - 盘螺'!AE73</f>
        <v>0</v>
      </c>
      <c r="K74" s="284"/>
      <c r="L74" s="274">
        <f>'苏南 - 螺纹'!AE73+'苏南 - 盘螺'!AE73</f>
        <v>0</v>
      </c>
      <c r="M74" s="284"/>
      <c r="N74" s="287"/>
      <c r="O74" s="289" t="e">
        <f>IF(VLOOKUP(A74,每日销量追踪!$A$4:$CM$310,2,0)=1,VLOOKUP(A74,每日销量追踪!$A$4:$CM$310,15,0),(VLOOKUP(A74,每日销量追踪!$A$4:$CM$310,15,0)-VLOOKUP(A74-1,每日销量追踪!$A$4:$CM$310,15,0)))</f>
        <v>#N/A</v>
      </c>
      <c r="P74" s="293">
        <v>1.2</v>
      </c>
      <c r="Q74" s="274">
        <f>'青岛 - 螺纹'!O73+'青岛 - 螺纹'!P73</f>
        <v>0</v>
      </c>
      <c r="R74" s="297">
        <f>'青岛 - 盘螺'!O73+'青岛 - 盘螺'!P73</f>
        <v>0</v>
      </c>
      <c r="S74" s="298">
        <f>'连云港 - 螺纹'!O73+'连云港 - 螺纹'!P73</f>
        <v>0</v>
      </c>
      <c r="T74" s="299">
        <f>'连云港 - 盘螺'!O73+'连云港 - 盘螺'!P73</f>
        <v>0</v>
      </c>
      <c r="U74" s="298">
        <f>'苏南 - 螺纹'!O73+'苏南 - 螺纹'!P73</f>
        <v>0</v>
      </c>
      <c r="V74" s="299">
        <f>'苏南 - 盘螺'!O73+'苏南 - 盘螺'!P73</f>
        <v>0</v>
      </c>
      <c r="W74" s="274">
        <f>'青岛 - 螺纹'!D73</f>
        <v>0</v>
      </c>
      <c r="X74" s="297">
        <f>'青岛 - 盘螺'!D73</f>
        <v>0</v>
      </c>
      <c r="Y74" s="298">
        <f>'连云港 - 螺纹'!D73</f>
        <v>0</v>
      </c>
      <c r="Z74" s="299">
        <f>'连云港 - 盘螺'!D73</f>
        <v>0</v>
      </c>
      <c r="AA74" s="298">
        <f>'苏南 - 螺纹'!D73</f>
        <v>0</v>
      </c>
      <c r="AB74" s="299">
        <f>'苏南 - 盘螺'!D73</f>
        <v>0</v>
      </c>
      <c r="AC74" s="274">
        <f>'青岛 - 螺纹'!B73</f>
        <v>0</v>
      </c>
      <c r="AD74" s="297">
        <f>'青岛 - 盘螺'!B73</f>
        <v>0</v>
      </c>
      <c r="AE74" s="298">
        <f>'连云港 - 螺纹'!B73</f>
        <v>0</v>
      </c>
      <c r="AF74" s="299">
        <f>'连云港 - 盘螺'!B73</f>
        <v>0</v>
      </c>
      <c r="AG74" s="298">
        <f>'苏南 - 螺纹'!B73</f>
        <v>0</v>
      </c>
      <c r="AH74" s="299">
        <f>'苏南 - 盘螺'!B73</f>
        <v>0</v>
      </c>
    </row>
    <row r="75" spans="1:34">
      <c r="A75" s="270">
        <v>44572</v>
      </c>
      <c r="B75" s="271">
        <f>'青岛 - 螺纹'!U74</f>
        <v>0</v>
      </c>
      <c r="C75" s="272">
        <f>'青岛 - 螺纹'!S74</f>
        <v>0</v>
      </c>
      <c r="D75" s="272">
        <f>'青岛 - 螺纹'!T74</f>
        <v>0</v>
      </c>
      <c r="E75" s="273"/>
      <c r="F75" s="273"/>
      <c r="G75" s="273"/>
      <c r="H75" s="274">
        <f>'青岛 - 螺纹'!AE74+'青岛 - 盘螺'!AE74</f>
        <v>0</v>
      </c>
      <c r="I75" s="284"/>
      <c r="J75" s="274">
        <f>'连云港 - 螺纹'!AE74+'连云港 - 盘螺'!AE74</f>
        <v>0</v>
      </c>
      <c r="K75" s="284"/>
      <c r="L75" s="274">
        <f>'苏南 - 螺纹'!AE74+'苏南 - 盘螺'!AE74</f>
        <v>0</v>
      </c>
      <c r="M75" s="284"/>
      <c r="N75" s="287"/>
      <c r="O75" s="289" t="e">
        <f>IF(VLOOKUP(A75,每日销量追踪!$A$4:$CM$310,2,0)=1,VLOOKUP(A75,每日销量追踪!$A$4:$CM$310,15,0),(VLOOKUP(A75,每日销量追踪!$A$4:$CM$310,15,0)-VLOOKUP(A75-1,每日销量追踪!$A$4:$CM$310,15,0)))</f>
        <v>#N/A</v>
      </c>
      <c r="P75" s="293">
        <v>1.2</v>
      </c>
      <c r="Q75" s="274">
        <f>'青岛 - 螺纹'!O74+'青岛 - 螺纹'!P74</f>
        <v>0</v>
      </c>
      <c r="R75" s="297">
        <f>'青岛 - 盘螺'!O74+'青岛 - 盘螺'!P74</f>
        <v>0</v>
      </c>
      <c r="S75" s="298">
        <f>'连云港 - 螺纹'!O74+'连云港 - 螺纹'!P74</f>
        <v>0</v>
      </c>
      <c r="T75" s="299">
        <f>'连云港 - 盘螺'!O74+'连云港 - 盘螺'!P74</f>
        <v>0</v>
      </c>
      <c r="U75" s="298">
        <f>'苏南 - 螺纹'!O74+'苏南 - 螺纹'!P74</f>
        <v>0</v>
      </c>
      <c r="V75" s="299">
        <f>'苏南 - 盘螺'!O74+'苏南 - 盘螺'!P74</f>
        <v>0</v>
      </c>
      <c r="W75" s="274">
        <f>'青岛 - 螺纹'!D74</f>
        <v>0</v>
      </c>
      <c r="X75" s="297">
        <f>'青岛 - 盘螺'!D74</f>
        <v>0</v>
      </c>
      <c r="Y75" s="298">
        <f>'连云港 - 螺纹'!D74</f>
        <v>0</v>
      </c>
      <c r="Z75" s="299">
        <f>'连云港 - 盘螺'!D74</f>
        <v>0</v>
      </c>
      <c r="AA75" s="298">
        <f>'苏南 - 螺纹'!D74</f>
        <v>0</v>
      </c>
      <c r="AB75" s="299">
        <f>'苏南 - 盘螺'!D74</f>
        <v>0</v>
      </c>
      <c r="AC75" s="274">
        <f>'青岛 - 螺纹'!B74</f>
        <v>0</v>
      </c>
      <c r="AD75" s="297">
        <f>'青岛 - 盘螺'!B74</f>
        <v>0</v>
      </c>
      <c r="AE75" s="298">
        <f>'连云港 - 螺纹'!B74</f>
        <v>0</v>
      </c>
      <c r="AF75" s="299">
        <f>'连云港 - 盘螺'!B74</f>
        <v>0</v>
      </c>
      <c r="AG75" s="298">
        <f>'苏南 - 螺纹'!B74</f>
        <v>0</v>
      </c>
      <c r="AH75" s="299">
        <f>'苏南 - 盘螺'!B74</f>
        <v>0</v>
      </c>
    </row>
    <row r="76" spans="1:34">
      <c r="A76" s="270">
        <v>44573</v>
      </c>
      <c r="B76" s="271">
        <f>'青岛 - 螺纹'!U75</f>
        <v>0</v>
      </c>
      <c r="C76" s="272">
        <f>'青岛 - 螺纹'!S75</f>
        <v>0</v>
      </c>
      <c r="D76" s="272">
        <f>'青岛 - 螺纹'!T75</f>
        <v>0</v>
      </c>
      <c r="E76" s="273"/>
      <c r="F76" s="273"/>
      <c r="G76" s="273"/>
      <c r="H76" s="274">
        <f>'青岛 - 螺纹'!AE75+'青岛 - 盘螺'!AE75</f>
        <v>0</v>
      </c>
      <c r="I76" s="284"/>
      <c r="J76" s="274">
        <f>'连云港 - 螺纹'!AE75+'连云港 - 盘螺'!AE75</f>
        <v>0</v>
      </c>
      <c r="K76" s="284"/>
      <c r="L76" s="274">
        <f>'苏南 - 螺纹'!AE75+'苏南 - 盘螺'!AE75</f>
        <v>0</v>
      </c>
      <c r="M76" s="284"/>
      <c r="N76" s="287"/>
      <c r="O76" s="289" t="e">
        <f>IF(VLOOKUP(A76,每日销量追踪!$A$4:$CM$310,2,0)=1,VLOOKUP(A76,每日销量追踪!$A$4:$CM$310,15,0),(VLOOKUP(A76,每日销量追踪!$A$4:$CM$310,15,0)-VLOOKUP(A76-1,每日销量追踪!$A$4:$CM$310,15,0)))</f>
        <v>#N/A</v>
      </c>
      <c r="P76" s="293">
        <v>1.2</v>
      </c>
      <c r="Q76" s="274">
        <f>'青岛 - 螺纹'!O75+'青岛 - 螺纹'!P75</f>
        <v>0</v>
      </c>
      <c r="R76" s="297">
        <f>'青岛 - 盘螺'!O75+'青岛 - 盘螺'!P75</f>
        <v>0</v>
      </c>
      <c r="S76" s="298">
        <f>'连云港 - 螺纹'!O75+'连云港 - 螺纹'!P75</f>
        <v>0</v>
      </c>
      <c r="T76" s="299">
        <f>'连云港 - 盘螺'!O75+'连云港 - 盘螺'!P75</f>
        <v>0</v>
      </c>
      <c r="U76" s="298">
        <f>'苏南 - 螺纹'!O75+'苏南 - 螺纹'!P75</f>
        <v>0</v>
      </c>
      <c r="V76" s="299">
        <f>'苏南 - 盘螺'!O75+'苏南 - 盘螺'!P75</f>
        <v>0</v>
      </c>
      <c r="W76" s="274">
        <f>'青岛 - 螺纹'!D75</f>
        <v>0</v>
      </c>
      <c r="X76" s="297">
        <f>'青岛 - 盘螺'!D75</f>
        <v>0</v>
      </c>
      <c r="Y76" s="298">
        <f>'连云港 - 螺纹'!D75</f>
        <v>0</v>
      </c>
      <c r="Z76" s="299">
        <f>'连云港 - 盘螺'!D75</f>
        <v>0</v>
      </c>
      <c r="AA76" s="298">
        <f>'苏南 - 螺纹'!D75</f>
        <v>0</v>
      </c>
      <c r="AB76" s="299">
        <f>'苏南 - 盘螺'!D75</f>
        <v>0</v>
      </c>
      <c r="AC76" s="274">
        <f>'青岛 - 螺纹'!B75</f>
        <v>0</v>
      </c>
      <c r="AD76" s="297">
        <f>'青岛 - 盘螺'!B75</f>
        <v>0</v>
      </c>
      <c r="AE76" s="298">
        <f>'连云港 - 螺纹'!B75</f>
        <v>0</v>
      </c>
      <c r="AF76" s="299">
        <f>'连云港 - 盘螺'!B75</f>
        <v>0</v>
      </c>
      <c r="AG76" s="298">
        <f>'苏南 - 螺纹'!B75</f>
        <v>0</v>
      </c>
      <c r="AH76" s="299">
        <f>'苏南 - 盘螺'!B75</f>
        <v>0</v>
      </c>
    </row>
    <row r="77" spans="1:34">
      <c r="A77" s="270">
        <v>44574</v>
      </c>
      <c r="B77" s="271">
        <f>'青岛 - 螺纹'!U76</f>
        <v>0</v>
      </c>
      <c r="C77" s="272">
        <f>'青岛 - 螺纹'!S76</f>
        <v>0</v>
      </c>
      <c r="D77" s="272">
        <f>'青岛 - 螺纹'!T76</f>
        <v>0</v>
      </c>
      <c r="E77" s="273"/>
      <c r="F77" s="273"/>
      <c r="G77" s="273"/>
      <c r="H77" s="274">
        <f>'青岛 - 螺纹'!AE76+'青岛 - 盘螺'!AE76</f>
        <v>0</v>
      </c>
      <c r="I77" s="284"/>
      <c r="J77" s="274">
        <f>'连云港 - 螺纹'!AE76+'连云港 - 盘螺'!AE76</f>
        <v>0</v>
      </c>
      <c r="K77" s="284"/>
      <c r="L77" s="274">
        <f>'苏南 - 螺纹'!AE76+'苏南 - 盘螺'!AE76</f>
        <v>0</v>
      </c>
      <c r="M77" s="284"/>
      <c r="N77" s="287"/>
      <c r="O77" s="289" t="e">
        <f>IF(VLOOKUP(A77,每日销量追踪!$A$4:$CM$310,2,0)=1,VLOOKUP(A77,每日销量追踪!$A$4:$CM$310,15,0),(VLOOKUP(A77,每日销量追踪!$A$4:$CM$310,15,0)-VLOOKUP(A77-1,每日销量追踪!$A$4:$CM$310,15,0)))</f>
        <v>#N/A</v>
      </c>
      <c r="P77" s="293">
        <v>1.2</v>
      </c>
      <c r="Q77" s="274">
        <f>'青岛 - 螺纹'!O76+'青岛 - 螺纹'!P76</f>
        <v>0</v>
      </c>
      <c r="R77" s="297">
        <f>'青岛 - 盘螺'!O76+'青岛 - 盘螺'!P76</f>
        <v>0</v>
      </c>
      <c r="S77" s="298">
        <f>'连云港 - 螺纹'!O76+'连云港 - 螺纹'!P76</f>
        <v>0</v>
      </c>
      <c r="T77" s="299">
        <f>'连云港 - 盘螺'!O76+'连云港 - 盘螺'!P76</f>
        <v>0</v>
      </c>
      <c r="U77" s="298">
        <f>'苏南 - 螺纹'!O76+'苏南 - 螺纹'!P76</f>
        <v>0</v>
      </c>
      <c r="V77" s="299">
        <f>'苏南 - 盘螺'!O76+'苏南 - 盘螺'!P76</f>
        <v>0</v>
      </c>
      <c r="W77" s="274">
        <f>'青岛 - 螺纹'!D76</f>
        <v>0</v>
      </c>
      <c r="X77" s="297">
        <f>'青岛 - 盘螺'!D76</f>
        <v>0</v>
      </c>
      <c r="Y77" s="298">
        <f>'连云港 - 螺纹'!D76</f>
        <v>0</v>
      </c>
      <c r="Z77" s="299">
        <f>'连云港 - 盘螺'!D76</f>
        <v>0</v>
      </c>
      <c r="AA77" s="298">
        <f>'苏南 - 螺纹'!D76</f>
        <v>0</v>
      </c>
      <c r="AB77" s="299">
        <f>'苏南 - 盘螺'!D76</f>
        <v>0</v>
      </c>
      <c r="AC77" s="274">
        <f>'青岛 - 螺纹'!B76</f>
        <v>0</v>
      </c>
      <c r="AD77" s="297">
        <f>'青岛 - 盘螺'!B76</f>
        <v>0</v>
      </c>
      <c r="AE77" s="298">
        <f>'连云港 - 螺纹'!B76</f>
        <v>0</v>
      </c>
      <c r="AF77" s="299">
        <f>'连云港 - 盘螺'!B76</f>
        <v>0</v>
      </c>
      <c r="AG77" s="298">
        <f>'苏南 - 螺纹'!B76</f>
        <v>0</v>
      </c>
      <c r="AH77" s="299">
        <f>'苏南 - 盘螺'!B76</f>
        <v>0</v>
      </c>
    </row>
    <row r="78" spans="1:34">
      <c r="A78" s="270">
        <v>44575</v>
      </c>
      <c r="B78" s="271">
        <f>'青岛 - 螺纹'!U77</f>
        <v>0</v>
      </c>
      <c r="C78" s="272">
        <f>'青岛 - 螺纹'!S77</f>
        <v>0</v>
      </c>
      <c r="D78" s="272">
        <f>'青岛 - 螺纹'!T77</f>
        <v>0</v>
      </c>
      <c r="E78" s="273"/>
      <c r="F78" s="273"/>
      <c r="G78" s="273"/>
      <c r="H78" s="274">
        <f>'青岛 - 螺纹'!AE77+'青岛 - 盘螺'!AE77</f>
        <v>0</v>
      </c>
      <c r="I78" s="284"/>
      <c r="J78" s="274">
        <f>'连云港 - 螺纹'!AE77+'连云港 - 盘螺'!AE77</f>
        <v>0</v>
      </c>
      <c r="K78" s="284"/>
      <c r="L78" s="274">
        <f>'苏南 - 螺纹'!AE77+'苏南 - 盘螺'!AE77</f>
        <v>0</v>
      </c>
      <c r="M78" s="284"/>
      <c r="N78" s="287"/>
      <c r="O78" s="289" t="e">
        <f>IF(VLOOKUP(A78,每日销量追踪!$A$4:$CM$310,2,0)=1,VLOOKUP(A78,每日销量追踪!$A$4:$CM$310,15,0),(VLOOKUP(A78,每日销量追踪!$A$4:$CM$310,15,0)-VLOOKUP(A78-1,每日销量追踪!$A$4:$CM$310,15,0)))</f>
        <v>#N/A</v>
      </c>
      <c r="P78" s="293">
        <v>1.2</v>
      </c>
      <c r="Q78" s="274">
        <f>'青岛 - 螺纹'!O77+'青岛 - 螺纹'!P77</f>
        <v>0</v>
      </c>
      <c r="R78" s="297">
        <f>'青岛 - 盘螺'!O77+'青岛 - 盘螺'!P77</f>
        <v>0</v>
      </c>
      <c r="S78" s="298">
        <f>'连云港 - 螺纹'!O77+'连云港 - 螺纹'!P77</f>
        <v>0</v>
      </c>
      <c r="T78" s="299">
        <f>'连云港 - 盘螺'!O77+'连云港 - 盘螺'!P77</f>
        <v>0</v>
      </c>
      <c r="U78" s="298">
        <f>'苏南 - 螺纹'!O77+'苏南 - 螺纹'!P77</f>
        <v>0</v>
      </c>
      <c r="V78" s="299">
        <f>'苏南 - 盘螺'!O77+'苏南 - 盘螺'!P77</f>
        <v>0</v>
      </c>
      <c r="W78" s="274">
        <f>'青岛 - 螺纹'!D77</f>
        <v>0</v>
      </c>
      <c r="X78" s="297">
        <f>'青岛 - 盘螺'!D77</f>
        <v>0</v>
      </c>
      <c r="Y78" s="298">
        <f>'连云港 - 螺纹'!D77</f>
        <v>0</v>
      </c>
      <c r="Z78" s="299">
        <f>'连云港 - 盘螺'!D77</f>
        <v>0</v>
      </c>
      <c r="AA78" s="298">
        <f>'苏南 - 螺纹'!D77</f>
        <v>0</v>
      </c>
      <c r="AB78" s="299">
        <f>'苏南 - 盘螺'!D77</f>
        <v>0</v>
      </c>
      <c r="AC78" s="274">
        <f>'青岛 - 螺纹'!B77</f>
        <v>0</v>
      </c>
      <c r="AD78" s="297">
        <f>'青岛 - 盘螺'!B77</f>
        <v>0</v>
      </c>
      <c r="AE78" s="298">
        <f>'连云港 - 螺纹'!B77</f>
        <v>0</v>
      </c>
      <c r="AF78" s="299">
        <f>'连云港 - 盘螺'!B77</f>
        <v>0</v>
      </c>
      <c r="AG78" s="298">
        <f>'苏南 - 螺纹'!B77</f>
        <v>0</v>
      </c>
      <c r="AH78" s="299">
        <f>'苏南 - 盘螺'!B77</f>
        <v>0</v>
      </c>
    </row>
    <row r="79" spans="1:34">
      <c r="A79" s="270">
        <v>44576</v>
      </c>
      <c r="B79" s="271">
        <f>'青岛 - 螺纹'!U78</f>
        <v>0</v>
      </c>
      <c r="C79" s="272">
        <f>'青岛 - 螺纹'!S78</f>
        <v>0</v>
      </c>
      <c r="D79" s="272">
        <f>'青岛 - 螺纹'!T78</f>
        <v>0</v>
      </c>
      <c r="E79" s="273"/>
      <c r="F79" s="273"/>
      <c r="G79" s="273"/>
      <c r="H79" s="274">
        <f>'青岛 - 螺纹'!AE78+'青岛 - 盘螺'!AE78</f>
        <v>0</v>
      </c>
      <c r="I79" s="284"/>
      <c r="J79" s="274">
        <f>'连云港 - 螺纹'!AE78+'连云港 - 盘螺'!AE78</f>
        <v>0</v>
      </c>
      <c r="K79" s="284"/>
      <c r="L79" s="274">
        <f>'苏南 - 螺纹'!AE78+'苏南 - 盘螺'!AE78</f>
        <v>0</v>
      </c>
      <c r="M79" s="284"/>
      <c r="N79" s="287"/>
      <c r="O79" s="289" t="e">
        <f>IF(VLOOKUP(A79,每日销量追踪!$A$4:$CM$310,2,0)=1,VLOOKUP(A79,每日销量追踪!$A$4:$CM$310,15,0),(VLOOKUP(A79,每日销量追踪!$A$4:$CM$310,15,0)-VLOOKUP(A79-1,每日销量追踪!$A$4:$CM$310,15,0)))</f>
        <v>#N/A</v>
      </c>
      <c r="P79" s="293">
        <v>1.2</v>
      </c>
      <c r="Q79" s="274">
        <f>'青岛 - 螺纹'!O78+'青岛 - 螺纹'!P78</f>
        <v>0</v>
      </c>
      <c r="R79" s="297">
        <f>'青岛 - 盘螺'!O78+'青岛 - 盘螺'!P78</f>
        <v>0</v>
      </c>
      <c r="S79" s="298">
        <f>'连云港 - 螺纹'!O78+'连云港 - 螺纹'!P78</f>
        <v>0</v>
      </c>
      <c r="T79" s="299">
        <f>'连云港 - 盘螺'!O78+'连云港 - 盘螺'!P78</f>
        <v>0</v>
      </c>
      <c r="U79" s="298">
        <f>'苏南 - 螺纹'!O78+'苏南 - 螺纹'!P78</f>
        <v>0</v>
      </c>
      <c r="V79" s="299">
        <f>'苏南 - 盘螺'!O78+'苏南 - 盘螺'!P78</f>
        <v>0</v>
      </c>
      <c r="W79" s="274">
        <f>'青岛 - 螺纹'!D78</f>
        <v>0</v>
      </c>
      <c r="X79" s="297">
        <f>'青岛 - 盘螺'!D78</f>
        <v>0</v>
      </c>
      <c r="Y79" s="298">
        <f>'连云港 - 螺纹'!D78</f>
        <v>0</v>
      </c>
      <c r="Z79" s="299">
        <f>'连云港 - 盘螺'!D78</f>
        <v>0</v>
      </c>
      <c r="AA79" s="298">
        <f>'苏南 - 螺纹'!D78</f>
        <v>0</v>
      </c>
      <c r="AB79" s="299">
        <f>'苏南 - 盘螺'!D78</f>
        <v>0</v>
      </c>
      <c r="AC79" s="274">
        <f>'青岛 - 螺纹'!B78</f>
        <v>0</v>
      </c>
      <c r="AD79" s="297">
        <f>'青岛 - 盘螺'!B78</f>
        <v>0</v>
      </c>
      <c r="AE79" s="298">
        <f>'连云港 - 螺纹'!B78</f>
        <v>0</v>
      </c>
      <c r="AF79" s="299">
        <f>'连云港 - 盘螺'!B78</f>
        <v>0</v>
      </c>
      <c r="AG79" s="298">
        <f>'苏南 - 螺纹'!B78</f>
        <v>0</v>
      </c>
      <c r="AH79" s="299">
        <f>'苏南 - 盘螺'!B78</f>
        <v>0</v>
      </c>
    </row>
    <row r="80" spans="1:34">
      <c r="A80" s="270">
        <v>44577</v>
      </c>
      <c r="B80" s="271">
        <f>'青岛 - 螺纹'!U79</f>
        <v>0</v>
      </c>
      <c r="C80" s="272">
        <f>'青岛 - 螺纹'!S79</f>
        <v>0</v>
      </c>
      <c r="D80" s="272">
        <f>'青岛 - 螺纹'!T79</f>
        <v>0</v>
      </c>
      <c r="E80" s="273"/>
      <c r="F80" s="273"/>
      <c r="G80" s="273"/>
      <c r="H80" s="274">
        <f>'青岛 - 螺纹'!AE79+'青岛 - 盘螺'!AE79</f>
        <v>0</v>
      </c>
      <c r="I80" s="284"/>
      <c r="J80" s="274">
        <f>'连云港 - 螺纹'!AE79+'连云港 - 盘螺'!AE79</f>
        <v>0</v>
      </c>
      <c r="K80" s="284"/>
      <c r="L80" s="274">
        <f>'苏南 - 螺纹'!AE79+'苏南 - 盘螺'!AE79</f>
        <v>0</v>
      </c>
      <c r="M80" s="284"/>
      <c r="N80" s="287"/>
      <c r="O80" s="289" t="e">
        <f>IF(VLOOKUP(A80,每日销量追踪!$A$4:$CM$310,2,0)=1,VLOOKUP(A80,每日销量追踪!$A$4:$CM$310,15,0),(VLOOKUP(A80,每日销量追踪!$A$4:$CM$310,15,0)-VLOOKUP(A80-1,每日销量追踪!$A$4:$CM$310,15,0)))</f>
        <v>#N/A</v>
      </c>
      <c r="P80" s="293">
        <v>1.2</v>
      </c>
      <c r="Q80" s="274">
        <f>'青岛 - 螺纹'!O79+'青岛 - 螺纹'!P79</f>
        <v>0</v>
      </c>
      <c r="R80" s="297">
        <f>'青岛 - 盘螺'!O79+'青岛 - 盘螺'!P79</f>
        <v>0</v>
      </c>
      <c r="S80" s="298">
        <f>'连云港 - 螺纹'!O79+'连云港 - 螺纹'!P79</f>
        <v>0</v>
      </c>
      <c r="T80" s="299">
        <f>'连云港 - 盘螺'!O79+'连云港 - 盘螺'!P79</f>
        <v>0</v>
      </c>
      <c r="U80" s="298">
        <f>'苏南 - 螺纹'!O79+'苏南 - 螺纹'!P79</f>
        <v>0</v>
      </c>
      <c r="V80" s="299">
        <f>'苏南 - 盘螺'!O79+'苏南 - 盘螺'!P79</f>
        <v>0</v>
      </c>
      <c r="W80" s="274">
        <f>'青岛 - 螺纹'!D79</f>
        <v>0</v>
      </c>
      <c r="X80" s="297">
        <f>'青岛 - 盘螺'!D79</f>
        <v>0</v>
      </c>
      <c r="Y80" s="298">
        <f>'连云港 - 螺纹'!D79</f>
        <v>0</v>
      </c>
      <c r="Z80" s="299">
        <f>'连云港 - 盘螺'!D79</f>
        <v>0</v>
      </c>
      <c r="AA80" s="298">
        <f>'苏南 - 螺纹'!D79</f>
        <v>0</v>
      </c>
      <c r="AB80" s="299">
        <f>'苏南 - 盘螺'!D79</f>
        <v>0</v>
      </c>
      <c r="AC80" s="274">
        <f>'青岛 - 螺纹'!B79</f>
        <v>0</v>
      </c>
      <c r="AD80" s="297">
        <f>'青岛 - 盘螺'!B79</f>
        <v>0</v>
      </c>
      <c r="AE80" s="298">
        <f>'连云港 - 螺纹'!B79</f>
        <v>0</v>
      </c>
      <c r="AF80" s="299">
        <f>'连云港 - 盘螺'!B79</f>
        <v>0</v>
      </c>
      <c r="AG80" s="298">
        <f>'苏南 - 螺纹'!B79</f>
        <v>0</v>
      </c>
      <c r="AH80" s="299">
        <f>'苏南 - 盘螺'!B79</f>
        <v>0</v>
      </c>
    </row>
    <row r="81" spans="1:34">
      <c r="A81" s="270">
        <v>44578</v>
      </c>
      <c r="B81" s="271">
        <f>'青岛 - 螺纹'!U80</f>
        <v>0</v>
      </c>
      <c r="C81" s="272">
        <f>'青岛 - 螺纹'!S80</f>
        <v>0</v>
      </c>
      <c r="D81" s="272">
        <f>'青岛 - 螺纹'!T80</f>
        <v>0</v>
      </c>
      <c r="E81" s="273"/>
      <c r="F81" s="273"/>
      <c r="G81" s="273"/>
      <c r="H81" s="274">
        <f>'青岛 - 螺纹'!AE80+'青岛 - 盘螺'!AE80</f>
        <v>0</v>
      </c>
      <c r="I81" s="284"/>
      <c r="J81" s="274">
        <f>'连云港 - 螺纹'!AE80+'连云港 - 盘螺'!AE80</f>
        <v>0</v>
      </c>
      <c r="K81" s="284"/>
      <c r="L81" s="274">
        <f>'苏南 - 螺纹'!AE80+'苏南 - 盘螺'!AE80</f>
        <v>0</v>
      </c>
      <c r="M81" s="284"/>
      <c r="N81" s="287"/>
      <c r="O81" s="289" t="e">
        <f>IF(VLOOKUP(A81,每日销量追踪!$A$4:$CM$310,2,0)=1,VLOOKUP(A81,每日销量追踪!$A$4:$CM$310,15,0),(VLOOKUP(A81,每日销量追踪!$A$4:$CM$310,15,0)-VLOOKUP(A81-1,每日销量追踪!$A$4:$CM$310,15,0)))</f>
        <v>#N/A</v>
      </c>
      <c r="P81" s="293">
        <v>1.2</v>
      </c>
      <c r="Q81" s="274">
        <f>'青岛 - 螺纹'!O80+'青岛 - 螺纹'!P80</f>
        <v>0</v>
      </c>
      <c r="R81" s="297">
        <f>'青岛 - 盘螺'!O80+'青岛 - 盘螺'!P80</f>
        <v>0</v>
      </c>
      <c r="S81" s="298">
        <f>'连云港 - 螺纹'!O80+'连云港 - 螺纹'!P80</f>
        <v>0</v>
      </c>
      <c r="T81" s="299">
        <f>'连云港 - 盘螺'!O80+'连云港 - 盘螺'!P80</f>
        <v>0</v>
      </c>
      <c r="U81" s="298">
        <f>'苏南 - 螺纹'!O80+'苏南 - 螺纹'!P80</f>
        <v>0</v>
      </c>
      <c r="V81" s="299">
        <f>'苏南 - 盘螺'!O80+'苏南 - 盘螺'!P80</f>
        <v>0</v>
      </c>
      <c r="W81" s="274">
        <f>'青岛 - 螺纹'!D80</f>
        <v>0</v>
      </c>
      <c r="X81" s="297">
        <f>'青岛 - 盘螺'!D80</f>
        <v>0</v>
      </c>
      <c r="Y81" s="298">
        <f>'连云港 - 螺纹'!D80</f>
        <v>0</v>
      </c>
      <c r="Z81" s="299">
        <f>'连云港 - 盘螺'!D80</f>
        <v>0</v>
      </c>
      <c r="AA81" s="298">
        <f>'苏南 - 螺纹'!D80</f>
        <v>0</v>
      </c>
      <c r="AB81" s="299">
        <f>'苏南 - 盘螺'!D80</f>
        <v>0</v>
      </c>
      <c r="AC81" s="274">
        <f>'青岛 - 螺纹'!B80</f>
        <v>0</v>
      </c>
      <c r="AD81" s="297">
        <f>'青岛 - 盘螺'!B80</f>
        <v>0</v>
      </c>
      <c r="AE81" s="298">
        <f>'连云港 - 螺纹'!B80</f>
        <v>0</v>
      </c>
      <c r="AF81" s="299">
        <f>'连云港 - 盘螺'!B80</f>
        <v>0</v>
      </c>
      <c r="AG81" s="298">
        <f>'苏南 - 螺纹'!B80</f>
        <v>0</v>
      </c>
      <c r="AH81" s="299">
        <f>'苏南 - 盘螺'!B80</f>
        <v>0</v>
      </c>
    </row>
    <row r="82" spans="1:34">
      <c r="A82" s="270">
        <v>44579</v>
      </c>
      <c r="B82" s="271">
        <f>'青岛 - 螺纹'!U81</f>
        <v>0</v>
      </c>
      <c r="C82" s="272">
        <f>'青岛 - 螺纹'!S81</f>
        <v>0</v>
      </c>
      <c r="D82" s="272">
        <f>'青岛 - 螺纹'!T81</f>
        <v>0</v>
      </c>
      <c r="E82" s="273"/>
      <c r="F82" s="273"/>
      <c r="G82" s="273"/>
      <c r="H82" s="274">
        <f>'青岛 - 螺纹'!AE81+'青岛 - 盘螺'!AE81</f>
        <v>0</v>
      </c>
      <c r="I82" s="284"/>
      <c r="J82" s="274">
        <f>'连云港 - 螺纹'!AE81+'连云港 - 盘螺'!AE81</f>
        <v>0</v>
      </c>
      <c r="K82" s="284"/>
      <c r="L82" s="274">
        <f>'苏南 - 螺纹'!AE81+'苏南 - 盘螺'!AE81</f>
        <v>0</v>
      </c>
      <c r="M82" s="284"/>
      <c r="N82" s="287"/>
      <c r="O82" s="289" t="e">
        <f>IF(VLOOKUP(A82,每日销量追踪!$A$4:$CM$310,2,0)=1,VLOOKUP(A82,每日销量追踪!$A$4:$CM$310,15,0),(VLOOKUP(A82,每日销量追踪!$A$4:$CM$310,15,0)-VLOOKUP(A82-1,每日销量追踪!$A$4:$CM$310,15,0)))</f>
        <v>#N/A</v>
      </c>
      <c r="P82" s="293">
        <v>1.2</v>
      </c>
      <c r="Q82" s="274">
        <f>'青岛 - 螺纹'!O81+'青岛 - 螺纹'!P81</f>
        <v>0</v>
      </c>
      <c r="R82" s="297">
        <f>'青岛 - 盘螺'!O81+'青岛 - 盘螺'!P81</f>
        <v>0</v>
      </c>
      <c r="S82" s="298">
        <f>'连云港 - 螺纹'!O81+'连云港 - 螺纹'!P81</f>
        <v>0</v>
      </c>
      <c r="T82" s="299">
        <f>'连云港 - 盘螺'!O81+'连云港 - 盘螺'!P81</f>
        <v>0</v>
      </c>
      <c r="U82" s="298">
        <f>'苏南 - 螺纹'!O81+'苏南 - 螺纹'!P81</f>
        <v>0</v>
      </c>
      <c r="V82" s="299">
        <f>'苏南 - 盘螺'!O81+'苏南 - 盘螺'!P81</f>
        <v>0</v>
      </c>
      <c r="W82" s="274">
        <f>'青岛 - 螺纹'!D81</f>
        <v>0</v>
      </c>
      <c r="X82" s="297">
        <f>'青岛 - 盘螺'!D81</f>
        <v>0</v>
      </c>
      <c r="Y82" s="298">
        <f>'连云港 - 螺纹'!D81</f>
        <v>0</v>
      </c>
      <c r="Z82" s="299">
        <f>'连云港 - 盘螺'!D81</f>
        <v>0</v>
      </c>
      <c r="AA82" s="298">
        <f>'苏南 - 螺纹'!D81</f>
        <v>0</v>
      </c>
      <c r="AB82" s="299">
        <f>'苏南 - 盘螺'!D81</f>
        <v>0</v>
      </c>
      <c r="AC82" s="274">
        <f>'青岛 - 螺纹'!B81</f>
        <v>0</v>
      </c>
      <c r="AD82" s="297">
        <f>'青岛 - 盘螺'!B81</f>
        <v>0</v>
      </c>
      <c r="AE82" s="298">
        <f>'连云港 - 螺纹'!B81</f>
        <v>0</v>
      </c>
      <c r="AF82" s="299">
        <f>'连云港 - 盘螺'!B81</f>
        <v>0</v>
      </c>
      <c r="AG82" s="298">
        <f>'苏南 - 螺纹'!B81</f>
        <v>0</v>
      </c>
      <c r="AH82" s="299">
        <f>'苏南 - 盘螺'!B81</f>
        <v>0</v>
      </c>
    </row>
    <row r="83" spans="1:34">
      <c r="A83" s="270">
        <v>44580</v>
      </c>
      <c r="B83" s="271">
        <f>'青岛 - 螺纹'!U82</f>
        <v>0</v>
      </c>
      <c r="C83" s="272">
        <f>'青岛 - 螺纹'!S82</f>
        <v>0</v>
      </c>
      <c r="D83" s="272">
        <f>'青岛 - 螺纹'!T82</f>
        <v>0</v>
      </c>
      <c r="E83" s="273"/>
      <c r="F83" s="273"/>
      <c r="G83" s="273"/>
      <c r="H83" s="274">
        <f>'青岛 - 螺纹'!AE82+'青岛 - 盘螺'!AE82</f>
        <v>0</v>
      </c>
      <c r="I83" s="284"/>
      <c r="J83" s="274">
        <f>'连云港 - 螺纹'!AE82+'连云港 - 盘螺'!AE82</f>
        <v>0</v>
      </c>
      <c r="K83" s="284"/>
      <c r="L83" s="274">
        <f>'苏南 - 螺纹'!AE82+'苏南 - 盘螺'!AE82</f>
        <v>0</v>
      </c>
      <c r="M83" s="284"/>
      <c r="N83" s="287"/>
      <c r="O83" s="289" t="e">
        <f>IF(VLOOKUP(A83,每日销量追踪!$A$4:$CM$310,2,0)=1,VLOOKUP(A83,每日销量追踪!$A$4:$CM$310,15,0),(VLOOKUP(A83,每日销量追踪!$A$4:$CM$310,15,0)-VLOOKUP(A83-1,每日销量追踪!$A$4:$CM$310,15,0)))</f>
        <v>#N/A</v>
      </c>
      <c r="P83" s="293">
        <v>1.2</v>
      </c>
      <c r="Q83" s="274">
        <f>'青岛 - 螺纹'!O82+'青岛 - 螺纹'!P82</f>
        <v>0</v>
      </c>
      <c r="R83" s="297">
        <f>'青岛 - 盘螺'!O82+'青岛 - 盘螺'!P82</f>
        <v>0</v>
      </c>
      <c r="S83" s="298">
        <f>'连云港 - 螺纹'!O82+'连云港 - 螺纹'!P82</f>
        <v>0</v>
      </c>
      <c r="T83" s="299">
        <f>'连云港 - 盘螺'!O82+'连云港 - 盘螺'!P82</f>
        <v>0</v>
      </c>
      <c r="U83" s="298">
        <f>'苏南 - 螺纹'!O82+'苏南 - 螺纹'!P82</f>
        <v>0</v>
      </c>
      <c r="V83" s="299">
        <f>'苏南 - 盘螺'!O82+'苏南 - 盘螺'!P82</f>
        <v>0</v>
      </c>
      <c r="W83" s="274">
        <f>'青岛 - 螺纹'!D82</f>
        <v>0</v>
      </c>
      <c r="X83" s="297">
        <f>'青岛 - 盘螺'!D82</f>
        <v>0</v>
      </c>
      <c r="Y83" s="298">
        <f>'连云港 - 螺纹'!D82</f>
        <v>0</v>
      </c>
      <c r="Z83" s="299">
        <f>'连云港 - 盘螺'!D82</f>
        <v>0</v>
      </c>
      <c r="AA83" s="298">
        <f>'苏南 - 螺纹'!D82</f>
        <v>0</v>
      </c>
      <c r="AB83" s="299">
        <f>'苏南 - 盘螺'!D82</f>
        <v>0</v>
      </c>
      <c r="AC83" s="274">
        <f>'青岛 - 螺纹'!B82</f>
        <v>0</v>
      </c>
      <c r="AD83" s="297">
        <f>'青岛 - 盘螺'!B82</f>
        <v>0</v>
      </c>
      <c r="AE83" s="298">
        <f>'连云港 - 螺纹'!B82</f>
        <v>0</v>
      </c>
      <c r="AF83" s="299">
        <f>'连云港 - 盘螺'!B82</f>
        <v>0</v>
      </c>
      <c r="AG83" s="298">
        <f>'苏南 - 螺纹'!B82</f>
        <v>0</v>
      </c>
      <c r="AH83" s="299">
        <f>'苏南 - 盘螺'!B82</f>
        <v>0</v>
      </c>
    </row>
    <row r="84" spans="1:34">
      <c r="A84" s="270">
        <v>44581</v>
      </c>
      <c r="B84" s="271">
        <f>'青岛 - 螺纹'!U83</f>
        <v>0</v>
      </c>
      <c r="C84" s="272">
        <f>'青岛 - 螺纹'!S83</f>
        <v>0</v>
      </c>
      <c r="D84" s="272">
        <f>'青岛 - 螺纹'!T83</f>
        <v>0</v>
      </c>
      <c r="E84" s="273"/>
      <c r="F84" s="273"/>
      <c r="G84" s="273"/>
      <c r="H84" s="274">
        <f>'青岛 - 螺纹'!AE83+'青岛 - 盘螺'!AE83</f>
        <v>0</v>
      </c>
      <c r="I84" s="284"/>
      <c r="J84" s="274">
        <f>'连云港 - 螺纹'!AE83+'连云港 - 盘螺'!AE83</f>
        <v>0</v>
      </c>
      <c r="K84" s="284"/>
      <c r="L84" s="274">
        <f>'苏南 - 螺纹'!AE83+'苏南 - 盘螺'!AE83</f>
        <v>0</v>
      </c>
      <c r="M84" s="284"/>
      <c r="N84" s="287"/>
      <c r="O84" s="289" t="e">
        <f>IF(VLOOKUP(A84,每日销量追踪!$A$4:$CM$310,2,0)=1,VLOOKUP(A84,每日销量追踪!$A$4:$CM$310,15,0),(VLOOKUP(A84,每日销量追踪!$A$4:$CM$310,15,0)-VLOOKUP(A84-1,每日销量追踪!$A$4:$CM$310,15,0)))</f>
        <v>#N/A</v>
      </c>
      <c r="P84" s="293">
        <v>1.2</v>
      </c>
      <c r="Q84" s="274">
        <f>'青岛 - 螺纹'!O83+'青岛 - 螺纹'!P83</f>
        <v>0</v>
      </c>
      <c r="R84" s="297">
        <f>'青岛 - 盘螺'!O83+'青岛 - 盘螺'!P83</f>
        <v>0</v>
      </c>
      <c r="S84" s="298">
        <f>'连云港 - 螺纹'!O83+'连云港 - 螺纹'!P83</f>
        <v>0</v>
      </c>
      <c r="T84" s="299">
        <f>'连云港 - 盘螺'!O83+'连云港 - 盘螺'!P83</f>
        <v>0</v>
      </c>
      <c r="U84" s="298">
        <f>'苏南 - 螺纹'!O83+'苏南 - 螺纹'!P83</f>
        <v>0</v>
      </c>
      <c r="V84" s="299">
        <f>'苏南 - 盘螺'!O83+'苏南 - 盘螺'!P83</f>
        <v>0</v>
      </c>
      <c r="W84" s="274">
        <f>'青岛 - 螺纹'!D83</f>
        <v>0</v>
      </c>
      <c r="X84" s="297">
        <f>'青岛 - 盘螺'!D83</f>
        <v>0</v>
      </c>
      <c r="Y84" s="298">
        <f>'连云港 - 螺纹'!D83</f>
        <v>0</v>
      </c>
      <c r="Z84" s="299">
        <f>'连云港 - 盘螺'!D83</f>
        <v>0</v>
      </c>
      <c r="AA84" s="298">
        <f>'苏南 - 螺纹'!D83</f>
        <v>0</v>
      </c>
      <c r="AB84" s="299">
        <f>'苏南 - 盘螺'!D83</f>
        <v>0</v>
      </c>
      <c r="AC84" s="274">
        <f>'青岛 - 螺纹'!B83</f>
        <v>0</v>
      </c>
      <c r="AD84" s="297">
        <f>'青岛 - 盘螺'!B83</f>
        <v>0</v>
      </c>
      <c r="AE84" s="298">
        <f>'连云港 - 螺纹'!B83</f>
        <v>0</v>
      </c>
      <c r="AF84" s="299">
        <f>'连云港 - 盘螺'!B83</f>
        <v>0</v>
      </c>
      <c r="AG84" s="298">
        <f>'苏南 - 螺纹'!B83</f>
        <v>0</v>
      </c>
      <c r="AH84" s="299">
        <f>'苏南 - 盘螺'!B83</f>
        <v>0</v>
      </c>
    </row>
    <row r="85" spans="1:34">
      <c r="A85" s="270">
        <v>44582</v>
      </c>
      <c r="B85" s="271">
        <f>'青岛 - 螺纹'!U84</f>
        <v>0</v>
      </c>
      <c r="C85" s="272">
        <f>'青岛 - 螺纹'!S84</f>
        <v>0</v>
      </c>
      <c r="D85" s="272">
        <f>'青岛 - 螺纹'!T84</f>
        <v>0</v>
      </c>
      <c r="E85" s="273"/>
      <c r="F85" s="273"/>
      <c r="G85" s="273"/>
      <c r="H85" s="274">
        <f>'青岛 - 螺纹'!AE84+'青岛 - 盘螺'!AE84</f>
        <v>0</v>
      </c>
      <c r="I85" s="284"/>
      <c r="J85" s="274">
        <f>'连云港 - 螺纹'!AE84+'连云港 - 盘螺'!AE84</f>
        <v>0</v>
      </c>
      <c r="K85" s="284"/>
      <c r="L85" s="274">
        <f>'苏南 - 螺纹'!AE84+'苏南 - 盘螺'!AE84</f>
        <v>0</v>
      </c>
      <c r="M85" s="284"/>
      <c r="N85" s="287"/>
      <c r="O85" s="289" t="e">
        <f>IF(VLOOKUP(A85,每日销量追踪!$A$4:$CM$310,2,0)=1,VLOOKUP(A85,每日销量追踪!$A$4:$CM$310,15,0),(VLOOKUP(A85,每日销量追踪!$A$4:$CM$310,15,0)-VLOOKUP(A85-1,每日销量追踪!$A$4:$CM$310,15,0)))</f>
        <v>#N/A</v>
      </c>
      <c r="P85" s="293">
        <v>1.2</v>
      </c>
      <c r="Q85" s="274">
        <f>'青岛 - 螺纹'!O84+'青岛 - 螺纹'!P84</f>
        <v>0</v>
      </c>
      <c r="R85" s="297">
        <f>'青岛 - 盘螺'!O84+'青岛 - 盘螺'!P84</f>
        <v>0</v>
      </c>
      <c r="S85" s="298">
        <f>'连云港 - 螺纹'!O84+'连云港 - 螺纹'!P84</f>
        <v>0</v>
      </c>
      <c r="T85" s="299">
        <f>'连云港 - 盘螺'!O84+'连云港 - 盘螺'!P84</f>
        <v>0</v>
      </c>
      <c r="U85" s="298">
        <f>'苏南 - 螺纹'!O84+'苏南 - 螺纹'!P84</f>
        <v>0</v>
      </c>
      <c r="V85" s="299">
        <f>'苏南 - 盘螺'!O84+'苏南 - 盘螺'!P84</f>
        <v>0</v>
      </c>
      <c r="W85" s="274">
        <f>'青岛 - 螺纹'!D84</f>
        <v>0</v>
      </c>
      <c r="X85" s="297">
        <f>'青岛 - 盘螺'!D84</f>
        <v>0</v>
      </c>
      <c r="Y85" s="298">
        <f>'连云港 - 螺纹'!D84</f>
        <v>0</v>
      </c>
      <c r="Z85" s="299">
        <f>'连云港 - 盘螺'!D84</f>
        <v>0</v>
      </c>
      <c r="AA85" s="298">
        <f>'苏南 - 螺纹'!D84</f>
        <v>0</v>
      </c>
      <c r="AB85" s="299">
        <f>'苏南 - 盘螺'!D84</f>
        <v>0</v>
      </c>
      <c r="AC85" s="274">
        <f>'青岛 - 螺纹'!B84</f>
        <v>0</v>
      </c>
      <c r="AD85" s="297">
        <f>'青岛 - 盘螺'!B84</f>
        <v>0</v>
      </c>
      <c r="AE85" s="298">
        <f>'连云港 - 螺纹'!B84</f>
        <v>0</v>
      </c>
      <c r="AF85" s="299">
        <f>'连云港 - 盘螺'!B84</f>
        <v>0</v>
      </c>
      <c r="AG85" s="298">
        <f>'苏南 - 螺纹'!B84</f>
        <v>0</v>
      </c>
      <c r="AH85" s="299">
        <f>'苏南 - 盘螺'!B84</f>
        <v>0</v>
      </c>
    </row>
    <row r="86" spans="1:34">
      <c r="A86" s="270">
        <v>44583</v>
      </c>
      <c r="B86" s="271">
        <f>'青岛 - 螺纹'!U85</f>
        <v>0</v>
      </c>
      <c r="C86" s="272">
        <f>'青岛 - 螺纹'!S85</f>
        <v>0</v>
      </c>
      <c r="D86" s="272">
        <f>'青岛 - 螺纹'!T85</f>
        <v>0</v>
      </c>
      <c r="E86" s="273"/>
      <c r="F86" s="273"/>
      <c r="G86" s="273"/>
      <c r="H86" s="274">
        <f>'青岛 - 螺纹'!AE85+'青岛 - 盘螺'!AE85</f>
        <v>0</v>
      </c>
      <c r="I86" s="284"/>
      <c r="J86" s="274">
        <f>'连云港 - 螺纹'!AE85+'连云港 - 盘螺'!AE85</f>
        <v>0</v>
      </c>
      <c r="K86" s="284"/>
      <c r="L86" s="274">
        <f>'苏南 - 螺纹'!AE85+'苏南 - 盘螺'!AE85</f>
        <v>0</v>
      </c>
      <c r="M86" s="284"/>
      <c r="N86" s="287"/>
      <c r="O86" s="289" t="e">
        <f>IF(VLOOKUP(A86,每日销量追踪!$A$4:$CM$310,2,0)=1,VLOOKUP(A86,每日销量追踪!$A$4:$CM$310,15,0),(VLOOKUP(A86,每日销量追踪!$A$4:$CM$310,15,0)-VLOOKUP(A86-1,每日销量追踪!$A$4:$CM$310,15,0)))</f>
        <v>#N/A</v>
      </c>
      <c r="P86" s="293">
        <v>1.2</v>
      </c>
      <c r="Q86" s="274">
        <f>'青岛 - 螺纹'!O85+'青岛 - 螺纹'!P85</f>
        <v>0</v>
      </c>
      <c r="R86" s="297">
        <f>'青岛 - 盘螺'!O85+'青岛 - 盘螺'!P85</f>
        <v>0</v>
      </c>
      <c r="S86" s="298">
        <f>'连云港 - 螺纹'!O85+'连云港 - 螺纹'!P85</f>
        <v>0</v>
      </c>
      <c r="T86" s="299">
        <f>'连云港 - 盘螺'!O85+'连云港 - 盘螺'!P85</f>
        <v>0</v>
      </c>
      <c r="U86" s="298">
        <f>'苏南 - 螺纹'!O85+'苏南 - 螺纹'!P85</f>
        <v>0</v>
      </c>
      <c r="V86" s="299">
        <f>'苏南 - 盘螺'!O85+'苏南 - 盘螺'!P85</f>
        <v>0</v>
      </c>
      <c r="W86" s="274">
        <f>'青岛 - 螺纹'!D85</f>
        <v>0</v>
      </c>
      <c r="X86" s="297">
        <f>'青岛 - 盘螺'!D85</f>
        <v>0</v>
      </c>
      <c r="Y86" s="298">
        <f>'连云港 - 螺纹'!D85</f>
        <v>0</v>
      </c>
      <c r="Z86" s="299">
        <f>'连云港 - 盘螺'!D85</f>
        <v>0</v>
      </c>
      <c r="AA86" s="298">
        <f>'苏南 - 螺纹'!D85</f>
        <v>0</v>
      </c>
      <c r="AB86" s="299">
        <f>'苏南 - 盘螺'!D85</f>
        <v>0</v>
      </c>
      <c r="AC86" s="274">
        <f>'青岛 - 螺纹'!B85</f>
        <v>0</v>
      </c>
      <c r="AD86" s="297">
        <f>'青岛 - 盘螺'!B85</f>
        <v>0</v>
      </c>
      <c r="AE86" s="298">
        <f>'连云港 - 螺纹'!B85</f>
        <v>0</v>
      </c>
      <c r="AF86" s="299">
        <f>'连云港 - 盘螺'!B85</f>
        <v>0</v>
      </c>
      <c r="AG86" s="298">
        <f>'苏南 - 螺纹'!B85</f>
        <v>0</v>
      </c>
      <c r="AH86" s="299">
        <f>'苏南 - 盘螺'!B85</f>
        <v>0</v>
      </c>
    </row>
    <row r="87" spans="1:34">
      <c r="A87" s="270">
        <v>44584</v>
      </c>
      <c r="B87" s="271">
        <f>'青岛 - 螺纹'!U86</f>
        <v>0</v>
      </c>
      <c r="C87" s="272">
        <f>'青岛 - 螺纹'!S86</f>
        <v>0</v>
      </c>
      <c r="D87" s="272">
        <f>'青岛 - 螺纹'!T86</f>
        <v>0</v>
      </c>
      <c r="E87" s="273"/>
      <c r="F87" s="273"/>
      <c r="G87" s="273"/>
      <c r="H87" s="274">
        <f>'青岛 - 螺纹'!AE86+'青岛 - 盘螺'!AE86</f>
        <v>0</v>
      </c>
      <c r="I87" s="284"/>
      <c r="J87" s="274">
        <f>'连云港 - 螺纹'!AE86+'连云港 - 盘螺'!AE86</f>
        <v>0</v>
      </c>
      <c r="K87" s="284"/>
      <c r="L87" s="274">
        <f>'苏南 - 螺纹'!AE86+'苏南 - 盘螺'!AE86</f>
        <v>0</v>
      </c>
      <c r="M87" s="284"/>
      <c r="N87" s="287"/>
      <c r="O87" s="289" t="e">
        <f>IF(VLOOKUP(A87,每日销量追踪!$A$4:$CM$310,2,0)=1,VLOOKUP(A87,每日销量追踪!$A$4:$CM$310,15,0),(VLOOKUP(A87,每日销量追踪!$A$4:$CM$310,15,0)-VLOOKUP(A87-1,每日销量追踪!$A$4:$CM$310,15,0)))</f>
        <v>#N/A</v>
      </c>
      <c r="P87" s="293">
        <v>1.2</v>
      </c>
      <c r="Q87" s="274">
        <f>'青岛 - 螺纹'!O86+'青岛 - 螺纹'!P86</f>
        <v>0</v>
      </c>
      <c r="R87" s="297">
        <f>'青岛 - 盘螺'!O86+'青岛 - 盘螺'!P86</f>
        <v>0</v>
      </c>
      <c r="S87" s="298">
        <f>'连云港 - 螺纹'!O86+'连云港 - 螺纹'!P86</f>
        <v>0</v>
      </c>
      <c r="T87" s="299">
        <f>'连云港 - 盘螺'!O86+'连云港 - 盘螺'!P86</f>
        <v>0</v>
      </c>
      <c r="U87" s="298">
        <f>'苏南 - 螺纹'!O86+'苏南 - 螺纹'!P86</f>
        <v>0</v>
      </c>
      <c r="V87" s="299">
        <f>'苏南 - 盘螺'!O86+'苏南 - 盘螺'!P86</f>
        <v>0</v>
      </c>
      <c r="W87" s="274">
        <f>'青岛 - 螺纹'!D86</f>
        <v>0</v>
      </c>
      <c r="X87" s="297">
        <f>'青岛 - 盘螺'!D86</f>
        <v>0</v>
      </c>
      <c r="Y87" s="298">
        <f>'连云港 - 螺纹'!D86</f>
        <v>0</v>
      </c>
      <c r="Z87" s="299">
        <f>'连云港 - 盘螺'!D86</f>
        <v>0</v>
      </c>
      <c r="AA87" s="298">
        <f>'苏南 - 螺纹'!D86</f>
        <v>0</v>
      </c>
      <c r="AB87" s="299">
        <f>'苏南 - 盘螺'!D86</f>
        <v>0</v>
      </c>
      <c r="AC87" s="274">
        <f>'青岛 - 螺纹'!B86</f>
        <v>0</v>
      </c>
      <c r="AD87" s="297">
        <f>'青岛 - 盘螺'!B86</f>
        <v>0</v>
      </c>
      <c r="AE87" s="298">
        <f>'连云港 - 螺纹'!B86</f>
        <v>0</v>
      </c>
      <c r="AF87" s="299">
        <f>'连云港 - 盘螺'!B86</f>
        <v>0</v>
      </c>
      <c r="AG87" s="298">
        <f>'苏南 - 螺纹'!B86</f>
        <v>0</v>
      </c>
      <c r="AH87" s="299">
        <f>'苏南 - 盘螺'!B86</f>
        <v>0</v>
      </c>
    </row>
    <row r="88" spans="1:34">
      <c r="A88" s="270">
        <v>44585</v>
      </c>
      <c r="B88" s="271">
        <f>'青岛 - 螺纹'!U87</f>
        <v>0</v>
      </c>
      <c r="C88" s="272">
        <f>'青岛 - 螺纹'!S87</f>
        <v>0</v>
      </c>
      <c r="D88" s="272">
        <f>'青岛 - 螺纹'!T87</f>
        <v>0</v>
      </c>
      <c r="E88" s="273"/>
      <c r="F88" s="273"/>
      <c r="G88" s="273"/>
      <c r="H88" s="274">
        <f>'青岛 - 螺纹'!AE87+'青岛 - 盘螺'!AE87</f>
        <v>0</v>
      </c>
      <c r="I88" s="284"/>
      <c r="J88" s="274">
        <f>'连云港 - 螺纹'!AE87+'连云港 - 盘螺'!AE87</f>
        <v>0</v>
      </c>
      <c r="K88" s="284"/>
      <c r="L88" s="274">
        <f>'苏南 - 螺纹'!AE87+'苏南 - 盘螺'!AE87</f>
        <v>0</v>
      </c>
      <c r="M88" s="284"/>
      <c r="N88" s="287"/>
      <c r="O88" s="289" t="e">
        <f>IF(VLOOKUP(A88,每日销量追踪!$A$4:$CM$310,2,0)=1,VLOOKUP(A88,每日销量追踪!$A$4:$CM$310,15,0),(VLOOKUP(A88,每日销量追踪!$A$4:$CM$310,15,0)-VLOOKUP(A88-1,每日销量追踪!$A$4:$CM$310,15,0)))</f>
        <v>#N/A</v>
      </c>
      <c r="P88" s="293">
        <v>1.2</v>
      </c>
      <c r="Q88" s="274">
        <f>'青岛 - 螺纹'!O87+'青岛 - 螺纹'!P87</f>
        <v>0</v>
      </c>
      <c r="R88" s="297">
        <f>'青岛 - 盘螺'!O87+'青岛 - 盘螺'!P87</f>
        <v>0</v>
      </c>
      <c r="S88" s="298">
        <f>'连云港 - 螺纹'!O87+'连云港 - 螺纹'!P87</f>
        <v>0</v>
      </c>
      <c r="T88" s="299">
        <f>'连云港 - 盘螺'!O87+'连云港 - 盘螺'!P87</f>
        <v>0</v>
      </c>
      <c r="U88" s="298">
        <f>'苏南 - 螺纹'!O87+'苏南 - 螺纹'!P87</f>
        <v>0</v>
      </c>
      <c r="V88" s="299">
        <f>'苏南 - 盘螺'!O87+'苏南 - 盘螺'!P87</f>
        <v>0</v>
      </c>
      <c r="W88" s="274">
        <f>'青岛 - 螺纹'!D87</f>
        <v>0</v>
      </c>
      <c r="X88" s="297">
        <f>'青岛 - 盘螺'!D87</f>
        <v>0</v>
      </c>
      <c r="Y88" s="298">
        <f>'连云港 - 螺纹'!D87</f>
        <v>0</v>
      </c>
      <c r="Z88" s="299">
        <f>'连云港 - 盘螺'!D87</f>
        <v>0</v>
      </c>
      <c r="AA88" s="298">
        <f>'苏南 - 螺纹'!D87</f>
        <v>0</v>
      </c>
      <c r="AB88" s="299">
        <f>'苏南 - 盘螺'!D87</f>
        <v>0</v>
      </c>
      <c r="AC88" s="274">
        <f>'青岛 - 螺纹'!B87</f>
        <v>0</v>
      </c>
      <c r="AD88" s="297">
        <f>'青岛 - 盘螺'!B87</f>
        <v>0</v>
      </c>
      <c r="AE88" s="298">
        <f>'连云港 - 螺纹'!B87</f>
        <v>0</v>
      </c>
      <c r="AF88" s="299">
        <f>'连云港 - 盘螺'!B87</f>
        <v>0</v>
      </c>
      <c r="AG88" s="298">
        <f>'苏南 - 螺纹'!B87</f>
        <v>0</v>
      </c>
      <c r="AH88" s="299">
        <f>'苏南 - 盘螺'!B87</f>
        <v>0</v>
      </c>
    </row>
    <row r="89" spans="1:34">
      <c r="A89" s="270">
        <v>44586</v>
      </c>
      <c r="B89" s="271">
        <f>'青岛 - 螺纹'!U88</f>
        <v>0</v>
      </c>
      <c r="C89" s="272">
        <f>'青岛 - 螺纹'!S88</f>
        <v>0</v>
      </c>
      <c r="D89" s="272">
        <f>'青岛 - 螺纹'!T88</f>
        <v>0</v>
      </c>
      <c r="E89" s="273"/>
      <c r="F89" s="273"/>
      <c r="G89" s="273"/>
      <c r="H89" s="274">
        <f>'青岛 - 螺纹'!AE88+'青岛 - 盘螺'!AE88</f>
        <v>0</v>
      </c>
      <c r="I89" s="284"/>
      <c r="J89" s="274">
        <f>'连云港 - 螺纹'!AE88+'连云港 - 盘螺'!AE88</f>
        <v>0</v>
      </c>
      <c r="K89" s="284"/>
      <c r="L89" s="274">
        <f>'苏南 - 螺纹'!AE88+'苏南 - 盘螺'!AE88</f>
        <v>0</v>
      </c>
      <c r="M89" s="284"/>
      <c r="N89" s="287"/>
      <c r="O89" s="289" t="e">
        <f>IF(VLOOKUP(A89,每日销量追踪!$A$4:$CM$310,2,0)=1,VLOOKUP(A89,每日销量追踪!$A$4:$CM$310,15,0),(VLOOKUP(A89,每日销量追踪!$A$4:$CM$310,15,0)-VLOOKUP(A89-1,每日销量追踪!$A$4:$CM$310,15,0)))</f>
        <v>#N/A</v>
      </c>
      <c r="P89" s="293">
        <v>1.2</v>
      </c>
      <c r="Q89" s="274">
        <f>'青岛 - 螺纹'!O88+'青岛 - 螺纹'!P88</f>
        <v>0</v>
      </c>
      <c r="R89" s="297">
        <f>'青岛 - 盘螺'!O88+'青岛 - 盘螺'!P88</f>
        <v>0</v>
      </c>
      <c r="S89" s="298">
        <f>'连云港 - 螺纹'!O88+'连云港 - 螺纹'!P88</f>
        <v>0</v>
      </c>
      <c r="T89" s="299">
        <f>'连云港 - 盘螺'!O88+'连云港 - 盘螺'!P88</f>
        <v>0</v>
      </c>
      <c r="U89" s="298">
        <f>'苏南 - 螺纹'!O88+'苏南 - 螺纹'!P88</f>
        <v>0</v>
      </c>
      <c r="V89" s="299">
        <f>'苏南 - 盘螺'!O88+'苏南 - 盘螺'!P88</f>
        <v>0</v>
      </c>
      <c r="W89" s="274">
        <f>'青岛 - 螺纹'!D88</f>
        <v>0</v>
      </c>
      <c r="X89" s="297">
        <f>'青岛 - 盘螺'!D88</f>
        <v>0</v>
      </c>
      <c r="Y89" s="298">
        <f>'连云港 - 螺纹'!D88</f>
        <v>0</v>
      </c>
      <c r="Z89" s="299">
        <f>'连云港 - 盘螺'!D88</f>
        <v>0</v>
      </c>
      <c r="AA89" s="298">
        <f>'苏南 - 螺纹'!D88</f>
        <v>0</v>
      </c>
      <c r="AB89" s="299">
        <f>'苏南 - 盘螺'!D88</f>
        <v>0</v>
      </c>
      <c r="AC89" s="274">
        <f>'青岛 - 螺纹'!B88</f>
        <v>0</v>
      </c>
      <c r="AD89" s="297">
        <f>'青岛 - 盘螺'!B88</f>
        <v>0</v>
      </c>
      <c r="AE89" s="298">
        <f>'连云港 - 螺纹'!B88</f>
        <v>0</v>
      </c>
      <c r="AF89" s="299">
        <f>'连云港 - 盘螺'!B88</f>
        <v>0</v>
      </c>
      <c r="AG89" s="298">
        <f>'苏南 - 螺纹'!B88</f>
        <v>0</v>
      </c>
      <c r="AH89" s="299">
        <f>'苏南 - 盘螺'!B88</f>
        <v>0</v>
      </c>
    </row>
    <row r="90" spans="1:34">
      <c r="A90" s="270">
        <v>44587</v>
      </c>
      <c r="B90" s="271">
        <f>'青岛 - 螺纹'!U89</f>
        <v>0</v>
      </c>
      <c r="C90" s="272">
        <f>'青岛 - 螺纹'!S89</f>
        <v>0</v>
      </c>
      <c r="D90" s="272">
        <f>'青岛 - 螺纹'!T89</f>
        <v>0</v>
      </c>
      <c r="E90" s="273"/>
      <c r="F90" s="273"/>
      <c r="G90" s="273"/>
      <c r="H90" s="274">
        <f>'青岛 - 螺纹'!AE89+'青岛 - 盘螺'!AE89</f>
        <v>0</v>
      </c>
      <c r="I90" s="284"/>
      <c r="J90" s="274">
        <f>'连云港 - 螺纹'!AE89+'连云港 - 盘螺'!AE89</f>
        <v>0</v>
      </c>
      <c r="K90" s="284"/>
      <c r="L90" s="274">
        <f>'苏南 - 螺纹'!AE89+'苏南 - 盘螺'!AE89</f>
        <v>0</v>
      </c>
      <c r="M90" s="284"/>
      <c r="N90" s="287"/>
      <c r="O90" s="289" t="e">
        <f>IF(VLOOKUP(A90,每日销量追踪!$A$4:$CM$310,2,0)=1,VLOOKUP(A90,每日销量追踪!$A$4:$CM$310,15,0),(VLOOKUP(A90,每日销量追踪!$A$4:$CM$310,15,0)-VLOOKUP(A90-1,每日销量追踪!$A$4:$CM$310,15,0)))</f>
        <v>#N/A</v>
      </c>
      <c r="P90" s="293">
        <v>1.2</v>
      </c>
      <c r="Q90" s="274">
        <f>'青岛 - 螺纹'!O89+'青岛 - 螺纹'!P89</f>
        <v>0</v>
      </c>
      <c r="R90" s="297">
        <f>'青岛 - 盘螺'!O89+'青岛 - 盘螺'!P89</f>
        <v>0</v>
      </c>
      <c r="S90" s="298">
        <f>'连云港 - 螺纹'!O89+'连云港 - 螺纹'!P89</f>
        <v>0</v>
      </c>
      <c r="T90" s="299">
        <f>'连云港 - 盘螺'!O89+'连云港 - 盘螺'!P89</f>
        <v>0</v>
      </c>
      <c r="U90" s="298">
        <f>'苏南 - 螺纹'!O89+'苏南 - 螺纹'!P89</f>
        <v>0</v>
      </c>
      <c r="V90" s="299">
        <f>'苏南 - 盘螺'!O89+'苏南 - 盘螺'!P89</f>
        <v>0</v>
      </c>
      <c r="W90" s="274">
        <f>'青岛 - 螺纹'!D89</f>
        <v>0</v>
      </c>
      <c r="X90" s="297">
        <f>'青岛 - 盘螺'!D89</f>
        <v>0</v>
      </c>
      <c r="Y90" s="298">
        <f>'连云港 - 螺纹'!D89</f>
        <v>0</v>
      </c>
      <c r="Z90" s="299">
        <f>'连云港 - 盘螺'!D89</f>
        <v>0</v>
      </c>
      <c r="AA90" s="298">
        <f>'苏南 - 螺纹'!D89</f>
        <v>0</v>
      </c>
      <c r="AB90" s="299">
        <f>'苏南 - 盘螺'!D89</f>
        <v>0</v>
      </c>
      <c r="AC90" s="274">
        <f>'青岛 - 螺纹'!B89</f>
        <v>0</v>
      </c>
      <c r="AD90" s="297">
        <f>'青岛 - 盘螺'!B89</f>
        <v>0</v>
      </c>
      <c r="AE90" s="298">
        <f>'连云港 - 螺纹'!B89</f>
        <v>0</v>
      </c>
      <c r="AF90" s="299">
        <f>'连云港 - 盘螺'!B89</f>
        <v>0</v>
      </c>
      <c r="AG90" s="298">
        <f>'苏南 - 螺纹'!B89</f>
        <v>0</v>
      </c>
      <c r="AH90" s="299">
        <f>'苏南 - 盘螺'!B89</f>
        <v>0</v>
      </c>
    </row>
    <row r="91" spans="1:34">
      <c r="A91" s="270">
        <v>44588</v>
      </c>
      <c r="B91" s="271">
        <f>'青岛 - 螺纹'!U90</f>
        <v>0</v>
      </c>
      <c r="C91" s="272">
        <f>'青岛 - 螺纹'!S90</f>
        <v>0</v>
      </c>
      <c r="D91" s="272">
        <f>'青岛 - 螺纹'!T90</f>
        <v>0</v>
      </c>
      <c r="E91" s="273"/>
      <c r="F91" s="273"/>
      <c r="G91" s="273"/>
      <c r="H91" s="274">
        <f>'青岛 - 螺纹'!AE90+'青岛 - 盘螺'!AE90</f>
        <v>0</v>
      </c>
      <c r="I91" s="284"/>
      <c r="J91" s="274">
        <f>'连云港 - 螺纹'!AE90+'连云港 - 盘螺'!AE90</f>
        <v>0</v>
      </c>
      <c r="K91" s="284"/>
      <c r="L91" s="274">
        <f>'苏南 - 螺纹'!AE90+'苏南 - 盘螺'!AE90</f>
        <v>0</v>
      </c>
      <c r="M91" s="284"/>
      <c r="N91" s="287"/>
      <c r="O91" s="289" t="e">
        <f>IF(VLOOKUP(A91,每日销量追踪!$A$4:$CM$310,2,0)=1,VLOOKUP(A91,每日销量追踪!$A$4:$CM$310,15,0),(VLOOKUP(A91,每日销量追踪!$A$4:$CM$310,15,0)-VLOOKUP(A91-1,每日销量追踪!$A$4:$CM$310,15,0)))</f>
        <v>#N/A</v>
      </c>
      <c r="P91" s="293">
        <v>1.2</v>
      </c>
      <c r="Q91" s="274">
        <f>'青岛 - 螺纹'!O90+'青岛 - 螺纹'!P90</f>
        <v>0</v>
      </c>
      <c r="R91" s="297">
        <f>'青岛 - 盘螺'!O90+'青岛 - 盘螺'!P90</f>
        <v>0</v>
      </c>
      <c r="S91" s="298">
        <f>'连云港 - 螺纹'!O90+'连云港 - 螺纹'!P90</f>
        <v>0</v>
      </c>
      <c r="T91" s="299">
        <f>'连云港 - 盘螺'!O90+'连云港 - 盘螺'!P90</f>
        <v>0</v>
      </c>
      <c r="U91" s="298">
        <f>'苏南 - 螺纹'!O90+'苏南 - 螺纹'!P90</f>
        <v>0</v>
      </c>
      <c r="V91" s="299">
        <f>'苏南 - 盘螺'!O90+'苏南 - 盘螺'!P90</f>
        <v>0</v>
      </c>
      <c r="W91" s="274">
        <f>'青岛 - 螺纹'!D90</f>
        <v>0</v>
      </c>
      <c r="X91" s="297">
        <f>'青岛 - 盘螺'!D90</f>
        <v>0</v>
      </c>
      <c r="Y91" s="298">
        <f>'连云港 - 螺纹'!D90</f>
        <v>0</v>
      </c>
      <c r="Z91" s="299">
        <f>'连云港 - 盘螺'!D90</f>
        <v>0</v>
      </c>
      <c r="AA91" s="298">
        <f>'苏南 - 螺纹'!D90</f>
        <v>0</v>
      </c>
      <c r="AB91" s="299">
        <f>'苏南 - 盘螺'!D90</f>
        <v>0</v>
      </c>
      <c r="AC91" s="274">
        <f>'青岛 - 螺纹'!B90</f>
        <v>0</v>
      </c>
      <c r="AD91" s="297">
        <f>'青岛 - 盘螺'!B90</f>
        <v>0</v>
      </c>
      <c r="AE91" s="298">
        <f>'连云港 - 螺纹'!B90</f>
        <v>0</v>
      </c>
      <c r="AF91" s="299">
        <f>'连云港 - 盘螺'!B90</f>
        <v>0</v>
      </c>
      <c r="AG91" s="298">
        <f>'苏南 - 螺纹'!B90</f>
        <v>0</v>
      </c>
      <c r="AH91" s="299">
        <f>'苏南 - 盘螺'!B90</f>
        <v>0</v>
      </c>
    </row>
    <row r="92" spans="1:34">
      <c r="A92" s="270">
        <v>44589</v>
      </c>
      <c r="B92" s="271">
        <f>'青岛 - 螺纹'!U91</f>
        <v>0</v>
      </c>
      <c r="C92" s="272">
        <f>'青岛 - 螺纹'!S91</f>
        <v>0</v>
      </c>
      <c r="D92" s="272">
        <f>'青岛 - 螺纹'!T91</f>
        <v>0</v>
      </c>
      <c r="E92" s="273"/>
      <c r="F92" s="273"/>
      <c r="G92" s="273"/>
      <c r="H92" s="274">
        <f>'青岛 - 螺纹'!AE91+'青岛 - 盘螺'!AE91</f>
        <v>0</v>
      </c>
      <c r="I92" s="284"/>
      <c r="J92" s="274">
        <f>'连云港 - 螺纹'!AE91+'连云港 - 盘螺'!AE91</f>
        <v>0</v>
      </c>
      <c r="K92" s="284"/>
      <c r="L92" s="274">
        <f>'苏南 - 螺纹'!AE91+'苏南 - 盘螺'!AE91</f>
        <v>0</v>
      </c>
      <c r="M92" s="284"/>
      <c r="N92" s="287"/>
      <c r="O92" s="289" t="e">
        <f>IF(VLOOKUP(A92,每日销量追踪!$A$4:$CM$310,2,0)=1,VLOOKUP(A92,每日销量追踪!$A$4:$CM$310,15,0),(VLOOKUP(A92,每日销量追踪!$A$4:$CM$310,15,0)-VLOOKUP(A92-1,每日销量追踪!$A$4:$CM$310,15,0)))</f>
        <v>#N/A</v>
      </c>
      <c r="P92" s="293">
        <v>1.2</v>
      </c>
      <c r="Q92" s="274">
        <f>'青岛 - 螺纹'!O91+'青岛 - 螺纹'!P91</f>
        <v>0</v>
      </c>
      <c r="R92" s="297">
        <f>'青岛 - 盘螺'!O91+'青岛 - 盘螺'!P91</f>
        <v>0</v>
      </c>
      <c r="S92" s="298">
        <f>'连云港 - 螺纹'!O91+'连云港 - 螺纹'!P91</f>
        <v>0</v>
      </c>
      <c r="T92" s="299">
        <f>'连云港 - 盘螺'!O91+'连云港 - 盘螺'!P91</f>
        <v>0</v>
      </c>
      <c r="U92" s="298">
        <f>'苏南 - 螺纹'!O91+'苏南 - 螺纹'!P91</f>
        <v>0</v>
      </c>
      <c r="V92" s="299">
        <f>'苏南 - 盘螺'!O91+'苏南 - 盘螺'!P91</f>
        <v>0</v>
      </c>
      <c r="W92" s="274">
        <f>'青岛 - 螺纹'!D91</f>
        <v>0</v>
      </c>
      <c r="X92" s="297">
        <f>'青岛 - 盘螺'!D91</f>
        <v>0</v>
      </c>
      <c r="Y92" s="298">
        <f>'连云港 - 螺纹'!D91</f>
        <v>0</v>
      </c>
      <c r="Z92" s="299">
        <f>'连云港 - 盘螺'!D91</f>
        <v>0</v>
      </c>
      <c r="AA92" s="298">
        <f>'苏南 - 螺纹'!D91</f>
        <v>0</v>
      </c>
      <c r="AB92" s="299">
        <f>'苏南 - 盘螺'!D91</f>
        <v>0</v>
      </c>
      <c r="AC92" s="274">
        <f>'青岛 - 螺纹'!B91</f>
        <v>0</v>
      </c>
      <c r="AD92" s="297">
        <f>'青岛 - 盘螺'!B91</f>
        <v>0</v>
      </c>
      <c r="AE92" s="298">
        <f>'连云港 - 螺纹'!B91</f>
        <v>0</v>
      </c>
      <c r="AF92" s="299">
        <f>'连云港 - 盘螺'!B91</f>
        <v>0</v>
      </c>
      <c r="AG92" s="298">
        <f>'苏南 - 螺纹'!B91</f>
        <v>0</v>
      </c>
      <c r="AH92" s="299">
        <f>'苏南 - 盘螺'!B91</f>
        <v>0</v>
      </c>
    </row>
    <row r="93" spans="1:34">
      <c r="A93" s="270">
        <v>44590</v>
      </c>
      <c r="B93" s="271">
        <f>'青岛 - 螺纹'!U92</f>
        <v>0</v>
      </c>
      <c r="C93" s="272">
        <f>'青岛 - 螺纹'!S92</f>
        <v>0</v>
      </c>
      <c r="D93" s="272">
        <f>'青岛 - 螺纹'!T92</f>
        <v>0</v>
      </c>
      <c r="E93" s="273"/>
      <c r="F93" s="273"/>
      <c r="G93" s="273"/>
      <c r="H93" s="274">
        <f>'青岛 - 螺纹'!AE92+'青岛 - 盘螺'!AE92</f>
        <v>0</v>
      </c>
      <c r="I93" s="284"/>
      <c r="J93" s="274">
        <f>'连云港 - 螺纹'!AE92+'连云港 - 盘螺'!AE92</f>
        <v>0</v>
      </c>
      <c r="K93" s="284"/>
      <c r="L93" s="274">
        <f>'苏南 - 螺纹'!AE92+'苏南 - 盘螺'!AE92</f>
        <v>0</v>
      </c>
      <c r="M93" s="284"/>
      <c r="N93" s="287"/>
      <c r="O93" s="289" t="e">
        <f>IF(VLOOKUP(A93,每日销量追踪!$A$4:$CM$310,2,0)=1,VLOOKUP(A93,每日销量追踪!$A$4:$CM$310,15,0),(VLOOKUP(A93,每日销量追踪!$A$4:$CM$310,15,0)-VLOOKUP(A93-1,每日销量追踪!$A$4:$CM$310,15,0)))</f>
        <v>#N/A</v>
      </c>
      <c r="P93" s="293">
        <v>1.2</v>
      </c>
      <c r="Q93" s="274">
        <f>'青岛 - 螺纹'!O92+'青岛 - 螺纹'!P92</f>
        <v>0</v>
      </c>
      <c r="R93" s="297">
        <f>'青岛 - 盘螺'!O92+'青岛 - 盘螺'!P92</f>
        <v>0</v>
      </c>
      <c r="S93" s="298">
        <f>'连云港 - 螺纹'!O92+'连云港 - 螺纹'!P92</f>
        <v>0</v>
      </c>
      <c r="T93" s="299">
        <f>'连云港 - 盘螺'!O92+'连云港 - 盘螺'!P92</f>
        <v>0</v>
      </c>
      <c r="U93" s="298">
        <f>'苏南 - 螺纹'!O92+'苏南 - 螺纹'!P92</f>
        <v>0</v>
      </c>
      <c r="V93" s="299">
        <f>'苏南 - 盘螺'!O92+'苏南 - 盘螺'!P92</f>
        <v>0</v>
      </c>
      <c r="W93" s="274">
        <f>'青岛 - 螺纹'!D92</f>
        <v>0</v>
      </c>
      <c r="X93" s="297">
        <f>'青岛 - 盘螺'!D92</f>
        <v>0</v>
      </c>
      <c r="Y93" s="298">
        <f>'连云港 - 螺纹'!D92</f>
        <v>0</v>
      </c>
      <c r="Z93" s="299">
        <f>'连云港 - 盘螺'!D92</f>
        <v>0</v>
      </c>
      <c r="AA93" s="298">
        <f>'苏南 - 螺纹'!D92</f>
        <v>0</v>
      </c>
      <c r="AB93" s="299">
        <f>'苏南 - 盘螺'!D92</f>
        <v>0</v>
      </c>
      <c r="AC93" s="274">
        <f>'青岛 - 螺纹'!B92</f>
        <v>0</v>
      </c>
      <c r="AD93" s="297">
        <f>'青岛 - 盘螺'!B92</f>
        <v>0</v>
      </c>
      <c r="AE93" s="298">
        <f>'连云港 - 螺纹'!B92</f>
        <v>0</v>
      </c>
      <c r="AF93" s="299">
        <f>'连云港 - 盘螺'!B92</f>
        <v>0</v>
      </c>
      <c r="AG93" s="298">
        <f>'苏南 - 螺纹'!B92</f>
        <v>0</v>
      </c>
      <c r="AH93" s="299">
        <f>'苏南 - 盘螺'!B92</f>
        <v>0</v>
      </c>
    </row>
    <row r="94" spans="1:34">
      <c r="A94" s="270">
        <v>44591</v>
      </c>
      <c r="B94" s="271">
        <f>'青岛 - 螺纹'!U93</f>
        <v>0</v>
      </c>
      <c r="C94" s="272">
        <f>'青岛 - 螺纹'!S93</f>
        <v>0</v>
      </c>
      <c r="D94" s="272">
        <f>'青岛 - 螺纹'!T93</f>
        <v>0</v>
      </c>
      <c r="E94" s="273"/>
      <c r="F94" s="273"/>
      <c r="G94" s="273"/>
      <c r="H94" s="274">
        <f>'青岛 - 螺纹'!AE93+'青岛 - 盘螺'!AE93</f>
        <v>0</v>
      </c>
      <c r="I94" s="284"/>
      <c r="J94" s="274">
        <f>'连云港 - 螺纹'!AE93+'连云港 - 盘螺'!AE93</f>
        <v>0</v>
      </c>
      <c r="K94" s="284"/>
      <c r="L94" s="274">
        <f>'苏南 - 螺纹'!AE93+'苏南 - 盘螺'!AE93</f>
        <v>0</v>
      </c>
      <c r="M94" s="284"/>
      <c r="N94" s="287"/>
      <c r="O94" s="289" t="e">
        <f>IF(VLOOKUP(A94,每日销量追踪!$A$4:$CM$310,2,0)=1,VLOOKUP(A94,每日销量追踪!$A$4:$CM$310,15,0),(VLOOKUP(A94,每日销量追踪!$A$4:$CM$310,15,0)-VLOOKUP(A94-1,每日销量追踪!$A$4:$CM$310,15,0)))</f>
        <v>#N/A</v>
      </c>
      <c r="P94" s="293">
        <v>1.2</v>
      </c>
      <c r="Q94" s="274">
        <f>'青岛 - 螺纹'!O93+'青岛 - 螺纹'!P93</f>
        <v>0</v>
      </c>
      <c r="R94" s="297">
        <f>'青岛 - 盘螺'!O93+'青岛 - 盘螺'!P93</f>
        <v>0</v>
      </c>
      <c r="S94" s="298">
        <f>'连云港 - 螺纹'!O93+'连云港 - 螺纹'!P93</f>
        <v>0</v>
      </c>
      <c r="T94" s="299">
        <f>'连云港 - 盘螺'!O93+'连云港 - 盘螺'!P93</f>
        <v>0</v>
      </c>
      <c r="U94" s="298">
        <f>'苏南 - 螺纹'!O93+'苏南 - 螺纹'!P93</f>
        <v>0</v>
      </c>
      <c r="V94" s="299">
        <f>'苏南 - 盘螺'!O93+'苏南 - 盘螺'!P93</f>
        <v>0</v>
      </c>
      <c r="W94" s="274">
        <f>'青岛 - 螺纹'!D93</f>
        <v>0</v>
      </c>
      <c r="X94" s="297">
        <f>'青岛 - 盘螺'!D93</f>
        <v>0</v>
      </c>
      <c r="Y94" s="298">
        <f>'连云港 - 螺纹'!D93</f>
        <v>0</v>
      </c>
      <c r="Z94" s="299">
        <f>'连云港 - 盘螺'!D93</f>
        <v>0</v>
      </c>
      <c r="AA94" s="298">
        <f>'苏南 - 螺纹'!D93</f>
        <v>0</v>
      </c>
      <c r="AB94" s="299">
        <f>'苏南 - 盘螺'!D93</f>
        <v>0</v>
      </c>
      <c r="AC94" s="274">
        <f>'青岛 - 螺纹'!B93</f>
        <v>0</v>
      </c>
      <c r="AD94" s="297">
        <f>'青岛 - 盘螺'!B93</f>
        <v>0</v>
      </c>
      <c r="AE94" s="298">
        <f>'连云港 - 螺纹'!B93</f>
        <v>0</v>
      </c>
      <c r="AF94" s="299">
        <f>'连云港 - 盘螺'!B93</f>
        <v>0</v>
      </c>
      <c r="AG94" s="298">
        <f>'苏南 - 螺纹'!B93</f>
        <v>0</v>
      </c>
      <c r="AH94" s="299">
        <f>'苏南 - 盘螺'!B93</f>
        <v>0</v>
      </c>
    </row>
    <row r="95" spans="1:34">
      <c r="A95" s="270">
        <v>44592</v>
      </c>
      <c r="B95" s="271">
        <f>'青岛 - 螺纹'!U94</f>
        <v>0</v>
      </c>
      <c r="C95" s="272">
        <f>'青岛 - 螺纹'!S94</f>
        <v>0</v>
      </c>
      <c r="D95" s="272">
        <f>'青岛 - 螺纹'!T94</f>
        <v>0</v>
      </c>
      <c r="E95" s="273"/>
      <c r="F95" s="273"/>
      <c r="G95" s="273"/>
      <c r="H95" s="274">
        <f>'青岛 - 螺纹'!AE94+'青岛 - 盘螺'!AE94</f>
        <v>0</v>
      </c>
      <c r="I95" s="284"/>
      <c r="J95" s="274">
        <f>'连云港 - 螺纹'!AE94+'连云港 - 盘螺'!AE94</f>
        <v>0</v>
      </c>
      <c r="K95" s="284"/>
      <c r="L95" s="274">
        <f>'苏南 - 螺纹'!AE94+'苏南 - 盘螺'!AE94</f>
        <v>0</v>
      </c>
      <c r="M95" s="284"/>
      <c r="N95" s="287"/>
      <c r="O95" s="289" t="e">
        <f>IF(VLOOKUP(A95,每日销量追踪!$A$4:$CM$310,2,0)=1,VLOOKUP(A95,每日销量追踪!$A$4:$CM$310,15,0),(VLOOKUP(A95,每日销量追踪!$A$4:$CM$310,15,0)-VLOOKUP(A95-1,每日销量追踪!$A$4:$CM$310,15,0)))</f>
        <v>#N/A</v>
      </c>
      <c r="P95" s="293">
        <v>1.2</v>
      </c>
      <c r="Q95" s="274">
        <f>'青岛 - 螺纹'!O94+'青岛 - 螺纹'!P94</f>
        <v>0</v>
      </c>
      <c r="R95" s="297">
        <f>'青岛 - 盘螺'!O94+'青岛 - 盘螺'!P94</f>
        <v>0</v>
      </c>
      <c r="S95" s="298">
        <f>'连云港 - 螺纹'!O94+'连云港 - 螺纹'!P94</f>
        <v>0</v>
      </c>
      <c r="T95" s="299">
        <f>'连云港 - 盘螺'!O94+'连云港 - 盘螺'!P94</f>
        <v>0</v>
      </c>
      <c r="U95" s="298">
        <f>'苏南 - 螺纹'!O94+'苏南 - 螺纹'!P94</f>
        <v>0</v>
      </c>
      <c r="V95" s="299">
        <f>'苏南 - 盘螺'!O94+'苏南 - 盘螺'!P94</f>
        <v>0</v>
      </c>
      <c r="W95" s="274">
        <f>'青岛 - 螺纹'!D94</f>
        <v>0</v>
      </c>
      <c r="X95" s="297">
        <f>'青岛 - 盘螺'!D94</f>
        <v>0</v>
      </c>
      <c r="Y95" s="298">
        <f>'连云港 - 螺纹'!D94</f>
        <v>0</v>
      </c>
      <c r="Z95" s="299">
        <f>'连云港 - 盘螺'!D94</f>
        <v>0</v>
      </c>
      <c r="AA95" s="298">
        <f>'苏南 - 螺纹'!D94</f>
        <v>0</v>
      </c>
      <c r="AB95" s="299">
        <f>'苏南 - 盘螺'!D94</f>
        <v>0</v>
      </c>
      <c r="AC95" s="274">
        <f>'青岛 - 螺纹'!B94</f>
        <v>0</v>
      </c>
      <c r="AD95" s="297">
        <f>'青岛 - 盘螺'!B94</f>
        <v>0</v>
      </c>
      <c r="AE95" s="298">
        <f>'连云港 - 螺纹'!B94</f>
        <v>0</v>
      </c>
      <c r="AF95" s="299">
        <f>'连云港 - 盘螺'!B94</f>
        <v>0</v>
      </c>
      <c r="AG95" s="298">
        <f>'苏南 - 螺纹'!B94</f>
        <v>0</v>
      </c>
      <c r="AH95" s="299">
        <f>'苏南 - 盘螺'!B94</f>
        <v>0</v>
      </c>
    </row>
    <row r="96" spans="1:34">
      <c r="A96" s="270">
        <v>44593</v>
      </c>
      <c r="B96" s="271">
        <f>'青岛 - 螺纹'!U95</f>
        <v>0</v>
      </c>
      <c r="C96" s="272">
        <f>'青岛 - 螺纹'!S95</f>
        <v>0</v>
      </c>
      <c r="D96" s="272">
        <f>'青岛 - 螺纹'!T95</f>
        <v>0</v>
      </c>
      <c r="E96" s="273"/>
      <c r="F96" s="273"/>
      <c r="G96" s="273"/>
      <c r="H96" s="274">
        <f>'青岛 - 螺纹'!AE95+'青岛 - 盘螺'!AE95</f>
        <v>0</v>
      </c>
      <c r="I96" s="284"/>
      <c r="J96" s="274">
        <f>'连云港 - 螺纹'!AE95+'连云港 - 盘螺'!AE95</f>
        <v>0</v>
      </c>
      <c r="K96" s="284"/>
      <c r="L96" s="274">
        <f>'苏南 - 螺纹'!AE95+'苏南 - 盘螺'!AE95</f>
        <v>0</v>
      </c>
      <c r="M96" s="284"/>
      <c r="N96" s="287"/>
      <c r="O96" s="289" t="e">
        <f>IF(VLOOKUP(A96,每日销量追踪!$A$4:$CM$310,2,0)=1,VLOOKUP(A96,每日销量追踪!$A$4:$CM$310,15,0),(VLOOKUP(A96,每日销量追踪!$A$4:$CM$310,15,0)-VLOOKUP(A96-1,每日销量追踪!$A$4:$CM$310,15,0)))</f>
        <v>#N/A</v>
      </c>
      <c r="P96" s="293">
        <v>1.2</v>
      </c>
      <c r="Q96" s="274">
        <f>'青岛 - 螺纹'!O95+'青岛 - 螺纹'!P95</f>
        <v>0</v>
      </c>
      <c r="R96" s="297">
        <f>'青岛 - 盘螺'!O95+'青岛 - 盘螺'!P95</f>
        <v>0</v>
      </c>
      <c r="S96" s="298">
        <f>'连云港 - 螺纹'!O95+'连云港 - 螺纹'!P95</f>
        <v>0</v>
      </c>
      <c r="T96" s="299">
        <f>'连云港 - 盘螺'!O95+'连云港 - 盘螺'!P95</f>
        <v>0</v>
      </c>
      <c r="U96" s="298">
        <f>'苏南 - 螺纹'!O95+'苏南 - 螺纹'!P95</f>
        <v>0</v>
      </c>
      <c r="V96" s="299">
        <f>'苏南 - 盘螺'!O95+'苏南 - 盘螺'!P95</f>
        <v>0</v>
      </c>
      <c r="W96" s="274">
        <f>'青岛 - 螺纹'!D95</f>
        <v>0</v>
      </c>
      <c r="X96" s="297">
        <f>'青岛 - 盘螺'!D95</f>
        <v>0</v>
      </c>
      <c r="Y96" s="298">
        <f>'连云港 - 螺纹'!D95</f>
        <v>0</v>
      </c>
      <c r="Z96" s="299">
        <f>'连云港 - 盘螺'!D95</f>
        <v>0</v>
      </c>
      <c r="AA96" s="298">
        <f>'苏南 - 螺纹'!D95</f>
        <v>0</v>
      </c>
      <c r="AB96" s="299">
        <f>'苏南 - 盘螺'!D95</f>
        <v>0</v>
      </c>
      <c r="AC96" s="274">
        <f>'青岛 - 螺纹'!B95</f>
        <v>0</v>
      </c>
      <c r="AD96" s="297">
        <f>'青岛 - 盘螺'!B95</f>
        <v>0</v>
      </c>
      <c r="AE96" s="298">
        <f>'连云港 - 螺纹'!B95</f>
        <v>0</v>
      </c>
      <c r="AF96" s="299">
        <f>'连云港 - 盘螺'!B95</f>
        <v>0</v>
      </c>
      <c r="AG96" s="298">
        <f>'苏南 - 螺纹'!B95</f>
        <v>0</v>
      </c>
      <c r="AH96" s="299">
        <f>'苏南 - 盘螺'!B95</f>
        <v>0</v>
      </c>
    </row>
    <row r="97" spans="1:34">
      <c r="A97" s="270">
        <v>44594</v>
      </c>
      <c r="B97" s="271">
        <f>'青岛 - 螺纹'!U96</f>
        <v>0</v>
      </c>
      <c r="C97" s="272">
        <f>'青岛 - 螺纹'!S96</f>
        <v>0</v>
      </c>
      <c r="D97" s="272">
        <f>'青岛 - 螺纹'!T96</f>
        <v>0</v>
      </c>
      <c r="E97" s="273"/>
      <c r="F97" s="273"/>
      <c r="G97" s="273"/>
      <c r="H97" s="274">
        <f>'青岛 - 螺纹'!AE96+'青岛 - 盘螺'!AE96</f>
        <v>0</v>
      </c>
      <c r="I97" s="284"/>
      <c r="J97" s="274">
        <f>'连云港 - 螺纹'!AE96+'连云港 - 盘螺'!AE96</f>
        <v>0</v>
      </c>
      <c r="K97" s="284"/>
      <c r="L97" s="274">
        <f>'苏南 - 螺纹'!AE96+'苏南 - 盘螺'!AE96</f>
        <v>0</v>
      </c>
      <c r="M97" s="284"/>
      <c r="N97" s="287"/>
      <c r="O97" s="289" t="e">
        <f>IF(VLOOKUP(A97,每日销量追踪!$A$4:$CM$310,2,0)=1,VLOOKUP(A97,每日销量追踪!$A$4:$CM$310,15,0),(VLOOKUP(A97,每日销量追踪!$A$4:$CM$310,15,0)-VLOOKUP(A97-1,每日销量追踪!$A$4:$CM$310,15,0)))</f>
        <v>#N/A</v>
      </c>
      <c r="P97" s="293">
        <v>1.2</v>
      </c>
      <c r="Q97" s="274">
        <f>'青岛 - 螺纹'!O96+'青岛 - 螺纹'!P96</f>
        <v>0</v>
      </c>
      <c r="R97" s="297">
        <f>'青岛 - 盘螺'!O96+'青岛 - 盘螺'!P96</f>
        <v>0</v>
      </c>
      <c r="S97" s="298">
        <f>'连云港 - 螺纹'!O96+'连云港 - 螺纹'!P96</f>
        <v>0</v>
      </c>
      <c r="T97" s="299">
        <f>'连云港 - 盘螺'!O96+'连云港 - 盘螺'!P96</f>
        <v>0</v>
      </c>
      <c r="U97" s="298">
        <f>'苏南 - 螺纹'!O96+'苏南 - 螺纹'!P96</f>
        <v>0</v>
      </c>
      <c r="V97" s="299">
        <f>'苏南 - 盘螺'!O96+'苏南 - 盘螺'!P96</f>
        <v>0</v>
      </c>
      <c r="W97" s="274">
        <f>'青岛 - 螺纹'!D96</f>
        <v>0</v>
      </c>
      <c r="X97" s="297">
        <f>'青岛 - 盘螺'!D96</f>
        <v>0</v>
      </c>
      <c r="Y97" s="298">
        <f>'连云港 - 螺纹'!D96</f>
        <v>0</v>
      </c>
      <c r="Z97" s="299">
        <f>'连云港 - 盘螺'!D96</f>
        <v>0</v>
      </c>
      <c r="AA97" s="298">
        <f>'苏南 - 螺纹'!D96</f>
        <v>0</v>
      </c>
      <c r="AB97" s="299">
        <f>'苏南 - 盘螺'!D96</f>
        <v>0</v>
      </c>
      <c r="AC97" s="274">
        <f>'青岛 - 螺纹'!B96</f>
        <v>0</v>
      </c>
      <c r="AD97" s="297">
        <f>'青岛 - 盘螺'!B96</f>
        <v>0</v>
      </c>
      <c r="AE97" s="298">
        <f>'连云港 - 螺纹'!B96</f>
        <v>0</v>
      </c>
      <c r="AF97" s="299">
        <f>'连云港 - 盘螺'!B96</f>
        <v>0</v>
      </c>
      <c r="AG97" s="298">
        <f>'苏南 - 螺纹'!B96</f>
        <v>0</v>
      </c>
      <c r="AH97" s="299">
        <f>'苏南 - 盘螺'!B96</f>
        <v>0</v>
      </c>
    </row>
    <row r="98" spans="1:34">
      <c r="A98" s="270">
        <v>44595</v>
      </c>
      <c r="B98" s="271">
        <f>'青岛 - 螺纹'!U97</f>
        <v>0</v>
      </c>
      <c r="C98" s="272">
        <f>'青岛 - 螺纹'!S97</f>
        <v>0</v>
      </c>
      <c r="D98" s="272">
        <f>'青岛 - 螺纹'!T97</f>
        <v>0</v>
      </c>
      <c r="E98" s="273"/>
      <c r="F98" s="273"/>
      <c r="G98" s="273"/>
      <c r="H98" s="274">
        <f>'青岛 - 螺纹'!AE97+'青岛 - 盘螺'!AE97</f>
        <v>0</v>
      </c>
      <c r="I98" s="284"/>
      <c r="J98" s="274">
        <f>'连云港 - 螺纹'!AE97+'连云港 - 盘螺'!AE97</f>
        <v>0</v>
      </c>
      <c r="K98" s="284"/>
      <c r="L98" s="274">
        <f>'苏南 - 螺纹'!AE97+'苏南 - 盘螺'!AE97</f>
        <v>0</v>
      </c>
      <c r="M98" s="284"/>
      <c r="N98" s="287"/>
      <c r="O98" s="289" t="e">
        <f>IF(VLOOKUP(A98,每日销量追踪!$A$4:$CM$310,2,0)=1,VLOOKUP(A98,每日销量追踪!$A$4:$CM$310,15,0),(VLOOKUP(A98,每日销量追踪!$A$4:$CM$310,15,0)-VLOOKUP(A98-1,每日销量追踪!$A$4:$CM$310,15,0)))</f>
        <v>#N/A</v>
      </c>
      <c r="P98" s="293">
        <v>1.2</v>
      </c>
      <c r="Q98" s="274">
        <f>'青岛 - 螺纹'!O97+'青岛 - 螺纹'!P97</f>
        <v>0</v>
      </c>
      <c r="R98" s="297">
        <f>'青岛 - 盘螺'!O97+'青岛 - 盘螺'!P97</f>
        <v>0</v>
      </c>
      <c r="S98" s="298">
        <f>'连云港 - 螺纹'!O97+'连云港 - 螺纹'!P97</f>
        <v>0</v>
      </c>
      <c r="T98" s="299">
        <f>'连云港 - 盘螺'!O97+'连云港 - 盘螺'!P97</f>
        <v>0</v>
      </c>
      <c r="U98" s="298">
        <f>'苏南 - 螺纹'!O97+'苏南 - 螺纹'!P97</f>
        <v>0</v>
      </c>
      <c r="V98" s="299">
        <f>'苏南 - 盘螺'!O97+'苏南 - 盘螺'!P97</f>
        <v>0</v>
      </c>
      <c r="W98" s="274">
        <f>'青岛 - 螺纹'!D97</f>
        <v>0</v>
      </c>
      <c r="X98" s="297">
        <f>'青岛 - 盘螺'!D97</f>
        <v>0</v>
      </c>
      <c r="Y98" s="298">
        <f>'连云港 - 螺纹'!D97</f>
        <v>0</v>
      </c>
      <c r="Z98" s="299">
        <f>'连云港 - 盘螺'!D97</f>
        <v>0</v>
      </c>
      <c r="AA98" s="298">
        <f>'苏南 - 螺纹'!D97</f>
        <v>0</v>
      </c>
      <c r="AB98" s="299">
        <f>'苏南 - 盘螺'!D97</f>
        <v>0</v>
      </c>
      <c r="AC98" s="274">
        <f>'青岛 - 螺纹'!B97</f>
        <v>0</v>
      </c>
      <c r="AD98" s="297">
        <f>'青岛 - 盘螺'!B97</f>
        <v>0</v>
      </c>
      <c r="AE98" s="298">
        <f>'连云港 - 螺纹'!B97</f>
        <v>0</v>
      </c>
      <c r="AF98" s="299">
        <f>'连云港 - 盘螺'!B97</f>
        <v>0</v>
      </c>
      <c r="AG98" s="298">
        <f>'苏南 - 螺纹'!B97</f>
        <v>0</v>
      </c>
      <c r="AH98" s="299">
        <f>'苏南 - 盘螺'!B97</f>
        <v>0</v>
      </c>
    </row>
    <row r="99" spans="1:34">
      <c r="A99" s="270">
        <v>44596</v>
      </c>
      <c r="B99" s="271">
        <f>'青岛 - 螺纹'!U98</f>
        <v>0</v>
      </c>
      <c r="C99" s="272">
        <f>'青岛 - 螺纹'!S98</f>
        <v>0</v>
      </c>
      <c r="D99" s="272">
        <f>'青岛 - 螺纹'!T98</f>
        <v>0</v>
      </c>
      <c r="E99" s="273"/>
      <c r="F99" s="273"/>
      <c r="G99" s="273"/>
      <c r="H99" s="274">
        <f>'青岛 - 螺纹'!AE98+'青岛 - 盘螺'!AE98</f>
        <v>0</v>
      </c>
      <c r="I99" s="284"/>
      <c r="J99" s="274">
        <f>'连云港 - 螺纹'!AE98+'连云港 - 盘螺'!AE98</f>
        <v>0</v>
      </c>
      <c r="K99" s="284"/>
      <c r="L99" s="274">
        <f>'苏南 - 螺纹'!AE98+'苏南 - 盘螺'!AE98</f>
        <v>0</v>
      </c>
      <c r="M99" s="284"/>
      <c r="N99" s="287"/>
      <c r="O99" s="289" t="e">
        <f>IF(VLOOKUP(A99,每日销量追踪!$A$4:$CM$310,2,0)=1,VLOOKUP(A99,每日销量追踪!$A$4:$CM$310,15,0),(VLOOKUP(A99,每日销量追踪!$A$4:$CM$310,15,0)-VLOOKUP(A99-1,每日销量追踪!$A$4:$CM$310,15,0)))</f>
        <v>#N/A</v>
      </c>
      <c r="P99" s="293">
        <v>1.2</v>
      </c>
      <c r="Q99" s="274">
        <f>'青岛 - 螺纹'!O98+'青岛 - 螺纹'!P98</f>
        <v>0</v>
      </c>
      <c r="R99" s="297">
        <f>'青岛 - 盘螺'!O98+'青岛 - 盘螺'!P98</f>
        <v>0</v>
      </c>
      <c r="S99" s="298">
        <f>'连云港 - 螺纹'!O98+'连云港 - 螺纹'!P98</f>
        <v>0</v>
      </c>
      <c r="T99" s="299">
        <f>'连云港 - 盘螺'!O98+'连云港 - 盘螺'!P98</f>
        <v>0</v>
      </c>
      <c r="U99" s="298">
        <f>'苏南 - 螺纹'!O98+'苏南 - 螺纹'!P98</f>
        <v>0</v>
      </c>
      <c r="V99" s="299">
        <f>'苏南 - 盘螺'!O98+'苏南 - 盘螺'!P98</f>
        <v>0</v>
      </c>
      <c r="W99" s="274">
        <f>'青岛 - 螺纹'!D98</f>
        <v>0</v>
      </c>
      <c r="X99" s="297">
        <f>'青岛 - 盘螺'!D98</f>
        <v>0</v>
      </c>
      <c r="Y99" s="298">
        <f>'连云港 - 螺纹'!D98</f>
        <v>0</v>
      </c>
      <c r="Z99" s="299">
        <f>'连云港 - 盘螺'!D98</f>
        <v>0</v>
      </c>
      <c r="AA99" s="298">
        <f>'苏南 - 螺纹'!D98</f>
        <v>0</v>
      </c>
      <c r="AB99" s="299">
        <f>'苏南 - 盘螺'!D98</f>
        <v>0</v>
      </c>
      <c r="AC99" s="274">
        <f>'青岛 - 螺纹'!B98</f>
        <v>0</v>
      </c>
      <c r="AD99" s="297">
        <f>'青岛 - 盘螺'!B98</f>
        <v>0</v>
      </c>
      <c r="AE99" s="298">
        <f>'连云港 - 螺纹'!B98</f>
        <v>0</v>
      </c>
      <c r="AF99" s="299">
        <f>'连云港 - 盘螺'!B98</f>
        <v>0</v>
      </c>
      <c r="AG99" s="298">
        <f>'苏南 - 螺纹'!B98</f>
        <v>0</v>
      </c>
      <c r="AH99" s="299">
        <f>'苏南 - 盘螺'!B98</f>
        <v>0</v>
      </c>
    </row>
    <row r="100" spans="1:34">
      <c r="A100" s="270">
        <v>44597</v>
      </c>
      <c r="B100" s="271">
        <f>'青岛 - 螺纹'!U99</f>
        <v>0</v>
      </c>
      <c r="C100" s="272">
        <f>'青岛 - 螺纹'!S99</f>
        <v>0</v>
      </c>
      <c r="D100" s="272">
        <f>'青岛 - 螺纹'!T99</f>
        <v>0</v>
      </c>
      <c r="E100" s="273"/>
      <c r="F100" s="273"/>
      <c r="G100" s="273"/>
      <c r="H100" s="274">
        <f>'青岛 - 螺纹'!AE99+'青岛 - 盘螺'!AE99</f>
        <v>0</v>
      </c>
      <c r="I100" s="284"/>
      <c r="J100" s="274">
        <f>'连云港 - 螺纹'!AE99+'连云港 - 盘螺'!AE99</f>
        <v>0</v>
      </c>
      <c r="K100" s="284"/>
      <c r="L100" s="274">
        <f>'苏南 - 螺纹'!AE99+'苏南 - 盘螺'!AE99</f>
        <v>0</v>
      </c>
      <c r="M100" s="284"/>
      <c r="N100" s="287"/>
      <c r="O100" s="289" t="e">
        <f>IF(VLOOKUP(A100,每日销量追踪!$A$4:$CM$310,2,0)=1,VLOOKUP(A100,每日销量追踪!$A$4:$CM$310,15,0),(VLOOKUP(A100,每日销量追踪!$A$4:$CM$310,15,0)-VLOOKUP(A100-1,每日销量追踪!$A$4:$CM$310,15,0)))</f>
        <v>#N/A</v>
      </c>
      <c r="P100" s="293">
        <v>1.2</v>
      </c>
      <c r="Q100" s="274">
        <f>'青岛 - 螺纹'!O99+'青岛 - 螺纹'!P99</f>
        <v>0</v>
      </c>
      <c r="R100" s="297">
        <f>'青岛 - 盘螺'!O99+'青岛 - 盘螺'!P99</f>
        <v>0</v>
      </c>
      <c r="S100" s="298">
        <f>'连云港 - 螺纹'!O99+'连云港 - 螺纹'!P99</f>
        <v>0</v>
      </c>
      <c r="T100" s="299">
        <f>'连云港 - 盘螺'!O99+'连云港 - 盘螺'!P99</f>
        <v>0</v>
      </c>
      <c r="U100" s="298">
        <f>'苏南 - 螺纹'!O99+'苏南 - 螺纹'!P99</f>
        <v>0</v>
      </c>
      <c r="V100" s="299">
        <f>'苏南 - 盘螺'!O99+'苏南 - 盘螺'!P99</f>
        <v>0</v>
      </c>
      <c r="W100" s="274">
        <f>'青岛 - 螺纹'!D99</f>
        <v>0</v>
      </c>
      <c r="X100" s="297">
        <f>'青岛 - 盘螺'!D99</f>
        <v>0</v>
      </c>
      <c r="Y100" s="298">
        <f>'连云港 - 螺纹'!D99</f>
        <v>0</v>
      </c>
      <c r="Z100" s="299">
        <f>'连云港 - 盘螺'!D99</f>
        <v>0</v>
      </c>
      <c r="AA100" s="298">
        <f>'苏南 - 螺纹'!D99</f>
        <v>0</v>
      </c>
      <c r="AB100" s="299">
        <f>'苏南 - 盘螺'!D99</f>
        <v>0</v>
      </c>
      <c r="AC100" s="274">
        <f>'青岛 - 螺纹'!B99</f>
        <v>0</v>
      </c>
      <c r="AD100" s="297">
        <f>'青岛 - 盘螺'!B99</f>
        <v>0</v>
      </c>
      <c r="AE100" s="298">
        <f>'连云港 - 螺纹'!B99</f>
        <v>0</v>
      </c>
      <c r="AF100" s="299">
        <f>'连云港 - 盘螺'!B99</f>
        <v>0</v>
      </c>
      <c r="AG100" s="298">
        <f>'苏南 - 螺纹'!B99</f>
        <v>0</v>
      </c>
      <c r="AH100" s="299">
        <f>'苏南 - 盘螺'!B99</f>
        <v>0</v>
      </c>
    </row>
    <row r="101" spans="1:34">
      <c r="A101" s="270">
        <v>44598</v>
      </c>
      <c r="B101" s="271">
        <f>'青岛 - 螺纹'!U100</f>
        <v>0</v>
      </c>
      <c r="C101" s="272">
        <f>'青岛 - 螺纹'!S100</f>
        <v>0</v>
      </c>
      <c r="D101" s="272">
        <f>'青岛 - 螺纹'!T100</f>
        <v>0</v>
      </c>
      <c r="E101" s="273"/>
      <c r="F101" s="273"/>
      <c r="G101" s="273"/>
      <c r="H101" s="274">
        <f>'青岛 - 螺纹'!AE100+'青岛 - 盘螺'!AE100</f>
        <v>0</v>
      </c>
      <c r="I101" s="284"/>
      <c r="J101" s="274">
        <f>'连云港 - 螺纹'!AE100+'连云港 - 盘螺'!AE100</f>
        <v>0</v>
      </c>
      <c r="K101" s="284"/>
      <c r="L101" s="274">
        <f>'苏南 - 螺纹'!AE100+'苏南 - 盘螺'!AE100</f>
        <v>0</v>
      </c>
      <c r="M101" s="284"/>
      <c r="N101" s="287"/>
      <c r="O101" s="289" t="e">
        <f>IF(VLOOKUP(A101,每日销量追踪!$A$4:$CM$310,2,0)=1,VLOOKUP(A101,每日销量追踪!$A$4:$CM$310,15,0),(VLOOKUP(A101,每日销量追踪!$A$4:$CM$310,15,0)-VLOOKUP(A101-1,每日销量追踪!$A$4:$CM$310,15,0)))</f>
        <v>#N/A</v>
      </c>
      <c r="P101" s="293">
        <v>1.2</v>
      </c>
      <c r="Q101" s="274">
        <f>'青岛 - 螺纹'!O100+'青岛 - 螺纹'!P100</f>
        <v>0</v>
      </c>
      <c r="R101" s="297">
        <f>'青岛 - 盘螺'!O100+'青岛 - 盘螺'!P100</f>
        <v>0</v>
      </c>
      <c r="S101" s="298">
        <f>'连云港 - 螺纹'!O100+'连云港 - 螺纹'!P100</f>
        <v>0</v>
      </c>
      <c r="T101" s="299">
        <f>'连云港 - 盘螺'!O100+'连云港 - 盘螺'!P100</f>
        <v>0</v>
      </c>
      <c r="U101" s="298">
        <f>'苏南 - 螺纹'!O100+'苏南 - 螺纹'!P100</f>
        <v>0</v>
      </c>
      <c r="V101" s="299">
        <f>'苏南 - 盘螺'!O100+'苏南 - 盘螺'!P100</f>
        <v>0</v>
      </c>
      <c r="W101" s="274">
        <f>'青岛 - 螺纹'!D100</f>
        <v>0</v>
      </c>
      <c r="X101" s="297">
        <f>'青岛 - 盘螺'!D100</f>
        <v>0</v>
      </c>
      <c r="Y101" s="298">
        <f>'连云港 - 螺纹'!D100</f>
        <v>0</v>
      </c>
      <c r="Z101" s="299">
        <f>'连云港 - 盘螺'!D100</f>
        <v>0</v>
      </c>
      <c r="AA101" s="298">
        <f>'苏南 - 螺纹'!D100</f>
        <v>0</v>
      </c>
      <c r="AB101" s="299">
        <f>'苏南 - 盘螺'!D100</f>
        <v>0</v>
      </c>
      <c r="AC101" s="274">
        <f>'青岛 - 螺纹'!B100</f>
        <v>0</v>
      </c>
      <c r="AD101" s="297">
        <f>'青岛 - 盘螺'!B100</f>
        <v>0</v>
      </c>
      <c r="AE101" s="298">
        <f>'连云港 - 螺纹'!B100</f>
        <v>0</v>
      </c>
      <c r="AF101" s="299">
        <f>'连云港 - 盘螺'!B100</f>
        <v>0</v>
      </c>
      <c r="AG101" s="298">
        <f>'苏南 - 螺纹'!B100</f>
        <v>0</v>
      </c>
      <c r="AH101" s="299">
        <f>'苏南 - 盘螺'!B100</f>
        <v>0</v>
      </c>
    </row>
    <row r="102" spans="1:34">
      <c r="A102" s="270">
        <v>44599</v>
      </c>
      <c r="B102" s="271">
        <f>'青岛 - 螺纹'!U101</f>
        <v>0</v>
      </c>
      <c r="C102" s="272">
        <f>'青岛 - 螺纹'!S101</f>
        <v>0</v>
      </c>
      <c r="D102" s="272">
        <f>'青岛 - 螺纹'!T101</f>
        <v>0</v>
      </c>
      <c r="E102" s="273"/>
      <c r="F102" s="273"/>
      <c r="G102" s="273"/>
      <c r="H102" s="274">
        <f>'青岛 - 螺纹'!AE101+'青岛 - 盘螺'!AE101</f>
        <v>0</v>
      </c>
      <c r="I102" s="284"/>
      <c r="J102" s="274">
        <f>'连云港 - 螺纹'!AE101+'连云港 - 盘螺'!AE101</f>
        <v>0</v>
      </c>
      <c r="K102" s="284"/>
      <c r="L102" s="274">
        <f>'苏南 - 螺纹'!AE101+'苏南 - 盘螺'!AE101</f>
        <v>0</v>
      </c>
      <c r="M102" s="284"/>
      <c r="N102" s="287"/>
      <c r="O102" s="289" t="e">
        <f>IF(VLOOKUP(A102,每日销量追踪!$A$4:$CM$310,2,0)=1,VLOOKUP(A102,每日销量追踪!$A$4:$CM$310,15,0),(VLOOKUP(A102,每日销量追踪!$A$4:$CM$310,15,0)-VLOOKUP(A102-1,每日销量追踪!$A$4:$CM$310,15,0)))</f>
        <v>#N/A</v>
      </c>
      <c r="P102" s="293">
        <v>1.2</v>
      </c>
      <c r="Q102" s="274">
        <f>'青岛 - 螺纹'!O101+'青岛 - 螺纹'!P101</f>
        <v>0</v>
      </c>
      <c r="R102" s="297">
        <f>'青岛 - 盘螺'!O101+'青岛 - 盘螺'!P101</f>
        <v>0</v>
      </c>
      <c r="S102" s="298">
        <f>'连云港 - 螺纹'!O101+'连云港 - 螺纹'!P101</f>
        <v>0</v>
      </c>
      <c r="T102" s="299">
        <f>'连云港 - 盘螺'!O101+'连云港 - 盘螺'!P101</f>
        <v>0</v>
      </c>
      <c r="U102" s="298">
        <f>'苏南 - 螺纹'!O101+'苏南 - 螺纹'!P101</f>
        <v>0</v>
      </c>
      <c r="V102" s="299">
        <f>'苏南 - 盘螺'!O101+'苏南 - 盘螺'!P101</f>
        <v>0</v>
      </c>
      <c r="W102" s="274">
        <f>'青岛 - 螺纹'!D101</f>
        <v>0</v>
      </c>
      <c r="X102" s="297">
        <f>'青岛 - 盘螺'!D101</f>
        <v>0</v>
      </c>
      <c r="Y102" s="298">
        <f>'连云港 - 螺纹'!D101</f>
        <v>0</v>
      </c>
      <c r="Z102" s="299">
        <f>'连云港 - 盘螺'!D101</f>
        <v>0</v>
      </c>
      <c r="AA102" s="298">
        <f>'苏南 - 螺纹'!D101</f>
        <v>0</v>
      </c>
      <c r="AB102" s="299">
        <f>'苏南 - 盘螺'!D101</f>
        <v>0</v>
      </c>
      <c r="AC102" s="274">
        <f>'青岛 - 螺纹'!B101</f>
        <v>0</v>
      </c>
      <c r="AD102" s="297">
        <f>'青岛 - 盘螺'!B101</f>
        <v>0</v>
      </c>
      <c r="AE102" s="298">
        <f>'连云港 - 螺纹'!B101</f>
        <v>0</v>
      </c>
      <c r="AF102" s="299">
        <f>'连云港 - 盘螺'!B101</f>
        <v>0</v>
      </c>
      <c r="AG102" s="298">
        <f>'苏南 - 螺纹'!B101</f>
        <v>0</v>
      </c>
      <c r="AH102" s="299">
        <f>'苏南 - 盘螺'!B101</f>
        <v>0</v>
      </c>
    </row>
    <row r="103" spans="1:34">
      <c r="A103" s="270">
        <v>44600</v>
      </c>
      <c r="B103" s="271">
        <f>'青岛 - 螺纹'!U102</f>
        <v>0</v>
      </c>
      <c r="C103" s="272">
        <f>'青岛 - 螺纹'!S102</f>
        <v>0</v>
      </c>
      <c r="D103" s="272">
        <f>'青岛 - 螺纹'!T102</f>
        <v>0</v>
      </c>
      <c r="E103" s="273"/>
      <c r="F103" s="273"/>
      <c r="G103" s="273"/>
      <c r="H103" s="274">
        <f>'青岛 - 螺纹'!AE102+'青岛 - 盘螺'!AE102</f>
        <v>0</v>
      </c>
      <c r="I103" s="284"/>
      <c r="J103" s="274">
        <f>'连云港 - 螺纹'!AE102+'连云港 - 盘螺'!AE102</f>
        <v>0</v>
      </c>
      <c r="K103" s="284"/>
      <c r="L103" s="274">
        <f>'苏南 - 螺纹'!AE102+'苏南 - 盘螺'!AE102</f>
        <v>0</v>
      </c>
      <c r="M103" s="284"/>
      <c r="N103" s="287"/>
      <c r="O103" s="289" t="e">
        <f>IF(VLOOKUP(A103,每日销量追踪!$A$4:$CM$310,2,0)=1,VLOOKUP(A103,每日销量追踪!$A$4:$CM$310,15,0),(VLOOKUP(A103,每日销量追踪!$A$4:$CM$310,15,0)-VLOOKUP(A103-1,每日销量追踪!$A$4:$CM$310,15,0)))</f>
        <v>#N/A</v>
      </c>
      <c r="P103" s="293">
        <v>1.2</v>
      </c>
      <c r="Q103" s="274">
        <f>'青岛 - 螺纹'!O102+'青岛 - 螺纹'!P102</f>
        <v>0</v>
      </c>
      <c r="R103" s="297">
        <f>'青岛 - 盘螺'!O102+'青岛 - 盘螺'!P102</f>
        <v>0</v>
      </c>
      <c r="S103" s="298">
        <f>'连云港 - 螺纹'!O102+'连云港 - 螺纹'!P102</f>
        <v>0</v>
      </c>
      <c r="T103" s="299">
        <f>'连云港 - 盘螺'!O102+'连云港 - 盘螺'!P102</f>
        <v>0</v>
      </c>
      <c r="U103" s="298">
        <f>'苏南 - 螺纹'!O102+'苏南 - 螺纹'!P102</f>
        <v>0</v>
      </c>
      <c r="V103" s="299">
        <f>'苏南 - 盘螺'!O102+'苏南 - 盘螺'!P102</f>
        <v>0</v>
      </c>
      <c r="W103" s="274">
        <f>'青岛 - 螺纹'!D102</f>
        <v>0</v>
      </c>
      <c r="X103" s="297">
        <f>'青岛 - 盘螺'!D102</f>
        <v>0</v>
      </c>
      <c r="Y103" s="298">
        <f>'连云港 - 螺纹'!D102</f>
        <v>0</v>
      </c>
      <c r="Z103" s="299">
        <f>'连云港 - 盘螺'!D102</f>
        <v>0</v>
      </c>
      <c r="AA103" s="298">
        <f>'苏南 - 螺纹'!D102</f>
        <v>0</v>
      </c>
      <c r="AB103" s="299">
        <f>'苏南 - 盘螺'!D102</f>
        <v>0</v>
      </c>
      <c r="AC103" s="274">
        <f>'青岛 - 螺纹'!B102</f>
        <v>0</v>
      </c>
      <c r="AD103" s="297">
        <f>'青岛 - 盘螺'!B102</f>
        <v>0</v>
      </c>
      <c r="AE103" s="298">
        <f>'连云港 - 螺纹'!B102</f>
        <v>0</v>
      </c>
      <c r="AF103" s="299">
        <f>'连云港 - 盘螺'!B102</f>
        <v>0</v>
      </c>
      <c r="AG103" s="298">
        <f>'苏南 - 螺纹'!B102</f>
        <v>0</v>
      </c>
      <c r="AH103" s="299">
        <f>'苏南 - 盘螺'!B102</f>
        <v>0</v>
      </c>
    </row>
    <row r="104" spans="1:34">
      <c r="A104" s="270">
        <v>44601</v>
      </c>
      <c r="B104" s="271">
        <f>'青岛 - 螺纹'!U103</f>
        <v>0</v>
      </c>
      <c r="C104" s="272">
        <f>'青岛 - 螺纹'!S103</f>
        <v>0</v>
      </c>
      <c r="D104" s="272">
        <f>'青岛 - 螺纹'!T103</f>
        <v>0</v>
      </c>
      <c r="E104" s="273"/>
      <c r="F104" s="273"/>
      <c r="G104" s="273"/>
      <c r="H104" s="274">
        <f>'青岛 - 螺纹'!AE103+'青岛 - 盘螺'!AE103</f>
        <v>0</v>
      </c>
      <c r="I104" s="284"/>
      <c r="J104" s="274">
        <f>'连云港 - 螺纹'!AE103+'连云港 - 盘螺'!AE103</f>
        <v>0</v>
      </c>
      <c r="K104" s="284"/>
      <c r="L104" s="274">
        <f>'苏南 - 螺纹'!AE103+'苏南 - 盘螺'!AE103</f>
        <v>0</v>
      </c>
      <c r="M104" s="284"/>
      <c r="N104" s="287"/>
      <c r="O104" s="289" t="e">
        <f>IF(VLOOKUP(A104,每日销量追踪!$A$4:$CM$310,2,0)=1,VLOOKUP(A104,每日销量追踪!$A$4:$CM$310,15,0),(VLOOKUP(A104,每日销量追踪!$A$4:$CM$310,15,0)-VLOOKUP(A104-1,每日销量追踪!$A$4:$CM$310,15,0)))</f>
        <v>#N/A</v>
      </c>
      <c r="P104" s="293">
        <v>1.2</v>
      </c>
      <c r="Q104" s="274">
        <f>'青岛 - 螺纹'!O103+'青岛 - 螺纹'!P103</f>
        <v>0</v>
      </c>
      <c r="R104" s="297">
        <f>'青岛 - 盘螺'!O103+'青岛 - 盘螺'!P103</f>
        <v>0</v>
      </c>
      <c r="S104" s="298">
        <f>'连云港 - 螺纹'!O103+'连云港 - 螺纹'!P103</f>
        <v>0</v>
      </c>
      <c r="T104" s="299">
        <f>'连云港 - 盘螺'!O103+'连云港 - 盘螺'!P103</f>
        <v>0</v>
      </c>
      <c r="U104" s="298">
        <f>'苏南 - 螺纹'!O103+'苏南 - 螺纹'!P103</f>
        <v>0</v>
      </c>
      <c r="V104" s="299">
        <f>'苏南 - 盘螺'!O103+'苏南 - 盘螺'!P103</f>
        <v>0</v>
      </c>
      <c r="W104" s="274">
        <f>'青岛 - 螺纹'!D103</f>
        <v>0</v>
      </c>
      <c r="X104" s="297">
        <f>'青岛 - 盘螺'!D103</f>
        <v>0</v>
      </c>
      <c r="Y104" s="298">
        <f>'连云港 - 螺纹'!D103</f>
        <v>0</v>
      </c>
      <c r="Z104" s="299">
        <f>'连云港 - 盘螺'!D103</f>
        <v>0</v>
      </c>
      <c r="AA104" s="298">
        <f>'苏南 - 螺纹'!D103</f>
        <v>0</v>
      </c>
      <c r="AB104" s="299">
        <f>'苏南 - 盘螺'!D103</f>
        <v>0</v>
      </c>
      <c r="AC104" s="274">
        <f>'青岛 - 螺纹'!B103</f>
        <v>0</v>
      </c>
      <c r="AD104" s="297">
        <f>'青岛 - 盘螺'!B103</f>
        <v>0</v>
      </c>
      <c r="AE104" s="298">
        <f>'连云港 - 螺纹'!B103</f>
        <v>0</v>
      </c>
      <c r="AF104" s="299">
        <f>'连云港 - 盘螺'!B103</f>
        <v>0</v>
      </c>
      <c r="AG104" s="298">
        <f>'苏南 - 螺纹'!B103</f>
        <v>0</v>
      </c>
      <c r="AH104" s="299">
        <f>'苏南 - 盘螺'!B103</f>
        <v>0</v>
      </c>
    </row>
    <row r="105" spans="1:34">
      <c r="A105" s="270">
        <v>44602</v>
      </c>
      <c r="B105" s="271">
        <f>'青岛 - 螺纹'!U104</f>
        <v>0</v>
      </c>
      <c r="C105" s="272">
        <f>'青岛 - 螺纹'!S104</f>
        <v>0</v>
      </c>
      <c r="D105" s="272">
        <f>'青岛 - 螺纹'!T104</f>
        <v>0</v>
      </c>
      <c r="E105" s="273"/>
      <c r="F105" s="273"/>
      <c r="G105" s="273"/>
      <c r="H105" s="274">
        <f>'青岛 - 螺纹'!AE104+'青岛 - 盘螺'!AE104</f>
        <v>0</v>
      </c>
      <c r="I105" s="284"/>
      <c r="J105" s="274">
        <f>'连云港 - 螺纹'!AE104+'连云港 - 盘螺'!AE104</f>
        <v>0</v>
      </c>
      <c r="K105" s="284"/>
      <c r="L105" s="274">
        <f>'苏南 - 螺纹'!AE104+'苏南 - 盘螺'!AE104</f>
        <v>0</v>
      </c>
      <c r="M105" s="284"/>
      <c r="N105" s="287"/>
      <c r="O105" s="289" t="e">
        <f>IF(VLOOKUP(A105,每日销量追踪!$A$4:$CM$310,2,0)=1,VLOOKUP(A105,每日销量追踪!$A$4:$CM$310,15,0),(VLOOKUP(A105,每日销量追踪!$A$4:$CM$310,15,0)-VLOOKUP(A105-1,每日销量追踪!$A$4:$CM$310,15,0)))</f>
        <v>#N/A</v>
      </c>
      <c r="P105" s="293">
        <v>1.2</v>
      </c>
      <c r="Q105" s="274">
        <f>'青岛 - 螺纹'!O104+'青岛 - 螺纹'!P104</f>
        <v>0</v>
      </c>
      <c r="R105" s="297">
        <f>'青岛 - 盘螺'!O104+'青岛 - 盘螺'!P104</f>
        <v>0</v>
      </c>
      <c r="S105" s="298">
        <f>'连云港 - 螺纹'!O104+'连云港 - 螺纹'!P104</f>
        <v>0</v>
      </c>
      <c r="T105" s="299">
        <f>'连云港 - 盘螺'!O104+'连云港 - 盘螺'!P104</f>
        <v>0</v>
      </c>
      <c r="U105" s="298">
        <f>'苏南 - 螺纹'!O104+'苏南 - 螺纹'!P104</f>
        <v>0</v>
      </c>
      <c r="V105" s="299">
        <f>'苏南 - 盘螺'!O104+'苏南 - 盘螺'!P104</f>
        <v>0</v>
      </c>
      <c r="W105" s="274">
        <f>'青岛 - 螺纹'!D104</f>
        <v>0</v>
      </c>
      <c r="X105" s="297">
        <f>'青岛 - 盘螺'!D104</f>
        <v>0</v>
      </c>
      <c r="Y105" s="298">
        <f>'连云港 - 螺纹'!D104</f>
        <v>0</v>
      </c>
      <c r="Z105" s="299">
        <f>'连云港 - 盘螺'!D104</f>
        <v>0</v>
      </c>
      <c r="AA105" s="298">
        <f>'苏南 - 螺纹'!D104</f>
        <v>0</v>
      </c>
      <c r="AB105" s="299">
        <f>'苏南 - 盘螺'!D104</f>
        <v>0</v>
      </c>
      <c r="AC105" s="274">
        <f>'青岛 - 螺纹'!B104</f>
        <v>0</v>
      </c>
      <c r="AD105" s="297">
        <f>'青岛 - 盘螺'!B104</f>
        <v>0</v>
      </c>
      <c r="AE105" s="298">
        <f>'连云港 - 螺纹'!B104</f>
        <v>0</v>
      </c>
      <c r="AF105" s="299">
        <f>'连云港 - 盘螺'!B104</f>
        <v>0</v>
      </c>
      <c r="AG105" s="298">
        <f>'苏南 - 螺纹'!B104</f>
        <v>0</v>
      </c>
      <c r="AH105" s="299">
        <f>'苏南 - 盘螺'!B104</f>
        <v>0</v>
      </c>
    </row>
    <row r="106" spans="1:34">
      <c r="A106" s="270">
        <v>44603</v>
      </c>
      <c r="B106" s="271">
        <f>'青岛 - 螺纹'!U105</f>
        <v>0</v>
      </c>
      <c r="C106" s="272">
        <f>'青岛 - 螺纹'!S105</f>
        <v>0</v>
      </c>
      <c r="D106" s="272">
        <f>'青岛 - 螺纹'!T105</f>
        <v>0</v>
      </c>
      <c r="E106" s="273"/>
      <c r="F106" s="273"/>
      <c r="G106" s="273"/>
      <c r="H106" s="274">
        <f>'青岛 - 螺纹'!AE105+'青岛 - 盘螺'!AE105</f>
        <v>0</v>
      </c>
      <c r="I106" s="284"/>
      <c r="J106" s="274">
        <f>'连云港 - 螺纹'!AE105+'连云港 - 盘螺'!AE105</f>
        <v>0</v>
      </c>
      <c r="K106" s="284"/>
      <c r="L106" s="274">
        <f>'苏南 - 螺纹'!AE105+'苏南 - 盘螺'!AE105</f>
        <v>0</v>
      </c>
      <c r="M106" s="284"/>
      <c r="N106" s="287"/>
      <c r="O106" s="289" t="e">
        <f>IF(VLOOKUP(A106,每日销量追踪!$A$4:$CM$310,2,0)=1,VLOOKUP(A106,每日销量追踪!$A$4:$CM$310,15,0),(VLOOKUP(A106,每日销量追踪!$A$4:$CM$310,15,0)-VLOOKUP(A106-1,每日销量追踪!$A$4:$CM$310,15,0)))</f>
        <v>#N/A</v>
      </c>
      <c r="P106" s="293">
        <v>1.2</v>
      </c>
      <c r="Q106" s="274">
        <f>'青岛 - 螺纹'!O105+'青岛 - 螺纹'!P105</f>
        <v>0</v>
      </c>
      <c r="R106" s="297">
        <f>'青岛 - 盘螺'!O105+'青岛 - 盘螺'!P105</f>
        <v>0</v>
      </c>
      <c r="S106" s="298">
        <f>'连云港 - 螺纹'!O105+'连云港 - 螺纹'!P105</f>
        <v>0</v>
      </c>
      <c r="T106" s="299">
        <f>'连云港 - 盘螺'!O105+'连云港 - 盘螺'!P105</f>
        <v>0</v>
      </c>
      <c r="U106" s="298">
        <f>'苏南 - 螺纹'!O105+'苏南 - 螺纹'!P105</f>
        <v>0</v>
      </c>
      <c r="V106" s="299">
        <f>'苏南 - 盘螺'!O105+'苏南 - 盘螺'!P105</f>
        <v>0</v>
      </c>
      <c r="W106" s="274">
        <f>'青岛 - 螺纹'!D105</f>
        <v>0</v>
      </c>
      <c r="X106" s="297">
        <f>'青岛 - 盘螺'!D105</f>
        <v>0</v>
      </c>
      <c r="Y106" s="298">
        <f>'连云港 - 螺纹'!D105</f>
        <v>0</v>
      </c>
      <c r="Z106" s="299">
        <f>'连云港 - 盘螺'!D105</f>
        <v>0</v>
      </c>
      <c r="AA106" s="298">
        <f>'苏南 - 螺纹'!D105</f>
        <v>0</v>
      </c>
      <c r="AB106" s="299">
        <f>'苏南 - 盘螺'!D105</f>
        <v>0</v>
      </c>
      <c r="AC106" s="274">
        <f>'青岛 - 螺纹'!B105</f>
        <v>0</v>
      </c>
      <c r="AD106" s="297">
        <f>'青岛 - 盘螺'!B105</f>
        <v>0</v>
      </c>
      <c r="AE106" s="298">
        <f>'连云港 - 螺纹'!B105</f>
        <v>0</v>
      </c>
      <c r="AF106" s="299">
        <f>'连云港 - 盘螺'!B105</f>
        <v>0</v>
      </c>
      <c r="AG106" s="298">
        <f>'苏南 - 螺纹'!B105</f>
        <v>0</v>
      </c>
      <c r="AH106" s="299">
        <f>'苏南 - 盘螺'!B105</f>
        <v>0</v>
      </c>
    </row>
    <row r="107" spans="1:34">
      <c r="A107" s="270">
        <v>44604</v>
      </c>
      <c r="B107" s="271">
        <f>'青岛 - 螺纹'!U106</f>
        <v>0</v>
      </c>
      <c r="C107" s="272">
        <f>'青岛 - 螺纹'!S106</f>
        <v>0</v>
      </c>
      <c r="D107" s="272">
        <f>'青岛 - 螺纹'!T106</f>
        <v>0</v>
      </c>
      <c r="E107" s="273"/>
      <c r="F107" s="273"/>
      <c r="G107" s="273"/>
      <c r="H107" s="274">
        <f>'青岛 - 螺纹'!AE106+'青岛 - 盘螺'!AE106</f>
        <v>0</v>
      </c>
      <c r="I107" s="284"/>
      <c r="J107" s="274">
        <f>'连云港 - 螺纹'!AE106+'连云港 - 盘螺'!AE106</f>
        <v>0</v>
      </c>
      <c r="K107" s="284"/>
      <c r="L107" s="274">
        <f>'苏南 - 螺纹'!AE106+'苏南 - 盘螺'!AE106</f>
        <v>0</v>
      </c>
      <c r="M107" s="284"/>
      <c r="N107" s="287"/>
      <c r="O107" s="289" t="e">
        <f>IF(VLOOKUP(A107,每日销量追踪!$A$4:$CM$310,2,0)=1,VLOOKUP(A107,每日销量追踪!$A$4:$CM$310,15,0),(VLOOKUP(A107,每日销量追踪!$A$4:$CM$310,15,0)-VLOOKUP(A107-1,每日销量追踪!$A$4:$CM$310,15,0)))</f>
        <v>#N/A</v>
      </c>
      <c r="P107" s="293">
        <v>1.2</v>
      </c>
      <c r="Q107" s="274">
        <f>'青岛 - 螺纹'!O106+'青岛 - 螺纹'!P106</f>
        <v>0</v>
      </c>
      <c r="R107" s="297">
        <f>'青岛 - 盘螺'!O106+'青岛 - 盘螺'!P106</f>
        <v>0</v>
      </c>
      <c r="S107" s="298">
        <f>'连云港 - 螺纹'!O106+'连云港 - 螺纹'!P106</f>
        <v>0</v>
      </c>
      <c r="T107" s="299">
        <f>'连云港 - 盘螺'!O106+'连云港 - 盘螺'!P106</f>
        <v>0</v>
      </c>
      <c r="U107" s="298">
        <f>'苏南 - 螺纹'!O106+'苏南 - 螺纹'!P106</f>
        <v>0</v>
      </c>
      <c r="V107" s="299">
        <f>'苏南 - 盘螺'!O106+'苏南 - 盘螺'!P106</f>
        <v>0</v>
      </c>
      <c r="W107" s="274">
        <f>'青岛 - 螺纹'!D106</f>
        <v>0</v>
      </c>
      <c r="X107" s="297">
        <f>'青岛 - 盘螺'!D106</f>
        <v>0</v>
      </c>
      <c r="Y107" s="298">
        <f>'连云港 - 螺纹'!D106</f>
        <v>0</v>
      </c>
      <c r="Z107" s="299">
        <f>'连云港 - 盘螺'!D106</f>
        <v>0</v>
      </c>
      <c r="AA107" s="298">
        <f>'苏南 - 螺纹'!D106</f>
        <v>0</v>
      </c>
      <c r="AB107" s="299">
        <f>'苏南 - 盘螺'!D106</f>
        <v>0</v>
      </c>
      <c r="AC107" s="274">
        <f>'青岛 - 螺纹'!B106</f>
        <v>0</v>
      </c>
      <c r="AD107" s="297">
        <f>'青岛 - 盘螺'!B106</f>
        <v>0</v>
      </c>
      <c r="AE107" s="298">
        <f>'连云港 - 螺纹'!B106</f>
        <v>0</v>
      </c>
      <c r="AF107" s="299">
        <f>'连云港 - 盘螺'!B106</f>
        <v>0</v>
      </c>
      <c r="AG107" s="298">
        <f>'苏南 - 螺纹'!B106</f>
        <v>0</v>
      </c>
      <c r="AH107" s="299">
        <f>'苏南 - 盘螺'!B106</f>
        <v>0</v>
      </c>
    </row>
    <row r="108" spans="1:34">
      <c r="A108" s="270">
        <v>44605</v>
      </c>
      <c r="B108" s="271">
        <f>'青岛 - 螺纹'!U107</f>
        <v>0</v>
      </c>
      <c r="C108" s="272">
        <f>'青岛 - 螺纹'!S107</f>
        <v>0</v>
      </c>
      <c r="D108" s="272">
        <f>'青岛 - 螺纹'!T107</f>
        <v>0</v>
      </c>
      <c r="E108" s="273"/>
      <c r="F108" s="273"/>
      <c r="G108" s="273"/>
      <c r="H108" s="274">
        <f>'青岛 - 螺纹'!AE107+'青岛 - 盘螺'!AE107</f>
        <v>0</v>
      </c>
      <c r="I108" s="284"/>
      <c r="J108" s="274">
        <f>'连云港 - 螺纹'!AE107+'连云港 - 盘螺'!AE107</f>
        <v>0</v>
      </c>
      <c r="K108" s="284"/>
      <c r="L108" s="274">
        <f>'苏南 - 螺纹'!AE107+'苏南 - 盘螺'!AE107</f>
        <v>0</v>
      </c>
      <c r="M108" s="284"/>
      <c r="N108" s="287"/>
      <c r="O108" s="289" t="e">
        <f>IF(VLOOKUP(A108,每日销量追踪!$A$4:$CM$310,2,0)=1,VLOOKUP(A108,每日销量追踪!$A$4:$CM$310,15,0),(VLOOKUP(A108,每日销量追踪!$A$4:$CM$310,15,0)-VLOOKUP(A108-1,每日销量追踪!$A$4:$CM$310,15,0)))</f>
        <v>#N/A</v>
      </c>
      <c r="P108" s="293">
        <v>1.2</v>
      </c>
      <c r="Q108" s="274">
        <f>'青岛 - 螺纹'!O107+'青岛 - 螺纹'!P107</f>
        <v>0</v>
      </c>
      <c r="R108" s="297">
        <f>'青岛 - 盘螺'!O107+'青岛 - 盘螺'!P107</f>
        <v>0</v>
      </c>
      <c r="S108" s="298">
        <f>'连云港 - 螺纹'!O107+'连云港 - 螺纹'!P107</f>
        <v>0</v>
      </c>
      <c r="T108" s="299">
        <f>'连云港 - 盘螺'!O107+'连云港 - 盘螺'!P107</f>
        <v>0</v>
      </c>
      <c r="U108" s="298">
        <f>'苏南 - 螺纹'!O107+'苏南 - 螺纹'!P107</f>
        <v>0</v>
      </c>
      <c r="V108" s="299">
        <f>'苏南 - 盘螺'!O107+'苏南 - 盘螺'!P107</f>
        <v>0</v>
      </c>
      <c r="W108" s="274">
        <f>'青岛 - 螺纹'!D107</f>
        <v>0</v>
      </c>
      <c r="X108" s="297">
        <f>'青岛 - 盘螺'!D107</f>
        <v>0</v>
      </c>
      <c r="Y108" s="298">
        <f>'连云港 - 螺纹'!D107</f>
        <v>0</v>
      </c>
      <c r="Z108" s="299">
        <f>'连云港 - 盘螺'!D107</f>
        <v>0</v>
      </c>
      <c r="AA108" s="298">
        <f>'苏南 - 螺纹'!D107</f>
        <v>0</v>
      </c>
      <c r="AB108" s="299">
        <f>'苏南 - 盘螺'!D107</f>
        <v>0</v>
      </c>
      <c r="AC108" s="274">
        <f>'青岛 - 螺纹'!B107</f>
        <v>0</v>
      </c>
      <c r="AD108" s="297">
        <f>'青岛 - 盘螺'!B107</f>
        <v>0</v>
      </c>
      <c r="AE108" s="298">
        <f>'连云港 - 螺纹'!B107</f>
        <v>0</v>
      </c>
      <c r="AF108" s="299">
        <f>'连云港 - 盘螺'!B107</f>
        <v>0</v>
      </c>
      <c r="AG108" s="298">
        <f>'苏南 - 螺纹'!B107</f>
        <v>0</v>
      </c>
      <c r="AH108" s="299">
        <f>'苏南 - 盘螺'!B107</f>
        <v>0</v>
      </c>
    </row>
  </sheetData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"/>
  <sheetViews>
    <sheetView workbookViewId="0">
      <selection activeCell="G17" sqref="G17"/>
    </sheetView>
  </sheetViews>
  <sheetFormatPr defaultColWidth="9" defaultRowHeight="14.25"/>
  <sheetData/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workbookViewId="0">
      <pane xSplit="1" ySplit="2" topLeftCell="B24" activePane="bottomRight" state="frozen"/>
      <selection pane="topRight"/>
      <selection pane="bottomLeft"/>
      <selection pane="bottomRight" activeCell="S37" sqref="S37:S38"/>
    </sheetView>
  </sheetViews>
  <sheetFormatPr defaultColWidth="9" defaultRowHeight="14.25" outlineLevelCol="1"/>
  <cols>
    <col min="1" max="1" width="12.25" customWidth="1"/>
    <col min="2" max="2" width="10.125" customWidth="1"/>
    <col min="3" max="3" width="8.875" customWidth="1" outlineLevel="1"/>
    <col min="4" max="4" width="8.875" style="1" customWidth="1" outlineLevel="1"/>
    <col min="5" max="5" width="9.5" customWidth="1" outlineLevel="1"/>
    <col min="6" max="6" width="10.5" customWidth="1" outlineLevel="1"/>
    <col min="7" max="7" width="13.125" customWidth="1" outlineLevel="1"/>
    <col min="8" max="8" width="9.125" customWidth="1" outlineLevel="1"/>
    <col min="9" max="9" width="13.125" style="1" customWidth="1" outlineLevel="1"/>
    <col min="10" max="10" width="9.125" customWidth="1" outlineLevel="1"/>
    <col min="11" max="11" width="14.75" customWidth="1" outlineLevel="1"/>
    <col min="12" max="14" width="9.875" customWidth="1" outlineLevel="1"/>
    <col min="15" max="15" width="8.875" customWidth="1"/>
    <col min="16" max="16" width="4.875" customWidth="1" outlineLevel="1"/>
    <col min="17" max="17" width="13.5" customWidth="1" outlineLevel="1"/>
    <col min="18" max="18" width="11" customWidth="1" outlineLevel="1"/>
    <col min="19" max="19" width="11.125" customWidth="1"/>
    <col min="20" max="21" width="11.125" customWidth="1" outlineLevel="1"/>
    <col min="22" max="30" width="11.125" hidden="1" customWidth="1"/>
    <col min="31" max="31" width="11.125" customWidth="1" outlineLevel="1"/>
    <col min="32" max="33" width="10.125" customWidth="1" outlineLevel="1"/>
    <col min="34" max="34" width="11.125" customWidth="1" outlineLevel="1"/>
  </cols>
  <sheetData>
    <row r="1" spans="1:34">
      <c r="A1" s="2">
        <f ca="1">TODAY()</f>
        <v>44536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  <c r="Q1" s="3">
        <v>17</v>
      </c>
      <c r="R1" s="3">
        <v>18</v>
      </c>
      <c r="S1" s="3">
        <v>19</v>
      </c>
      <c r="T1" s="3">
        <v>20</v>
      </c>
      <c r="U1" s="3">
        <v>21</v>
      </c>
      <c r="V1" s="3">
        <v>22</v>
      </c>
      <c r="W1" s="3">
        <v>23</v>
      </c>
      <c r="X1" s="3">
        <v>24</v>
      </c>
      <c r="Y1" s="3">
        <v>25</v>
      </c>
      <c r="Z1" s="3">
        <v>26</v>
      </c>
      <c r="AA1" s="3">
        <v>27</v>
      </c>
      <c r="AB1" s="3">
        <v>28</v>
      </c>
      <c r="AC1" s="3">
        <v>29</v>
      </c>
      <c r="AD1" s="3">
        <v>30</v>
      </c>
      <c r="AE1" s="3">
        <v>31</v>
      </c>
      <c r="AF1" s="3">
        <v>32</v>
      </c>
      <c r="AG1" s="3">
        <v>33</v>
      </c>
      <c r="AH1" s="3">
        <v>34</v>
      </c>
    </row>
    <row r="2" spans="1:34" ht="42" customHeight="1">
      <c r="A2" s="4" t="s">
        <v>41</v>
      </c>
      <c r="B2" s="4" t="s">
        <v>74</v>
      </c>
      <c r="C2" s="5" t="s">
        <v>75</v>
      </c>
      <c r="D2" s="6" t="s">
        <v>5</v>
      </c>
      <c r="E2" s="7" t="s">
        <v>76</v>
      </c>
      <c r="F2" s="7" t="s">
        <v>77</v>
      </c>
      <c r="G2" s="8" t="s">
        <v>78</v>
      </c>
      <c r="H2" s="9" t="s">
        <v>79</v>
      </c>
      <c r="I2" s="22" t="s">
        <v>80</v>
      </c>
      <c r="J2" s="23" t="s">
        <v>81</v>
      </c>
      <c r="K2" s="24" t="s">
        <v>82</v>
      </c>
      <c r="L2" s="8" t="s">
        <v>10</v>
      </c>
      <c r="M2" s="9" t="s">
        <v>11</v>
      </c>
      <c r="N2" s="9" t="s">
        <v>83</v>
      </c>
      <c r="O2" s="9" t="s">
        <v>84</v>
      </c>
      <c r="P2" s="9" t="s">
        <v>85</v>
      </c>
      <c r="Q2" s="9" t="s">
        <v>86</v>
      </c>
      <c r="R2" s="9" t="s">
        <v>87</v>
      </c>
      <c r="S2" s="32" t="s">
        <v>61</v>
      </c>
      <c r="T2" s="32" t="s">
        <v>62</v>
      </c>
      <c r="U2" s="32" t="s">
        <v>88</v>
      </c>
      <c r="V2" s="32" t="s">
        <v>89</v>
      </c>
      <c r="W2" s="32" t="s">
        <v>90</v>
      </c>
      <c r="X2" s="32" t="s">
        <v>91</v>
      </c>
      <c r="Y2" s="32" t="s">
        <v>92</v>
      </c>
      <c r="Z2" s="32" t="s">
        <v>93</v>
      </c>
      <c r="AA2" s="32" t="s">
        <v>94</v>
      </c>
      <c r="AB2" s="32" t="s">
        <v>95</v>
      </c>
      <c r="AC2" s="32" t="s">
        <v>96</v>
      </c>
      <c r="AD2" s="32" t="s">
        <v>97</v>
      </c>
      <c r="AE2" s="245" t="s">
        <v>98</v>
      </c>
      <c r="AF2" s="39" t="s">
        <v>99</v>
      </c>
      <c r="AG2" s="245" t="s">
        <v>100</v>
      </c>
      <c r="AH2" s="245" t="s">
        <v>101</v>
      </c>
    </row>
    <row r="3" spans="1:34">
      <c r="A3" s="10">
        <v>44501</v>
      </c>
      <c r="B3" s="252">
        <v>5190</v>
      </c>
      <c r="C3" s="12">
        <f t="shared" ref="C3:C4" si="0">H3*G3+J3*I3+K3</f>
        <v>-1869.0999999999997</v>
      </c>
      <c r="D3" s="12">
        <f>5190+C3</f>
        <v>3320.9000000000005</v>
      </c>
      <c r="E3" s="12"/>
      <c r="F3" s="13"/>
      <c r="G3" s="14">
        <f>IF((Q3-L3)&lt;0,-(Q3-L3)/2,IF((Q3-L3)&gt;0,-(Q3-M3)/2,0))+R3</f>
        <v>-2635</v>
      </c>
      <c r="H3" s="15">
        <v>0.7</v>
      </c>
      <c r="I3" s="15">
        <f>U3</f>
        <v>-82</v>
      </c>
      <c r="J3" s="25">
        <v>0.3</v>
      </c>
      <c r="K3" s="25"/>
      <c r="L3" s="26">
        <v>-80</v>
      </c>
      <c r="M3" s="26">
        <v>-50</v>
      </c>
      <c r="N3" s="27"/>
      <c r="O3" s="11"/>
      <c r="P3" s="11">
        <v>-30</v>
      </c>
      <c r="Q3" s="33">
        <f>5190-(P3+O3)</f>
        <v>5220</v>
      </c>
      <c r="R3" s="35">
        <v>0</v>
      </c>
      <c r="S3" s="252">
        <v>4630</v>
      </c>
      <c r="T3" s="36">
        <v>4712</v>
      </c>
      <c r="U3" s="15">
        <f>S3-T3</f>
        <v>-82</v>
      </c>
      <c r="V3" s="26">
        <v>565</v>
      </c>
      <c r="W3" s="26">
        <v>577.5</v>
      </c>
      <c r="X3" s="26">
        <f>V3-W3</f>
        <v>-12.5</v>
      </c>
      <c r="Y3" s="26">
        <v>3040</v>
      </c>
      <c r="Z3" s="26">
        <v>3041</v>
      </c>
      <c r="AA3" s="26">
        <f>Y3-Z3</f>
        <v>-1</v>
      </c>
      <c r="AB3" s="26"/>
      <c r="AC3" s="26"/>
      <c r="AD3" s="26">
        <f>AB3-AC3</f>
        <v>0</v>
      </c>
      <c r="AE3" s="26"/>
      <c r="AF3" s="26"/>
      <c r="AG3" s="26"/>
      <c r="AH3" s="249"/>
    </row>
    <row r="4" spans="1:34">
      <c r="A4" s="16">
        <f>A3+1</f>
        <v>44502</v>
      </c>
      <c r="B4" s="239">
        <v>5070</v>
      </c>
      <c r="C4" s="18">
        <f t="shared" si="0"/>
        <v>-1883.7999999999997</v>
      </c>
      <c r="D4" s="18">
        <f>B3+C4</f>
        <v>3306.2000000000003</v>
      </c>
      <c r="E4" s="18">
        <f t="shared" ref="E4:E14" si="1">D3</f>
        <v>3320.9000000000005</v>
      </c>
      <c r="F4" s="19"/>
      <c r="G4" s="14">
        <f>IF((Q4-L4)&lt;0,-(Q4-L4)/2,IF((Q4-L4)&gt;0,-(Q4-M4)/2,0))+R4</f>
        <v>-2635</v>
      </c>
      <c r="H4" s="20">
        <f>H3</f>
        <v>0.7</v>
      </c>
      <c r="I4" s="20">
        <f>U4</f>
        <v>-131</v>
      </c>
      <c r="J4" s="28">
        <f>J3</f>
        <v>0.3</v>
      </c>
      <c r="K4" s="28"/>
      <c r="L4" s="20">
        <f>L3</f>
        <v>-80</v>
      </c>
      <c r="M4" s="20">
        <f>M3</f>
        <v>-50</v>
      </c>
      <c r="N4" s="29"/>
      <c r="O4" s="17"/>
      <c r="P4" s="18">
        <f>P3</f>
        <v>-30</v>
      </c>
      <c r="Q4" s="14">
        <f t="shared" ref="Q4:Q13" si="2">B3-(O3+P3)</f>
        <v>5220</v>
      </c>
      <c r="R4" s="37">
        <f>O4-O3</f>
        <v>0</v>
      </c>
      <c r="S4" s="239">
        <v>4499</v>
      </c>
      <c r="T4" s="38">
        <f>S3</f>
        <v>4630</v>
      </c>
      <c r="U4" s="20">
        <f t="shared" ref="U4:U21" si="3">S4-T4</f>
        <v>-131</v>
      </c>
      <c r="V4" s="30"/>
      <c r="W4" s="30"/>
      <c r="X4" s="30">
        <f t="shared" ref="X4" si="4">V4-W4</f>
        <v>0</v>
      </c>
      <c r="Y4" s="30"/>
      <c r="Z4" s="30"/>
      <c r="AA4" s="30">
        <f t="shared" ref="AA4" si="5">Y4-Z4</f>
        <v>0</v>
      </c>
      <c r="AB4" s="30"/>
      <c r="AC4" s="30"/>
      <c r="AD4" s="30">
        <f t="shared" ref="AD4" si="6">AB4-AC4</f>
        <v>0</v>
      </c>
      <c r="AE4" s="30"/>
      <c r="AF4" s="30"/>
      <c r="AG4" s="30"/>
      <c r="AH4" s="250"/>
    </row>
    <row r="5" spans="1:34">
      <c r="A5" s="16">
        <f t="shared" ref="A5:A41" si="7">A4+1</f>
        <v>44503</v>
      </c>
      <c r="B5" s="239">
        <v>4950</v>
      </c>
      <c r="C5" s="18">
        <f t="shared" ref="C5:C21" si="8">H5*G5+J5*I5+K5</f>
        <v>-1877.1999999999998</v>
      </c>
      <c r="D5" s="18">
        <f t="shared" ref="D5:D41" si="9">B4+C5</f>
        <v>3192.8</v>
      </c>
      <c r="E5" s="18">
        <f t="shared" si="1"/>
        <v>3306.2000000000003</v>
      </c>
      <c r="F5" s="19"/>
      <c r="G5" s="14">
        <f t="shared" ref="G5:G13" si="10">IF((Q5-L5)&lt;0,-(Q5-L5)/2,IF((Q5-L5)&gt;0,-(Q5-M5)/2,0))+R5</f>
        <v>-2575</v>
      </c>
      <c r="H5" s="20">
        <f t="shared" ref="H5:H13" si="11">H4</f>
        <v>0.7</v>
      </c>
      <c r="I5" s="20">
        <f t="shared" ref="I5:I13" si="12">U5</f>
        <v>-249</v>
      </c>
      <c r="J5" s="28">
        <f t="shared" ref="J5:J13" si="13">J4</f>
        <v>0.3</v>
      </c>
      <c r="K5" s="28"/>
      <c r="L5" s="20">
        <f t="shared" ref="L5:L13" si="14">L4</f>
        <v>-80</v>
      </c>
      <c r="M5" s="20">
        <f t="shared" ref="M5:M13" si="15">M4</f>
        <v>-50</v>
      </c>
      <c r="N5" s="29"/>
      <c r="O5" s="17"/>
      <c r="P5" s="18">
        <f t="shared" ref="P5:P41" si="16">P4</f>
        <v>-30</v>
      </c>
      <c r="Q5" s="14">
        <f t="shared" si="2"/>
        <v>5100</v>
      </c>
      <c r="R5" s="37">
        <f t="shared" ref="R5:R21" si="17">O5-O4</f>
        <v>0</v>
      </c>
      <c r="S5" s="239">
        <v>4250</v>
      </c>
      <c r="T5" s="38">
        <f t="shared" ref="T5:T21" si="18">S4</f>
        <v>4499</v>
      </c>
      <c r="U5" s="20">
        <f t="shared" si="3"/>
        <v>-249</v>
      </c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250"/>
    </row>
    <row r="6" spans="1:34">
      <c r="A6" s="16">
        <f t="shared" si="7"/>
        <v>44504</v>
      </c>
      <c r="B6" s="239">
        <v>4950</v>
      </c>
      <c r="C6" s="18">
        <f t="shared" si="8"/>
        <v>-1716.1</v>
      </c>
      <c r="D6" s="18">
        <f t="shared" si="9"/>
        <v>3233.9</v>
      </c>
      <c r="E6" s="18">
        <f t="shared" si="1"/>
        <v>3192.8</v>
      </c>
      <c r="F6" s="19"/>
      <c r="G6" s="14">
        <f t="shared" si="10"/>
        <v>-2515</v>
      </c>
      <c r="H6" s="20">
        <f t="shared" si="11"/>
        <v>0.7</v>
      </c>
      <c r="I6" s="20">
        <f t="shared" si="12"/>
        <v>148</v>
      </c>
      <c r="J6" s="28">
        <f t="shared" si="13"/>
        <v>0.3</v>
      </c>
      <c r="K6" s="28"/>
      <c r="L6" s="20">
        <f t="shared" si="14"/>
        <v>-80</v>
      </c>
      <c r="M6" s="20">
        <f t="shared" si="15"/>
        <v>-50</v>
      </c>
      <c r="N6" s="29"/>
      <c r="O6" s="17"/>
      <c r="P6" s="18">
        <f t="shared" si="16"/>
        <v>-30</v>
      </c>
      <c r="Q6" s="14">
        <f t="shared" si="2"/>
        <v>4980</v>
      </c>
      <c r="R6" s="37">
        <f t="shared" si="17"/>
        <v>0</v>
      </c>
      <c r="S6" s="239">
        <v>4398</v>
      </c>
      <c r="T6" s="38">
        <f t="shared" si="18"/>
        <v>4250</v>
      </c>
      <c r="U6" s="20">
        <f t="shared" si="3"/>
        <v>148</v>
      </c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250"/>
    </row>
    <row r="7" spans="1:34">
      <c r="A7" s="16">
        <f t="shared" si="7"/>
        <v>44505</v>
      </c>
      <c r="B7" s="239">
        <v>4880</v>
      </c>
      <c r="C7" s="18">
        <f t="shared" si="8"/>
        <v>-1808.5</v>
      </c>
      <c r="D7" s="18">
        <f t="shared" si="9"/>
        <v>3141.5</v>
      </c>
      <c r="E7" s="18">
        <f t="shared" si="1"/>
        <v>3233.9</v>
      </c>
      <c r="F7" s="19"/>
      <c r="G7" s="14">
        <f t="shared" si="10"/>
        <v>-2515</v>
      </c>
      <c r="H7" s="20">
        <f t="shared" si="11"/>
        <v>0.7</v>
      </c>
      <c r="I7" s="20">
        <f t="shared" si="12"/>
        <v>-160</v>
      </c>
      <c r="J7" s="28">
        <f t="shared" si="13"/>
        <v>0.3</v>
      </c>
      <c r="K7" s="28"/>
      <c r="L7" s="20">
        <f t="shared" si="14"/>
        <v>-80</v>
      </c>
      <c r="M7" s="20">
        <f t="shared" si="15"/>
        <v>-50</v>
      </c>
      <c r="N7" s="29"/>
      <c r="O7" s="17"/>
      <c r="P7" s="18">
        <f t="shared" si="16"/>
        <v>-30</v>
      </c>
      <c r="Q7" s="14">
        <f t="shared" si="2"/>
        <v>4980</v>
      </c>
      <c r="R7" s="37">
        <f t="shared" si="17"/>
        <v>0</v>
      </c>
      <c r="S7" s="239">
        <v>4238</v>
      </c>
      <c r="T7" s="38">
        <f t="shared" si="18"/>
        <v>4398</v>
      </c>
      <c r="U7" s="20">
        <f t="shared" si="3"/>
        <v>-160</v>
      </c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250"/>
    </row>
    <row r="8" spans="1:34">
      <c r="A8" s="16">
        <f t="shared" si="7"/>
        <v>44506</v>
      </c>
      <c r="B8" s="239">
        <v>4880</v>
      </c>
      <c r="C8" s="18">
        <f t="shared" si="8"/>
        <v>-1736</v>
      </c>
      <c r="D8" s="18">
        <f t="shared" si="9"/>
        <v>3144</v>
      </c>
      <c r="E8" s="18">
        <f t="shared" si="1"/>
        <v>3141.5</v>
      </c>
      <c r="F8" s="19"/>
      <c r="G8" s="14">
        <f t="shared" si="10"/>
        <v>-2480</v>
      </c>
      <c r="H8" s="20">
        <f t="shared" si="11"/>
        <v>0.7</v>
      </c>
      <c r="I8" s="20">
        <f t="shared" si="12"/>
        <v>0</v>
      </c>
      <c r="J8" s="28">
        <f t="shared" si="13"/>
        <v>0.3</v>
      </c>
      <c r="K8" s="28"/>
      <c r="L8" s="20">
        <f t="shared" si="14"/>
        <v>-80</v>
      </c>
      <c r="M8" s="20">
        <f t="shared" si="15"/>
        <v>-50</v>
      </c>
      <c r="N8" s="29"/>
      <c r="O8" s="17"/>
      <c r="P8" s="18">
        <f t="shared" si="16"/>
        <v>-30</v>
      </c>
      <c r="Q8" s="14">
        <f t="shared" si="2"/>
        <v>4910</v>
      </c>
      <c r="R8" s="37">
        <f t="shared" si="17"/>
        <v>0</v>
      </c>
      <c r="S8" s="239">
        <v>4238</v>
      </c>
      <c r="T8" s="38">
        <f t="shared" si="18"/>
        <v>4238</v>
      </c>
      <c r="U8" s="20">
        <f t="shared" si="3"/>
        <v>0</v>
      </c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250"/>
    </row>
    <row r="9" spans="1:34">
      <c r="A9" s="16">
        <f t="shared" si="7"/>
        <v>44507</v>
      </c>
      <c r="B9" s="239">
        <v>4900</v>
      </c>
      <c r="C9" s="18">
        <f t="shared" si="8"/>
        <v>-1736</v>
      </c>
      <c r="D9" s="18">
        <f t="shared" si="9"/>
        <v>3144</v>
      </c>
      <c r="E9" s="18">
        <f t="shared" si="1"/>
        <v>3144</v>
      </c>
      <c r="F9" s="19"/>
      <c r="G9" s="14">
        <f t="shared" si="10"/>
        <v>-2480</v>
      </c>
      <c r="H9" s="20">
        <f t="shared" si="11"/>
        <v>0.7</v>
      </c>
      <c r="I9" s="20">
        <f t="shared" si="12"/>
        <v>0</v>
      </c>
      <c r="J9" s="28">
        <f t="shared" si="13"/>
        <v>0.3</v>
      </c>
      <c r="K9" s="28"/>
      <c r="L9" s="20">
        <f t="shared" si="14"/>
        <v>-80</v>
      </c>
      <c r="M9" s="20">
        <f t="shared" si="15"/>
        <v>-50</v>
      </c>
      <c r="N9" s="29"/>
      <c r="O9" s="17"/>
      <c r="P9" s="18">
        <f t="shared" si="16"/>
        <v>-30</v>
      </c>
      <c r="Q9" s="14">
        <f t="shared" si="2"/>
        <v>4910</v>
      </c>
      <c r="R9" s="244">
        <f t="shared" si="17"/>
        <v>0</v>
      </c>
      <c r="S9" s="239">
        <v>4238</v>
      </c>
      <c r="T9" s="38">
        <f t="shared" si="18"/>
        <v>4238</v>
      </c>
      <c r="U9" s="20">
        <f t="shared" si="3"/>
        <v>0</v>
      </c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250"/>
    </row>
    <row r="10" spans="1:34">
      <c r="A10" s="16">
        <f t="shared" si="7"/>
        <v>44508</v>
      </c>
      <c r="B10" s="239">
        <v>4850</v>
      </c>
      <c r="C10" s="18">
        <f t="shared" si="8"/>
        <v>-1737.9</v>
      </c>
      <c r="D10" s="18">
        <f t="shared" si="9"/>
        <v>3162.1</v>
      </c>
      <c r="E10" s="18">
        <f t="shared" si="1"/>
        <v>3144</v>
      </c>
      <c r="F10" s="19"/>
      <c r="G10" s="14">
        <f t="shared" si="10"/>
        <v>-2490</v>
      </c>
      <c r="H10" s="20">
        <f t="shared" si="11"/>
        <v>0.7</v>
      </c>
      <c r="I10" s="20">
        <f t="shared" si="12"/>
        <v>17</v>
      </c>
      <c r="J10" s="28">
        <f t="shared" si="13"/>
        <v>0.3</v>
      </c>
      <c r="K10" s="28"/>
      <c r="L10" s="20">
        <f t="shared" si="14"/>
        <v>-80</v>
      </c>
      <c r="M10" s="20">
        <f t="shared" si="15"/>
        <v>-50</v>
      </c>
      <c r="N10" s="29"/>
      <c r="O10" s="17"/>
      <c r="P10" s="18">
        <f t="shared" si="16"/>
        <v>-30</v>
      </c>
      <c r="Q10" s="14">
        <f t="shared" si="2"/>
        <v>4930</v>
      </c>
      <c r="R10" s="244">
        <f t="shared" si="17"/>
        <v>0</v>
      </c>
      <c r="S10" s="239">
        <v>4255</v>
      </c>
      <c r="T10" s="38">
        <f t="shared" si="18"/>
        <v>4238</v>
      </c>
      <c r="U10" s="20">
        <f t="shared" si="3"/>
        <v>17</v>
      </c>
      <c r="V10" s="30"/>
      <c r="W10" s="30"/>
      <c r="X10" s="30"/>
      <c r="Y10" s="30"/>
      <c r="Z10" s="30"/>
      <c r="AA10" s="30"/>
      <c r="AB10" s="30"/>
      <c r="AC10" s="30"/>
      <c r="AD10" s="30"/>
      <c r="AE10" s="250"/>
      <c r="AF10" s="243"/>
      <c r="AG10" s="243"/>
      <c r="AH10" s="250"/>
    </row>
    <row r="11" spans="1:34">
      <c r="A11" s="16">
        <f t="shared" si="7"/>
        <v>44509</v>
      </c>
      <c r="B11" s="239">
        <v>4820</v>
      </c>
      <c r="C11" s="18">
        <f t="shared" si="8"/>
        <v>-1725.5</v>
      </c>
      <c r="D11" s="18">
        <f t="shared" si="9"/>
        <v>3124.5</v>
      </c>
      <c r="E11" s="18">
        <f t="shared" si="1"/>
        <v>3162.1</v>
      </c>
      <c r="F11" s="19"/>
      <c r="G11" s="14">
        <f t="shared" si="10"/>
        <v>-2465</v>
      </c>
      <c r="H11" s="20">
        <f t="shared" si="11"/>
        <v>0.7</v>
      </c>
      <c r="I11" s="20">
        <f t="shared" si="12"/>
        <v>0</v>
      </c>
      <c r="J11" s="28">
        <f t="shared" si="13"/>
        <v>0.3</v>
      </c>
      <c r="K11" s="28"/>
      <c r="L11" s="20">
        <f t="shared" si="14"/>
        <v>-80</v>
      </c>
      <c r="M11" s="20">
        <f t="shared" si="15"/>
        <v>-50</v>
      </c>
      <c r="N11" s="29"/>
      <c r="O11" s="17"/>
      <c r="P11" s="18">
        <f t="shared" si="16"/>
        <v>-30</v>
      </c>
      <c r="Q11" s="14">
        <f t="shared" si="2"/>
        <v>4880</v>
      </c>
      <c r="R11" s="244">
        <f t="shared" si="17"/>
        <v>0</v>
      </c>
      <c r="S11" s="239">
        <v>4255</v>
      </c>
      <c r="T11" s="38">
        <f t="shared" si="18"/>
        <v>4255</v>
      </c>
      <c r="U11" s="20">
        <f t="shared" si="3"/>
        <v>0</v>
      </c>
      <c r="V11" s="30"/>
      <c r="W11" s="30"/>
      <c r="X11" s="30"/>
      <c r="Y11" s="30"/>
      <c r="Z11" s="30"/>
      <c r="AA11" s="30"/>
      <c r="AB11" s="30"/>
      <c r="AC11" s="30"/>
      <c r="AD11" s="30"/>
      <c r="AE11" s="250"/>
      <c r="AF11" s="243"/>
      <c r="AG11" s="243"/>
      <c r="AH11" s="250"/>
    </row>
    <row r="12" spans="1:34">
      <c r="A12" s="16">
        <f t="shared" si="7"/>
        <v>44510</v>
      </c>
      <c r="B12" s="239">
        <v>4680</v>
      </c>
      <c r="C12" s="18">
        <f t="shared" si="8"/>
        <v>-1704.5</v>
      </c>
      <c r="D12" s="18">
        <f t="shared" si="9"/>
        <v>3115.5</v>
      </c>
      <c r="E12" s="18">
        <f t="shared" si="1"/>
        <v>3124.5</v>
      </c>
      <c r="F12" s="19"/>
      <c r="G12" s="14">
        <f t="shared" si="10"/>
        <v>-2450</v>
      </c>
      <c r="H12" s="20">
        <f t="shared" si="11"/>
        <v>0.7</v>
      </c>
      <c r="I12" s="20">
        <f t="shared" si="12"/>
        <v>35</v>
      </c>
      <c r="J12" s="28">
        <f t="shared" si="13"/>
        <v>0.3</v>
      </c>
      <c r="K12" s="28"/>
      <c r="L12" s="20">
        <f t="shared" si="14"/>
        <v>-80</v>
      </c>
      <c r="M12" s="20">
        <f t="shared" si="15"/>
        <v>-50</v>
      </c>
      <c r="N12" s="29"/>
      <c r="O12" s="17"/>
      <c r="P12" s="18">
        <f t="shared" si="16"/>
        <v>-30</v>
      </c>
      <c r="Q12" s="14">
        <f t="shared" si="2"/>
        <v>4850</v>
      </c>
      <c r="R12" s="244">
        <f t="shared" si="17"/>
        <v>0</v>
      </c>
      <c r="S12" s="239">
        <v>4290</v>
      </c>
      <c r="T12" s="38">
        <f t="shared" si="18"/>
        <v>4255</v>
      </c>
      <c r="U12" s="20">
        <f t="shared" si="3"/>
        <v>35</v>
      </c>
      <c r="V12" s="30"/>
      <c r="W12" s="30"/>
      <c r="X12" s="30"/>
      <c r="Y12" s="30"/>
      <c r="Z12" s="30"/>
      <c r="AA12" s="30"/>
      <c r="AB12" s="30"/>
      <c r="AC12" s="30"/>
      <c r="AD12" s="30"/>
      <c r="AE12" s="250"/>
      <c r="AF12" s="243"/>
      <c r="AG12" s="243"/>
      <c r="AH12" s="250"/>
    </row>
    <row r="13" spans="1:34">
      <c r="A13" s="16">
        <f t="shared" si="7"/>
        <v>44511</v>
      </c>
      <c r="B13" s="239">
        <v>4680</v>
      </c>
      <c r="C13" s="18">
        <f t="shared" si="8"/>
        <v>-1687.3</v>
      </c>
      <c r="D13" s="18">
        <f t="shared" si="9"/>
        <v>2992.7</v>
      </c>
      <c r="E13" s="18">
        <f t="shared" si="1"/>
        <v>3115.5</v>
      </c>
      <c r="F13" s="19"/>
      <c r="G13" s="14">
        <f t="shared" si="10"/>
        <v>-2380</v>
      </c>
      <c r="H13" s="20">
        <f t="shared" si="11"/>
        <v>0.7</v>
      </c>
      <c r="I13" s="20">
        <f t="shared" si="12"/>
        <v>-71</v>
      </c>
      <c r="J13" s="28">
        <f t="shared" si="13"/>
        <v>0.3</v>
      </c>
      <c r="K13" s="28"/>
      <c r="L13" s="20">
        <f t="shared" si="14"/>
        <v>-80</v>
      </c>
      <c r="M13" s="20">
        <f t="shared" si="15"/>
        <v>-50</v>
      </c>
      <c r="N13" s="29"/>
      <c r="O13" s="17"/>
      <c r="P13" s="18">
        <f t="shared" si="16"/>
        <v>-30</v>
      </c>
      <c r="Q13" s="14">
        <f t="shared" si="2"/>
        <v>4710</v>
      </c>
      <c r="R13" s="244">
        <f t="shared" si="17"/>
        <v>0</v>
      </c>
      <c r="S13" s="239">
        <v>4219</v>
      </c>
      <c r="T13" s="38">
        <f t="shared" si="18"/>
        <v>4290</v>
      </c>
      <c r="U13" s="20">
        <f t="shared" si="3"/>
        <v>-71</v>
      </c>
      <c r="V13" s="30"/>
      <c r="W13" s="30"/>
      <c r="X13" s="30"/>
      <c r="Y13" s="30"/>
      <c r="Z13" s="30"/>
      <c r="AA13" s="30"/>
      <c r="AB13" s="30"/>
      <c r="AC13" s="30"/>
      <c r="AD13" s="30"/>
      <c r="AE13" s="250"/>
      <c r="AF13" s="243"/>
      <c r="AG13" s="243"/>
      <c r="AH13" s="250"/>
    </row>
    <row r="14" spans="1:34">
      <c r="A14" s="16">
        <f t="shared" si="7"/>
        <v>44512</v>
      </c>
      <c r="B14" s="239">
        <f>4910-180</f>
        <v>4730</v>
      </c>
      <c r="C14" s="18">
        <f t="shared" si="8"/>
        <v>-1604.2</v>
      </c>
      <c r="D14" s="18">
        <f t="shared" si="9"/>
        <v>3075.8</v>
      </c>
      <c r="E14" s="18">
        <f t="shared" si="1"/>
        <v>2992.7</v>
      </c>
      <c r="F14" s="19"/>
      <c r="G14" s="14">
        <f t="shared" ref="G14:G21" si="19">IF((Q14-L14)&lt;0,-(Q14-L14)/2,IF((Q14-L14)&gt;0,-(Q14-M14)/2,0))+R14</f>
        <v>-2380</v>
      </c>
      <c r="H14" s="20">
        <f t="shared" ref="H14:H41" si="20">H13</f>
        <v>0.7</v>
      </c>
      <c r="I14" s="20">
        <f t="shared" ref="I14:I21" si="21">U14</f>
        <v>206</v>
      </c>
      <c r="J14" s="28">
        <f t="shared" ref="J14:J41" si="22">J13</f>
        <v>0.3</v>
      </c>
      <c r="K14" s="28"/>
      <c r="L14" s="20">
        <f t="shared" ref="L14:L41" si="23">L13</f>
        <v>-80</v>
      </c>
      <c r="M14" s="20">
        <f t="shared" ref="M14:M41" si="24">M13</f>
        <v>-50</v>
      </c>
      <c r="N14" s="29"/>
      <c r="O14" s="17"/>
      <c r="P14" s="18">
        <f t="shared" si="16"/>
        <v>-30</v>
      </c>
      <c r="Q14" s="14">
        <f t="shared" ref="Q14:Q21" si="25">B13-(O13+P13)</f>
        <v>4710</v>
      </c>
      <c r="R14" s="244">
        <f t="shared" si="17"/>
        <v>0</v>
      </c>
      <c r="S14" s="239">
        <v>4425</v>
      </c>
      <c r="T14" s="38">
        <f t="shared" si="18"/>
        <v>4219</v>
      </c>
      <c r="U14" s="20">
        <f t="shared" si="3"/>
        <v>206</v>
      </c>
      <c r="V14" s="30"/>
      <c r="W14" s="30"/>
      <c r="X14" s="30"/>
      <c r="Y14" s="30"/>
      <c r="Z14" s="30"/>
      <c r="AA14" s="30"/>
      <c r="AB14" s="30"/>
      <c r="AC14" s="30"/>
      <c r="AD14" s="30"/>
      <c r="AE14" s="250"/>
      <c r="AF14" s="243"/>
      <c r="AG14" s="243"/>
      <c r="AH14" s="250"/>
    </row>
    <row r="15" spans="1:34">
      <c r="A15" s="16">
        <f t="shared" si="7"/>
        <v>44513</v>
      </c>
      <c r="B15" s="239"/>
      <c r="C15" s="18">
        <f t="shared" si="8"/>
        <v>-3011</v>
      </c>
      <c r="D15" s="18">
        <f t="shared" si="9"/>
        <v>1719</v>
      </c>
      <c r="E15" s="18">
        <f t="shared" ref="E15:E21" si="26">D14</f>
        <v>3075.8</v>
      </c>
      <c r="F15" s="19"/>
      <c r="G15" s="14">
        <f t="shared" si="19"/>
        <v>-2405</v>
      </c>
      <c r="H15" s="20">
        <f t="shared" si="20"/>
        <v>0.7</v>
      </c>
      <c r="I15" s="20">
        <f t="shared" si="21"/>
        <v>-4425</v>
      </c>
      <c r="J15" s="28">
        <f t="shared" si="22"/>
        <v>0.3</v>
      </c>
      <c r="K15" s="28"/>
      <c r="L15" s="20">
        <f t="shared" si="23"/>
        <v>-80</v>
      </c>
      <c r="M15" s="20">
        <f t="shared" si="24"/>
        <v>-50</v>
      </c>
      <c r="N15" s="29"/>
      <c r="O15" s="17"/>
      <c r="P15" s="18">
        <f t="shared" si="16"/>
        <v>-30</v>
      </c>
      <c r="Q15" s="14">
        <f t="shared" si="25"/>
        <v>4760</v>
      </c>
      <c r="R15" s="244">
        <f t="shared" si="17"/>
        <v>0</v>
      </c>
      <c r="S15" s="239"/>
      <c r="T15" s="38">
        <f t="shared" si="18"/>
        <v>4425</v>
      </c>
      <c r="U15" s="20">
        <f t="shared" si="3"/>
        <v>-4425</v>
      </c>
      <c r="V15" s="30"/>
      <c r="W15" s="30"/>
      <c r="X15" s="30"/>
      <c r="Y15" s="30"/>
      <c r="Z15" s="30"/>
      <c r="AA15" s="30"/>
      <c r="AB15" s="30"/>
      <c r="AC15" s="30"/>
      <c r="AD15" s="30"/>
      <c r="AE15" s="250"/>
      <c r="AF15" s="243"/>
      <c r="AG15" s="260"/>
      <c r="AH15" s="250"/>
    </row>
    <row r="16" spans="1:34">
      <c r="A16" s="16">
        <f t="shared" si="7"/>
        <v>44514</v>
      </c>
      <c r="B16" s="239">
        <v>4800</v>
      </c>
      <c r="C16" s="18">
        <f t="shared" si="8"/>
        <v>4575.5</v>
      </c>
      <c r="D16" s="18">
        <f t="shared" si="9"/>
        <v>4575.5</v>
      </c>
      <c r="E16" s="18">
        <f t="shared" si="26"/>
        <v>1719</v>
      </c>
      <c r="F16" s="19"/>
      <c r="G16" s="14">
        <f t="shared" si="19"/>
        <v>4640</v>
      </c>
      <c r="H16" s="20">
        <f t="shared" si="20"/>
        <v>0.7</v>
      </c>
      <c r="I16" s="20">
        <f t="shared" si="21"/>
        <v>4425</v>
      </c>
      <c r="J16" s="28">
        <f t="shared" si="22"/>
        <v>0.3</v>
      </c>
      <c r="K16" s="241"/>
      <c r="L16" s="20">
        <f t="shared" si="23"/>
        <v>-80</v>
      </c>
      <c r="M16" s="20">
        <f t="shared" si="24"/>
        <v>-50</v>
      </c>
      <c r="N16" s="29"/>
      <c r="O16" s="239">
        <v>4680</v>
      </c>
      <c r="P16" s="18">
        <f t="shared" si="16"/>
        <v>-30</v>
      </c>
      <c r="Q16" s="14">
        <f t="shared" si="25"/>
        <v>30</v>
      </c>
      <c r="R16" s="244">
        <f t="shared" si="17"/>
        <v>4680</v>
      </c>
      <c r="S16" s="239">
        <v>4425</v>
      </c>
      <c r="T16" s="38">
        <f t="shared" si="18"/>
        <v>0</v>
      </c>
      <c r="U16" s="20">
        <f t="shared" si="3"/>
        <v>4425</v>
      </c>
      <c r="V16" s="30"/>
      <c r="W16" s="30"/>
      <c r="X16" s="30"/>
      <c r="Y16" s="30"/>
      <c r="Z16" s="30"/>
      <c r="AA16" s="30"/>
      <c r="AB16" s="30"/>
      <c r="AC16" s="30"/>
      <c r="AD16" s="30"/>
      <c r="AE16" s="250"/>
      <c r="AF16" s="243"/>
      <c r="AG16" s="260"/>
      <c r="AH16" s="250"/>
    </row>
    <row r="17" spans="1:34">
      <c r="A17" s="16">
        <f t="shared" si="7"/>
        <v>44515</v>
      </c>
      <c r="B17" s="239">
        <f>4770-180</f>
        <v>4590</v>
      </c>
      <c r="C17" s="18">
        <f t="shared" si="8"/>
        <v>-189</v>
      </c>
      <c r="D17" s="18">
        <f t="shared" si="9"/>
        <v>4611</v>
      </c>
      <c r="E17" s="18">
        <f t="shared" si="26"/>
        <v>4575.5</v>
      </c>
      <c r="F17" s="19">
        <f>AG17</f>
        <v>0.39330809155109264</v>
      </c>
      <c r="G17" s="14">
        <f t="shared" si="19"/>
        <v>-100</v>
      </c>
      <c r="H17" s="20">
        <f t="shared" si="20"/>
        <v>0.7</v>
      </c>
      <c r="I17" s="20">
        <f t="shared" si="21"/>
        <v>-230</v>
      </c>
      <c r="J17" s="28">
        <f t="shared" si="22"/>
        <v>0.3</v>
      </c>
      <c r="K17" s="241">
        <f>MIN(MAX((AG16-100%)*50,-50),50)</f>
        <v>-50</v>
      </c>
      <c r="L17" s="20">
        <f t="shared" si="23"/>
        <v>-80</v>
      </c>
      <c r="M17" s="20">
        <f t="shared" si="24"/>
        <v>-50</v>
      </c>
      <c r="N17" s="29"/>
      <c r="O17" s="239">
        <v>4680</v>
      </c>
      <c r="P17" s="18">
        <f t="shared" si="16"/>
        <v>-30</v>
      </c>
      <c r="Q17" s="14">
        <f t="shared" si="25"/>
        <v>150</v>
      </c>
      <c r="R17" s="244">
        <f t="shared" si="17"/>
        <v>0</v>
      </c>
      <c r="S17" s="239">
        <v>4195</v>
      </c>
      <c r="T17" s="38">
        <f t="shared" si="18"/>
        <v>4425</v>
      </c>
      <c r="U17" s="20">
        <f t="shared" si="3"/>
        <v>-230</v>
      </c>
      <c r="V17" s="30"/>
      <c r="W17" s="30"/>
      <c r="X17" s="30"/>
      <c r="Y17" s="30"/>
      <c r="Z17" s="30"/>
      <c r="AA17" s="30"/>
      <c r="AB17" s="30"/>
      <c r="AC17" s="30"/>
      <c r="AD17" s="30"/>
      <c r="AE17" s="243">
        <f>VLOOKUP($A17,每日销量追踪!$A$3:$CM$75,3,0)</f>
        <v>1386.7650000000001</v>
      </c>
      <c r="AF17" s="243">
        <f>VLOOKUP($A17,每日销量追踪!$A$3:$CM$75,30,0)</f>
        <v>3525.9000000000065</v>
      </c>
      <c r="AG17" s="260">
        <f>VLOOKUP($A17,每日销量追踪!$A$3:$CM$75,42,0)</f>
        <v>0.39330809155109264</v>
      </c>
      <c r="AH17" s="243">
        <v>75</v>
      </c>
    </row>
    <row r="18" spans="1:34">
      <c r="A18" s="16">
        <f t="shared" si="7"/>
        <v>44516</v>
      </c>
      <c r="B18" s="239">
        <f>4770-180</f>
        <v>4590</v>
      </c>
      <c r="C18" s="18">
        <f t="shared" si="8"/>
        <v>-74.434595422445355</v>
      </c>
      <c r="D18" s="18">
        <f t="shared" si="9"/>
        <v>4515.5654045775545</v>
      </c>
      <c r="E18" s="18">
        <f t="shared" si="26"/>
        <v>4611</v>
      </c>
      <c r="F18" s="19">
        <f t="shared" ref="F18:F41" si="27">AG18</f>
        <v>0.67970702515669634</v>
      </c>
      <c r="G18" s="14">
        <f t="shared" si="19"/>
        <v>-45</v>
      </c>
      <c r="H18" s="20">
        <f t="shared" si="20"/>
        <v>0.7</v>
      </c>
      <c r="I18" s="20">
        <f t="shared" si="21"/>
        <v>-42</v>
      </c>
      <c r="J18" s="28">
        <f t="shared" si="22"/>
        <v>0.3</v>
      </c>
      <c r="K18" s="241">
        <f t="shared" ref="K18:K41" si="28">MIN(MAX((AG17-100%)*50,-50),50)</f>
        <v>-30.334595422445364</v>
      </c>
      <c r="L18" s="20">
        <f t="shared" si="23"/>
        <v>-80</v>
      </c>
      <c r="M18" s="20">
        <f t="shared" si="24"/>
        <v>-50</v>
      </c>
      <c r="N18" s="29"/>
      <c r="O18" s="239">
        <v>4630</v>
      </c>
      <c r="P18" s="18">
        <f t="shared" si="16"/>
        <v>-30</v>
      </c>
      <c r="Q18" s="14">
        <f t="shared" si="25"/>
        <v>-60</v>
      </c>
      <c r="R18" s="244">
        <f t="shared" si="17"/>
        <v>-50</v>
      </c>
      <c r="S18" s="239">
        <v>4153</v>
      </c>
      <c r="T18" s="38">
        <f t="shared" si="18"/>
        <v>4195</v>
      </c>
      <c r="U18" s="20">
        <f t="shared" si="3"/>
        <v>-42</v>
      </c>
      <c r="V18" s="30"/>
      <c r="W18" s="30"/>
      <c r="X18" s="30"/>
      <c r="Y18" s="30"/>
      <c r="Z18" s="30"/>
      <c r="AA18" s="30"/>
      <c r="AB18" s="30"/>
      <c r="AC18" s="30"/>
      <c r="AD18" s="30"/>
      <c r="AE18" s="243">
        <f>VLOOKUP($A18,每日销量追踪!$A$3:$CM$75,3,0)</f>
        <v>3406.393</v>
      </c>
      <c r="AF18" s="243">
        <f>VLOOKUP($A18,每日销量追踪!$A$3:$CM$75,30,0)</f>
        <v>3525.9000000000065</v>
      </c>
      <c r="AG18" s="260">
        <f>VLOOKUP($A18,每日销量追踪!$A$3:$CM$75,42,0)</f>
        <v>0.67970702515669634</v>
      </c>
      <c r="AH18" s="243">
        <v>75</v>
      </c>
    </row>
    <row r="19" spans="1:34">
      <c r="A19" s="16">
        <f t="shared" si="7"/>
        <v>44517</v>
      </c>
      <c r="B19" s="239">
        <v>4590</v>
      </c>
      <c r="C19" s="18">
        <f t="shared" si="8"/>
        <v>-3.514648742165182</v>
      </c>
      <c r="D19" s="18">
        <f t="shared" si="9"/>
        <v>4586.4853512578347</v>
      </c>
      <c r="E19" s="18">
        <f t="shared" si="26"/>
        <v>4515.5654045775545</v>
      </c>
      <c r="F19" s="19">
        <f t="shared" si="27"/>
        <v>0.61882970778146373</v>
      </c>
      <c r="G19" s="14">
        <f t="shared" si="19"/>
        <v>20</v>
      </c>
      <c r="H19" s="20">
        <f t="shared" si="20"/>
        <v>0.7</v>
      </c>
      <c r="I19" s="20">
        <f t="shared" si="21"/>
        <v>-5</v>
      </c>
      <c r="J19" s="28">
        <f t="shared" si="22"/>
        <v>0.3</v>
      </c>
      <c r="K19" s="241">
        <f t="shared" si="28"/>
        <v>-16.014648742165182</v>
      </c>
      <c r="L19" s="20">
        <f t="shared" si="23"/>
        <v>-80</v>
      </c>
      <c r="M19" s="20">
        <f t="shared" si="24"/>
        <v>-50</v>
      </c>
      <c r="N19" s="29"/>
      <c r="O19" s="239">
        <v>4670</v>
      </c>
      <c r="P19" s="18">
        <f t="shared" si="16"/>
        <v>-30</v>
      </c>
      <c r="Q19" s="14">
        <f t="shared" si="25"/>
        <v>-10</v>
      </c>
      <c r="R19" s="244">
        <f t="shared" si="17"/>
        <v>40</v>
      </c>
      <c r="S19" s="239">
        <v>4148</v>
      </c>
      <c r="T19" s="38">
        <f t="shared" si="18"/>
        <v>4153</v>
      </c>
      <c r="U19" s="20">
        <f t="shared" si="3"/>
        <v>-5</v>
      </c>
      <c r="V19" s="30"/>
      <c r="W19" s="30"/>
      <c r="X19" s="30"/>
      <c r="Y19" s="30"/>
      <c r="Z19" s="30"/>
      <c r="AA19" s="30"/>
      <c r="AB19" s="30"/>
      <c r="AC19" s="30"/>
      <c r="AD19" s="30"/>
      <c r="AE19" s="243">
        <f>VLOOKUP($A19,每日销量追踪!$A$3:$CM$75,3,0)</f>
        <v>1752.6369999999999</v>
      </c>
      <c r="AF19" s="243">
        <f>VLOOKUP($A19,每日销量追踪!$A$3:$CM$75,30,0)</f>
        <v>3525.9000000000065</v>
      </c>
      <c r="AG19" s="260">
        <f>VLOOKUP($A19,每日销量追踪!$A$3:$CM$75,42,0)</f>
        <v>0.61882970778146373</v>
      </c>
      <c r="AH19" s="243">
        <v>75</v>
      </c>
    </row>
    <row r="20" spans="1:34">
      <c r="A20" s="16">
        <f t="shared" si="7"/>
        <v>44518</v>
      </c>
      <c r="B20" s="239">
        <v>4560</v>
      </c>
      <c r="C20" s="18">
        <f t="shared" si="8"/>
        <v>-26.658514610926815</v>
      </c>
      <c r="D20" s="18">
        <f t="shared" si="9"/>
        <v>4563.3414853890736</v>
      </c>
      <c r="E20" s="18">
        <f t="shared" si="26"/>
        <v>4586.4853512578347</v>
      </c>
      <c r="F20" s="19">
        <f t="shared" si="27"/>
        <v>0.7110351257834866</v>
      </c>
      <c r="G20" s="14">
        <f t="shared" si="19"/>
        <v>-40</v>
      </c>
      <c r="H20" s="20">
        <f t="shared" si="20"/>
        <v>0.7</v>
      </c>
      <c r="I20" s="20">
        <f t="shared" si="21"/>
        <v>68</v>
      </c>
      <c r="J20" s="28">
        <f t="shared" si="22"/>
        <v>0.3</v>
      </c>
      <c r="K20" s="241">
        <f t="shared" si="28"/>
        <v>-19.058514610926814</v>
      </c>
      <c r="L20" s="20">
        <f t="shared" si="23"/>
        <v>-80</v>
      </c>
      <c r="M20" s="20">
        <f t="shared" si="24"/>
        <v>-50</v>
      </c>
      <c r="N20" s="29"/>
      <c r="O20" s="239">
        <v>4630</v>
      </c>
      <c r="P20" s="18">
        <f t="shared" si="16"/>
        <v>-30</v>
      </c>
      <c r="Q20" s="14">
        <f t="shared" si="25"/>
        <v>-50</v>
      </c>
      <c r="R20" s="244">
        <f t="shared" si="17"/>
        <v>-40</v>
      </c>
      <c r="S20" s="239">
        <v>4216</v>
      </c>
      <c r="T20" s="38">
        <f t="shared" si="18"/>
        <v>4148</v>
      </c>
      <c r="U20" s="20">
        <f t="shared" si="3"/>
        <v>68</v>
      </c>
      <c r="V20" s="30"/>
      <c r="W20" s="30"/>
      <c r="X20" s="30"/>
      <c r="Y20" s="30"/>
      <c r="Z20" s="30"/>
      <c r="AA20" s="30"/>
      <c r="AB20" s="30"/>
      <c r="AC20" s="30"/>
      <c r="AD20" s="30"/>
      <c r="AE20" s="243">
        <f>VLOOKUP($A20,每日销量追踪!$A$3:$CM$75,3,0)</f>
        <v>3482.36</v>
      </c>
      <c r="AF20" s="243">
        <f>VLOOKUP($A20,每日销量追踪!$A$3:$CM$75,30,0)</f>
        <v>3525.9000000000065</v>
      </c>
      <c r="AG20" s="260">
        <f>VLOOKUP($A20,每日销量追踪!$A$3:$CM$75,42,0)</f>
        <v>0.7110351257834866</v>
      </c>
      <c r="AH20" s="243">
        <v>75</v>
      </c>
    </row>
    <row r="21" spans="1:34">
      <c r="A21" s="16">
        <f t="shared" si="7"/>
        <v>44519</v>
      </c>
      <c r="B21" s="239">
        <v>4560</v>
      </c>
      <c r="C21" s="18">
        <f t="shared" si="8"/>
        <v>-34.748243710825669</v>
      </c>
      <c r="D21" s="18">
        <f t="shared" si="9"/>
        <v>4525.2517562891744</v>
      </c>
      <c r="E21" s="18">
        <f t="shared" si="26"/>
        <v>4563.3414853890736</v>
      </c>
      <c r="F21" s="19">
        <f t="shared" si="27"/>
        <v>0.88561768626449822</v>
      </c>
      <c r="G21" s="14">
        <f t="shared" si="19"/>
        <v>-5</v>
      </c>
      <c r="H21" s="20">
        <f t="shared" si="20"/>
        <v>0.7</v>
      </c>
      <c r="I21" s="20">
        <f t="shared" si="21"/>
        <v>-56</v>
      </c>
      <c r="J21" s="28">
        <f t="shared" si="22"/>
        <v>0.3</v>
      </c>
      <c r="K21" s="241">
        <f t="shared" si="28"/>
        <v>-14.44824371082567</v>
      </c>
      <c r="L21" s="20">
        <f t="shared" si="23"/>
        <v>-80</v>
      </c>
      <c r="M21" s="20">
        <f t="shared" si="24"/>
        <v>-50</v>
      </c>
      <c r="N21" s="29"/>
      <c r="O21" s="239">
        <v>4630</v>
      </c>
      <c r="P21" s="18">
        <f t="shared" si="16"/>
        <v>-30</v>
      </c>
      <c r="Q21" s="14">
        <f t="shared" si="25"/>
        <v>-40</v>
      </c>
      <c r="R21" s="244">
        <f t="shared" si="17"/>
        <v>0</v>
      </c>
      <c r="S21" s="239">
        <v>4160</v>
      </c>
      <c r="T21" s="38">
        <f t="shared" si="18"/>
        <v>4216</v>
      </c>
      <c r="U21" s="20">
        <f t="shared" si="3"/>
        <v>-56</v>
      </c>
      <c r="V21" s="30"/>
      <c r="W21" s="30"/>
      <c r="X21" s="30"/>
      <c r="Y21" s="30"/>
      <c r="Z21" s="30"/>
      <c r="AA21" s="30"/>
      <c r="AB21" s="30"/>
      <c r="AC21" s="30"/>
      <c r="AD21" s="30"/>
      <c r="AE21" s="243">
        <f>VLOOKUP($A21,每日销量追踪!$A$3:$CM$75,3,0)</f>
        <v>5584.8419999999996</v>
      </c>
      <c r="AF21" s="243">
        <f>VLOOKUP($A21,每日销量追踪!$A$3:$CM$75,30,0)</f>
        <v>3525.9000000000065</v>
      </c>
      <c r="AG21" s="260">
        <f>VLOOKUP($A21,每日销量追踪!$A$3:$CM$75,42,0)</f>
        <v>0.88561768626449822</v>
      </c>
      <c r="AH21" s="243">
        <v>75</v>
      </c>
    </row>
    <row r="22" spans="1:34">
      <c r="A22" s="16">
        <f t="shared" si="7"/>
        <v>44520</v>
      </c>
      <c r="B22" s="17">
        <v>4590</v>
      </c>
      <c r="C22" s="18">
        <f t="shared" ref="C22:C23" si="29">H22*G22+J22*I22+K22</f>
        <v>11.780884313224911</v>
      </c>
      <c r="D22" s="18">
        <f t="shared" si="9"/>
        <v>4571.7808843132252</v>
      </c>
      <c r="E22" s="18">
        <f t="shared" ref="E22:E23" si="30">D21</f>
        <v>4525.2517562891744</v>
      </c>
      <c r="F22" s="19">
        <f t="shared" si="27"/>
        <v>0.99693463177679786</v>
      </c>
      <c r="G22" s="14">
        <f t="shared" ref="G22:G28" si="31">IF((Q22-L22)&lt;0,-(Q22-L22)/2,IF((Q22-L22)&gt;0,-(Q22-M22)/2,0))+R22</f>
        <v>25</v>
      </c>
      <c r="H22" s="20">
        <f t="shared" si="20"/>
        <v>0.7</v>
      </c>
      <c r="I22" s="20">
        <f t="shared" ref="I22:I28" si="32">U22</f>
        <v>0</v>
      </c>
      <c r="J22" s="28">
        <f t="shared" si="22"/>
        <v>0.3</v>
      </c>
      <c r="K22" s="241">
        <f t="shared" si="28"/>
        <v>-5.7191156867750887</v>
      </c>
      <c r="L22" s="20">
        <f t="shared" si="23"/>
        <v>-80</v>
      </c>
      <c r="M22" s="20">
        <f t="shared" si="24"/>
        <v>-50</v>
      </c>
      <c r="N22" s="29"/>
      <c r="O22" s="239">
        <v>4660</v>
      </c>
      <c r="P22" s="18">
        <f t="shared" si="16"/>
        <v>-30</v>
      </c>
      <c r="Q22" s="14">
        <f t="shared" ref="Q22:Q28" si="33">B21-(O21+P21)</f>
        <v>-40</v>
      </c>
      <c r="R22" s="244">
        <f t="shared" ref="R22:R28" si="34">O22-O21</f>
        <v>30</v>
      </c>
      <c r="S22" s="239">
        <v>4160</v>
      </c>
      <c r="T22" s="38">
        <f t="shared" ref="T22:T28" si="35">S21</f>
        <v>4160</v>
      </c>
      <c r="U22" s="20">
        <f t="shared" ref="U22:U28" si="36">S22-T22</f>
        <v>0</v>
      </c>
      <c r="V22" s="30"/>
      <c r="W22" s="30"/>
      <c r="X22" s="30"/>
      <c r="Y22" s="30"/>
      <c r="Z22" s="30"/>
      <c r="AA22" s="30"/>
      <c r="AB22" s="30"/>
      <c r="AC22" s="30"/>
      <c r="AD22" s="30"/>
      <c r="AE22" s="243">
        <f>VLOOKUP($A22,每日销量追踪!$A$3:$CM$75,3,0)</f>
        <v>3720.0079999999998</v>
      </c>
      <c r="AF22" s="243">
        <f>VLOOKUP($A22,每日销量追踪!$A$3:$CM$75,30,0)</f>
        <v>1762.9499999999994</v>
      </c>
      <c r="AG22" s="260">
        <f>VLOOKUP($A22,每日销量追踪!$A$3:$CM$75,42,0)</f>
        <v>0.99693463177679786</v>
      </c>
      <c r="AH22" s="243">
        <v>75</v>
      </c>
    </row>
    <row r="23" spans="1:34">
      <c r="A23" s="16">
        <f t="shared" si="7"/>
        <v>44521</v>
      </c>
      <c r="B23" s="17">
        <v>4590</v>
      </c>
      <c r="C23" s="18">
        <f t="shared" si="29"/>
        <v>24.346731588839894</v>
      </c>
      <c r="D23" s="18">
        <f t="shared" si="9"/>
        <v>4614.3467315888402</v>
      </c>
      <c r="E23" s="18">
        <f t="shared" si="30"/>
        <v>4571.7808843132252</v>
      </c>
      <c r="F23" s="19">
        <f t="shared" si="27"/>
        <v>1.0055784811442923</v>
      </c>
      <c r="G23" s="14">
        <f t="shared" si="31"/>
        <v>35</v>
      </c>
      <c r="H23" s="20">
        <f t="shared" si="20"/>
        <v>0.7</v>
      </c>
      <c r="I23" s="20">
        <f t="shared" si="32"/>
        <v>0</v>
      </c>
      <c r="J23" s="28">
        <f t="shared" si="22"/>
        <v>0.3</v>
      </c>
      <c r="K23" s="241">
        <f t="shared" si="28"/>
        <v>-0.15326841116010681</v>
      </c>
      <c r="L23" s="20">
        <f t="shared" si="23"/>
        <v>-80</v>
      </c>
      <c r="M23" s="20">
        <f t="shared" si="24"/>
        <v>-50</v>
      </c>
      <c r="N23" s="29"/>
      <c r="O23" s="239">
        <v>4700</v>
      </c>
      <c r="P23" s="18">
        <f t="shared" si="16"/>
        <v>-30</v>
      </c>
      <c r="Q23" s="14">
        <f t="shared" si="33"/>
        <v>-40</v>
      </c>
      <c r="R23" s="244">
        <f t="shared" si="34"/>
        <v>40</v>
      </c>
      <c r="S23" s="239">
        <v>4160</v>
      </c>
      <c r="T23" s="38">
        <f t="shared" si="35"/>
        <v>4160</v>
      </c>
      <c r="U23" s="20">
        <f t="shared" si="36"/>
        <v>0</v>
      </c>
      <c r="V23" s="30"/>
      <c r="W23" s="30"/>
      <c r="X23" s="30"/>
      <c r="Y23" s="30"/>
      <c r="Z23" s="30"/>
      <c r="AA23" s="30"/>
      <c r="AB23" s="30"/>
      <c r="AC23" s="30"/>
      <c r="AD23" s="30"/>
      <c r="AE23" s="243">
        <f>VLOOKUP($A23,每日销量追踪!$A$3:$CM$75,3,0)</f>
        <v>1940.41</v>
      </c>
      <c r="AF23" s="243">
        <f>VLOOKUP($A23,每日销量追踪!$A$3:$CM$75,30,0)</f>
        <v>1762.9499999999994</v>
      </c>
      <c r="AG23" s="260">
        <f>VLOOKUP($A23,每日销量追踪!$A$3:$CM$75,42,0)</f>
        <v>1.0055784811442923</v>
      </c>
      <c r="AH23" s="243">
        <v>75</v>
      </c>
    </row>
    <row r="24" spans="1:34">
      <c r="A24" s="16">
        <f t="shared" si="7"/>
        <v>44522</v>
      </c>
      <c r="B24" s="239">
        <v>4590</v>
      </c>
      <c r="C24" s="18">
        <f t="shared" ref="C24:C28" si="37">H24*G24+J24*I24+K24</f>
        <v>27.278924057214613</v>
      </c>
      <c r="D24" s="18">
        <f t="shared" si="9"/>
        <v>4617.2789240572147</v>
      </c>
      <c r="E24" s="18">
        <f t="shared" ref="E24:E28" si="38">D23</f>
        <v>4614.3467315888402</v>
      </c>
      <c r="F24" s="19">
        <f t="shared" si="27"/>
        <v>0.62703494143339167</v>
      </c>
      <c r="G24" s="14">
        <f t="shared" si="31"/>
        <v>0</v>
      </c>
      <c r="H24" s="20">
        <f t="shared" si="20"/>
        <v>0.7</v>
      </c>
      <c r="I24" s="20">
        <f t="shared" si="32"/>
        <v>90</v>
      </c>
      <c r="J24" s="28">
        <f t="shared" si="22"/>
        <v>0.3</v>
      </c>
      <c r="K24" s="241">
        <f t="shared" si="28"/>
        <v>0.27892405721461344</v>
      </c>
      <c r="L24" s="20">
        <f t="shared" si="23"/>
        <v>-80</v>
      </c>
      <c r="M24" s="20">
        <f t="shared" si="24"/>
        <v>-50</v>
      </c>
      <c r="N24" s="29"/>
      <c r="O24" s="239">
        <v>4700</v>
      </c>
      <c r="P24" s="18">
        <f t="shared" si="16"/>
        <v>-30</v>
      </c>
      <c r="Q24" s="14">
        <f t="shared" si="33"/>
        <v>-80</v>
      </c>
      <c r="R24" s="244">
        <f t="shared" si="34"/>
        <v>0</v>
      </c>
      <c r="S24" s="239">
        <v>4250</v>
      </c>
      <c r="T24" s="38">
        <f t="shared" si="35"/>
        <v>4160</v>
      </c>
      <c r="U24" s="20">
        <f t="shared" si="36"/>
        <v>90</v>
      </c>
      <c r="V24" s="30"/>
      <c r="W24" s="30"/>
      <c r="X24" s="30"/>
      <c r="Y24" s="30"/>
      <c r="Z24" s="30"/>
      <c r="AA24" s="30"/>
      <c r="AB24" s="30"/>
      <c r="AC24" s="30"/>
      <c r="AD24" s="30"/>
      <c r="AE24" s="243">
        <f>VLOOKUP($A24,每日销量追踪!$A$3:$CM$75,3,0)</f>
        <v>2653.0349999999999</v>
      </c>
      <c r="AF24" s="243">
        <f>VLOOKUP($A24,每日销量追踪!$A$3:$CM$75,30,0)</f>
        <v>4231.0800000000081</v>
      </c>
      <c r="AG24" s="260">
        <f>VLOOKUP($A24,每日销量追踪!$A$3:$CM$75,42,0)</f>
        <v>0.62703494143339167</v>
      </c>
      <c r="AH24" s="243">
        <v>75</v>
      </c>
    </row>
    <row r="25" spans="1:34">
      <c r="A25" s="16">
        <f t="shared" si="7"/>
        <v>44523</v>
      </c>
      <c r="B25" s="239">
        <v>4560</v>
      </c>
      <c r="C25" s="18">
        <f t="shared" si="37"/>
        <v>-3.6482529283304181</v>
      </c>
      <c r="D25" s="18">
        <f t="shared" si="9"/>
        <v>4586.3517470716697</v>
      </c>
      <c r="E25" s="18">
        <f t="shared" si="38"/>
        <v>4617.2789240572147</v>
      </c>
      <c r="F25" s="19">
        <f t="shared" si="27"/>
        <v>0.984987048224092</v>
      </c>
      <c r="G25" s="14">
        <f t="shared" si="31"/>
        <v>0</v>
      </c>
      <c r="H25" s="20">
        <f t="shared" si="20"/>
        <v>0.7</v>
      </c>
      <c r="I25" s="20">
        <f t="shared" si="32"/>
        <v>50</v>
      </c>
      <c r="J25" s="28">
        <f t="shared" si="22"/>
        <v>0.3</v>
      </c>
      <c r="K25" s="241">
        <f t="shared" si="28"/>
        <v>-18.648252928330418</v>
      </c>
      <c r="L25" s="20">
        <f t="shared" si="23"/>
        <v>-80</v>
      </c>
      <c r="M25" s="20">
        <f t="shared" si="24"/>
        <v>-50</v>
      </c>
      <c r="N25" s="29"/>
      <c r="O25" s="239">
        <v>4700</v>
      </c>
      <c r="P25" s="18">
        <f t="shared" si="16"/>
        <v>-30</v>
      </c>
      <c r="Q25" s="14">
        <f t="shared" si="33"/>
        <v>-80</v>
      </c>
      <c r="R25" s="244">
        <f t="shared" si="34"/>
        <v>0</v>
      </c>
      <c r="S25" s="239">
        <v>4300</v>
      </c>
      <c r="T25" s="38">
        <f t="shared" si="35"/>
        <v>4250</v>
      </c>
      <c r="U25" s="20">
        <f t="shared" si="36"/>
        <v>50</v>
      </c>
      <c r="V25" s="30"/>
      <c r="W25" s="30"/>
      <c r="X25" s="30"/>
      <c r="Y25" s="30"/>
      <c r="Z25" s="30"/>
      <c r="AA25" s="30"/>
      <c r="AB25" s="30"/>
      <c r="AC25" s="30"/>
      <c r="AD25" s="30"/>
      <c r="AE25" s="243">
        <f>VLOOKUP($A25,每日销量追踪!$A$3:$CM$75,3,0)</f>
        <v>5682.0829999999996</v>
      </c>
      <c r="AF25" s="243">
        <f>VLOOKUP($A25,每日销量追踪!$A$3:$CM$75,30,0)</f>
        <v>4231.0800000000081</v>
      </c>
      <c r="AG25" s="260">
        <f>VLOOKUP($A25,每日销量追踪!$A$3:$CM$75,42,0)</f>
        <v>0.984987048224092</v>
      </c>
      <c r="AH25" s="243">
        <v>75</v>
      </c>
    </row>
    <row r="26" spans="1:34">
      <c r="A26" s="16">
        <f t="shared" si="7"/>
        <v>44524</v>
      </c>
      <c r="B26" s="239">
        <v>4560</v>
      </c>
      <c r="C26" s="18">
        <f t="shared" si="37"/>
        <v>14.249352411204599</v>
      </c>
      <c r="D26" s="18">
        <f t="shared" si="9"/>
        <v>4574.2493524112042</v>
      </c>
      <c r="E26" s="18">
        <f t="shared" si="38"/>
        <v>4586.3517470716697</v>
      </c>
      <c r="F26" s="19">
        <f t="shared" si="27"/>
        <v>0.9871823112144712</v>
      </c>
      <c r="G26" s="14">
        <f t="shared" si="31"/>
        <v>15</v>
      </c>
      <c r="H26" s="20">
        <f t="shared" si="20"/>
        <v>0.7</v>
      </c>
      <c r="I26" s="20">
        <f t="shared" si="32"/>
        <v>15</v>
      </c>
      <c r="J26" s="28">
        <f t="shared" si="22"/>
        <v>0.3</v>
      </c>
      <c r="K26" s="241">
        <f t="shared" si="28"/>
        <v>-0.75064758879540006</v>
      </c>
      <c r="L26" s="20">
        <f t="shared" si="23"/>
        <v>-80</v>
      </c>
      <c r="M26" s="20">
        <f t="shared" si="24"/>
        <v>-50</v>
      </c>
      <c r="N26" s="29"/>
      <c r="O26" s="239">
        <v>4700</v>
      </c>
      <c r="P26" s="18">
        <f t="shared" si="16"/>
        <v>-30</v>
      </c>
      <c r="Q26" s="14">
        <f t="shared" si="33"/>
        <v>-110</v>
      </c>
      <c r="R26" s="244">
        <f t="shared" si="34"/>
        <v>0</v>
      </c>
      <c r="S26" s="239">
        <v>4315</v>
      </c>
      <c r="T26" s="38">
        <f t="shared" si="35"/>
        <v>4300</v>
      </c>
      <c r="U26" s="20">
        <f t="shared" si="36"/>
        <v>15</v>
      </c>
      <c r="V26" s="30"/>
      <c r="W26" s="30"/>
      <c r="X26" s="30"/>
      <c r="Y26" s="30"/>
      <c r="Z26" s="30"/>
      <c r="AA26" s="30"/>
      <c r="AB26" s="30"/>
      <c r="AC26" s="30"/>
      <c r="AD26" s="30"/>
      <c r="AE26" s="243">
        <f>VLOOKUP($A26,每日销量追踪!$A$3:$CM$75,3,0)</f>
        <v>4195.424</v>
      </c>
      <c r="AF26" s="243">
        <f>VLOOKUP($A26,每日销量追踪!$A$3:$CM$75,30,0)</f>
        <v>4231.0800000000081</v>
      </c>
      <c r="AG26" s="260">
        <f>VLOOKUP($A26,每日销量追踪!$A$3:$CM$75,42,0)</f>
        <v>0.9871823112144712</v>
      </c>
      <c r="AH26" s="243">
        <v>75</v>
      </c>
    </row>
    <row r="27" spans="1:34">
      <c r="A27" s="16">
        <f t="shared" si="7"/>
        <v>44525</v>
      </c>
      <c r="B27" s="17">
        <v>4580</v>
      </c>
      <c r="C27" s="18">
        <f t="shared" si="37"/>
        <v>78.859115560723566</v>
      </c>
      <c r="D27" s="18">
        <f t="shared" si="9"/>
        <v>4638.8591155607237</v>
      </c>
      <c r="E27" s="18">
        <f t="shared" si="38"/>
        <v>4574.2493524112042</v>
      </c>
      <c r="F27" s="19">
        <f t="shared" si="27"/>
        <v>0.97831121132192989</v>
      </c>
      <c r="G27" s="14">
        <f t="shared" si="31"/>
        <v>45</v>
      </c>
      <c r="H27" s="20">
        <f t="shared" si="20"/>
        <v>0.7</v>
      </c>
      <c r="I27" s="20">
        <f t="shared" si="32"/>
        <v>160</v>
      </c>
      <c r="J27" s="28">
        <f t="shared" si="22"/>
        <v>0.3</v>
      </c>
      <c r="K27" s="241">
        <f t="shared" si="28"/>
        <v>-0.64088443927644012</v>
      </c>
      <c r="L27" s="20">
        <f t="shared" si="23"/>
        <v>-80</v>
      </c>
      <c r="M27" s="20">
        <f t="shared" si="24"/>
        <v>-50</v>
      </c>
      <c r="N27" s="29"/>
      <c r="O27" s="239">
        <v>4730</v>
      </c>
      <c r="P27" s="18">
        <f t="shared" si="16"/>
        <v>-30</v>
      </c>
      <c r="Q27" s="14">
        <f t="shared" si="33"/>
        <v>-110</v>
      </c>
      <c r="R27" s="244">
        <f t="shared" si="34"/>
        <v>30</v>
      </c>
      <c r="S27" s="239">
        <v>4475</v>
      </c>
      <c r="T27" s="38">
        <f t="shared" si="35"/>
        <v>4315</v>
      </c>
      <c r="U27" s="20">
        <f t="shared" si="36"/>
        <v>160</v>
      </c>
      <c r="V27" s="30"/>
      <c r="W27" s="30"/>
      <c r="X27" s="30"/>
      <c r="Y27" s="30"/>
      <c r="Z27" s="30"/>
      <c r="AA27" s="30"/>
      <c r="AB27" s="30"/>
      <c r="AC27" s="30"/>
      <c r="AD27" s="30"/>
      <c r="AE27" s="243">
        <f>VLOOKUP($A27,每日销量追踪!$A$3:$CM$75,3,0)</f>
        <v>4026.7099999999996</v>
      </c>
      <c r="AF27" s="243">
        <f>VLOOKUP($A27,每日销量追踪!$A$3:$CM$75,30,0)</f>
        <v>4231.0800000000081</v>
      </c>
      <c r="AG27" s="260">
        <f>VLOOKUP($A27,每日销量追踪!$A$3:$CM$75,42,0)</f>
        <v>0.97831121132192989</v>
      </c>
      <c r="AH27" s="243">
        <v>75</v>
      </c>
    </row>
    <row r="28" spans="1:34">
      <c r="A28" s="16">
        <f t="shared" si="7"/>
        <v>44526</v>
      </c>
      <c r="B28" s="17">
        <v>4560</v>
      </c>
      <c r="C28" s="18">
        <f t="shared" si="37"/>
        <v>-55.184439433903499</v>
      </c>
      <c r="D28" s="18">
        <f t="shared" si="9"/>
        <v>4524.8155605660968</v>
      </c>
      <c r="E28" s="18">
        <f t="shared" si="38"/>
        <v>4638.8591155607237</v>
      </c>
      <c r="F28" s="19">
        <f t="shared" si="27"/>
        <v>0.9336341548729854</v>
      </c>
      <c r="G28" s="14">
        <f t="shared" si="31"/>
        <v>20</v>
      </c>
      <c r="H28" s="20">
        <f t="shared" si="20"/>
        <v>0.7</v>
      </c>
      <c r="I28" s="20">
        <f t="shared" si="32"/>
        <v>-227</v>
      </c>
      <c r="J28" s="28">
        <f t="shared" si="22"/>
        <v>0.3</v>
      </c>
      <c r="K28" s="241">
        <f t="shared" si="28"/>
        <v>-1.0844394339035057</v>
      </c>
      <c r="L28" s="20">
        <f t="shared" si="23"/>
        <v>-80</v>
      </c>
      <c r="M28" s="20">
        <f t="shared" si="24"/>
        <v>-50</v>
      </c>
      <c r="N28" s="29"/>
      <c r="O28" s="17">
        <v>4730</v>
      </c>
      <c r="P28" s="18">
        <f t="shared" si="16"/>
        <v>-30</v>
      </c>
      <c r="Q28" s="14">
        <f t="shared" si="33"/>
        <v>-120</v>
      </c>
      <c r="R28" s="244">
        <f t="shared" si="34"/>
        <v>0</v>
      </c>
      <c r="S28" s="17">
        <v>4248</v>
      </c>
      <c r="T28" s="38">
        <f t="shared" si="35"/>
        <v>4475</v>
      </c>
      <c r="U28" s="20">
        <f t="shared" si="36"/>
        <v>-227</v>
      </c>
      <c r="V28" s="30"/>
      <c r="W28" s="30"/>
      <c r="X28" s="30"/>
      <c r="Y28" s="30"/>
      <c r="Z28" s="30"/>
      <c r="AA28" s="30"/>
      <c r="AB28" s="30"/>
      <c r="AC28" s="30"/>
      <c r="AD28" s="30"/>
      <c r="AE28" s="243">
        <f>VLOOKUP($A28,每日销量追踪!$A$3:$CM$75,3,0)</f>
        <v>3194.152</v>
      </c>
      <c r="AF28" s="243">
        <f>VLOOKUP($A28,每日销量追踪!$A$3:$CM$75,30,0)</f>
        <v>4231.0800000000081</v>
      </c>
      <c r="AG28" s="260">
        <f>VLOOKUP($A28,每日销量追踪!$A$3:$CM$75,42,0)</f>
        <v>0.9336341548729854</v>
      </c>
      <c r="AH28" s="243">
        <v>75</v>
      </c>
    </row>
    <row r="29" spans="1:34">
      <c r="A29" s="16">
        <f t="shared" si="7"/>
        <v>44527</v>
      </c>
      <c r="B29" s="17">
        <v>4510</v>
      </c>
      <c r="C29" s="18">
        <f t="shared" ref="C29:C41" si="39">H29*G29+J29*I29+K29</f>
        <v>-26.718292256350729</v>
      </c>
      <c r="D29" s="18">
        <f t="shared" si="9"/>
        <v>4533.2817077436493</v>
      </c>
      <c r="E29" s="18">
        <f t="shared" ref="E29:E41" si="40">D28</f>
        <v>4524.8155605660968</v>
      </c>
      <c r="F29" s="19">
        <f t="shared" si="27"/>
        <v>0.92665895748087335</v>
      </c>
      <c r="G29" s="14">
        <f t="shared" ref="G29:G41" si="41">IF((Q29-L29)&lt;0,-(Q29-L29)/2,IF((Q29-L29)&gt;0,-(Q29-M29)/2,0))+R29</f>
        <v>30</v>
      </c>
      <c r="H29" s="20">
        <f t="shared" si="20"/>
        <v>0.7</v>
      </c>
      <c r="I29" s="20">
        <f t="shared" ref="I29:I41" si="42">U29</f>
        <v>-148</v>
      </c>
      <c r="J29" s="28">
        <f t="shared" si="22"/>
        <v>0.3</v>
      </c>
      <c r="K29" s="241">
        <f t="shared" si="28"/>
        <v>-3.31829225635073</v>
      </c>
      <c r="L29" s="20">
        <f t="shared" si="23"/>
        <v>-80</v>
      </c>
      <c r="M29" s="20">
        <f t="shared" si="24"/>
        <v>-50</v>
      </c>
      <c r="N29" s="29"/>
      <c r="O29" s="17">
        <v>4730</v>
      </c>
      <c r="P29" s="18">
        <f t="shared" si="16"/>
        <v>-30</v>
      </c>
      <c r="Q29" s="14">
        <f t="shared" ref="Q29:Q41" si="43">B28-(O28+P28)</f>
        <v>-140</v>
      </c>
      <c r="R29" s="244">
        <f t="shared" ref="R29:R41" si="44">O29-O28</f>
        <v>0</v>
      </c>
      <c r="S29" s="17">
        <v>4100</v>
      </c>
      <c r="T29" s="38">
        <f t="shared" ref="T29:T41" si="45">S28</f>
        <v>4248</v>
      </c>
      <c r="U29" s="20">
        <f t="shared" ref="U29:U41" si="46">S29-T29</f>
        <v>-148</v>
      </c>
      <c r="V29" s="30"/>
      <c r="W29" s="30"/>
      <c r="X29" s="30"/>
      <c r="Y29" s="30"/>
      <c r="Z29" s="30"/>
      <c r="AA29" s="30"/>
      <c r="AB29" s="30"/>
      <c r="AC29" s="30"/>
      <c r="AD29" s="30"/>
      <c r="AE29" s="243">
        <f>VLOOKUP($A29,每日销量追踪!$A$3:$CM$75,3,0)</f>
        <v>1812.8209999999999</v>
      </c>
      <c r="AF29" s="243">
        <f>VLOOKUP($A29,每日销量追踪!$A$3:$CM$75,30,0)</f>
        <v>2115.5399999999995</v>
      </c>
      <c r="AG29" s="260">
        <f>VLOOKUP($A29,每日销量追踪!$A$3:$CM$75,42,0)</f>
        <v>0.92665895748087335</v>
      </c>
      <c r="AH29" s="243">
        <v>75</v>
      </c>
    </row>
    <row r="30" spans="1:34">
      <c r="A30" s="16">
        <f t="shared" si="7"/>
        <v>44528</v>
      </c>
      <c r="B30" s="17">
        <v>4511</v>
      </c>
      <c r="C30" s="18">
        <f t="shared" si="39"/>
        <v>34.832947874043668</v>
      </c>
      <c r="D30" s="18">
        <f t="shared" si="9"/>
        <v>4544.8329478740434</v>
      </c>
      <c r="E30" s="18">
        <f t="shared" si="40"/>
        <v>4533.2817077436493</v>
      </c>
      <c r="F30" s="19">
        <f t="shared" si="27"/>
        <v>0.90429559356003486</v>
      </c>
      <c r="G30" s="14">
        <f t="shared" si="41"/>
        <v>55</v>
      </c>
      <c r="H30" s="20">
        <f t="shared" si="20"/>
        <v>0.7</v>
      </c>
      <c r="I30" s="20">
        <f t="shared" si="42"/>
        <v>0</v>
      </c>
      <c r="J30" s="28">
        <f t="shared" si="22"/>
        <v>0.3</v>
      </c>
      <c r="K30" s="241">
        <f t="shared" si="28"/>
        <v>-3.6670521259563325</v>
      </c>
      <c r="L30" s="20">
        <f t="shared" si="23"/>
        <v>-80</v>
      </c>
      <c r="M30" s="20">
        <f t="shared" si="24"/>
        <v>-50</v>
      </c>
      <c r="N30" s="29"/>
      <c r="O30" s="17">
        <v>4730</v>
      </c>
      <c r="P30" s="18">
        <f t="shared" si="16"/>
        <v>-30</v>
      </c>
      <c r="Q30" s="14">
        <f t="shared" si="43"/>
        <v>-190</v>
      </c>
      <c r="R30" s="244">
        <f t="shared" si="44"/>
        <v>0</v>
      </c>
      <c r="S30" s="17">
        <v>4100</v>
      </c>
      <c r="T30" s="38">
        <f t="shared" si="45"/>
        <v>4100</v>
      </c>
      <c r="U30" s="20">
        <f t="shared" si="46"/>
        <v>0</v>
      </c>
      <c r="V30" s="30"/>
      <c r="W30" s="30"/>
      <c r="X30" s="30"/>
      <c r="Y30" s="30"/>
      <c r="Z30" s="30"/>
      <c r="AA30" s="30"/>
      <c r="AB30" s="30"/>
      <c r="AC30" s="30"/>
      <c r="AD30" s="30"/>
      <c r="AE30" s="243">
        <f>VLOOKUP($A30,每日销量追踪!$A$3:$CM$75,3,0)</f>
        <v>1392.6569999999999</v>
      </c>
      <c r="AF30" s="243">
        <f>VLOOKUP($A30,每日销量追踪!$A$3:$CM$75,30,0)</f>
        <v>2115.5399999999995</v>
      </c>
      <c r="AG30" s="260">
        <f>VLOOKUP($A30,每日销量追踪!$A$3:$CM$75,42,0)</f>
        <v>0.90429559356003486</v>
      </c>
      <c r="AH30" s="243">
        <v>75</v>
      </c>
    </row>
    <row r="31" spans="1:34">
      <c r="A31" s="16">
        <f t="shared" si="7"/>
        <v>44529</v>
      </c>
      <c r="B31" s="17">
        <v>4480</v>
      </c>
      <c r="C31" s="18">
        <f t="shared" si="39"/>
        <v>19.864779678001742</v>
      </c>
      <c r="D31" s="18">
        <f t="shared" si="9"/>
        <v>4530.8647796780015</v>
      </c>
      <c r="E31" s="18">
        <f t="shared" si="40"/>
        <v>4544.8329478740434</v>
      </c>
      <c r="F31" s="19">
        <f t="shared" si="27"/>
        <v>0.95878199734661917</v>
      </c>
      <c r="G31" s="14">
        <f t="shared" si="41"/>
        <v>54.5</v>
      </c>
      <c r="H31" s="20">
        <f t="shared" si="20"/>
        <v>0.7</v>
      </c>
      <c r="I31" s="20">
        <f t="shared" si="42"/>
        <v>-45</v>
      </c>
      <c r="J31" s="28">
        <f t="shared" si="22"/>
        <v>0.3</v>
      </c>
      <c r="K31" s="241">
        <f t="shared" si="28"/>
        <v>-4.7852203219982572</v>
      </c>
      <c r="L31" s="20">
        <f t="shared" si="23"/>
        <v>-80</v>
      </c>
      <c r="M31" s="20">
        <f t="shared" si="24"/>
        <v>-50</v>
      </c>
      <c r="N31" s="29"/>
      <c r="O31" s="17">
        <v>4730</v>
      </c>
      <c r="P31" s="18">
        <f t="shared" si="16"/>
        <v>-30</v>
      </c>
      <c r="Q31" s="14">
        <f t="shared" si="43"/>
        <v>-189</v>
      </c>
      <c r="R31" s="244">
        <f t="shared" si="44"/>
        <v>0</v>
      </c>
      <c r="S31" s="17">
        <v>4055</v>
      </c>
      <c r="T31" s="38">
        <f t="shared" si="45"/>
        <v>4100</v>
      </c>
      <c r="U31" s="20">
        <f t="shared" si="46"/>
        <v>-45</v>
      </c>
      <c r="V31" s="30"/>
      <c r="W31" s="30"/>
      <c r="X31" s="30"/>
      <c r="Y31" s="30"/>
      <c r="Z31" s="30"/>
      <c r="AA31" s="30"/>
      <c r="AB31" s="30"/>
      <c r="AC31" s="30"/>
      <c r="AD31" s="30"/>
      <c r="AE31" s="243">
        <f>VLOOKUP($A31,每日销量追踪!$A$3:$CM$75,3,0)</f>
        <v>4868.0200000000004</v>
      </c>
      <c r="AF31" s="243">
        <f>VLOOKUP($A31,每日销量追踪!$A$3:$CM$75,30,0)</f>
        <v>5077.2960000000003</v>
      </c>
      <c r="AG31" s="260">
        <f>VLOOKUP($A31,每日销量追踪!$A$3:$CM$75,42,0)</f>
        <v>0.95878199734661917</v>
      </c>
      <c r="AH31" s="243">
        <v>75</v>
      </c>
    </row>
    <row r="32" spans="1:34">
      <c r="A32" s="16">
        <f t="shared" si="7"/>
        <v>44530</v>
      </c>
      <c r="B32" s="17">
        <v>4480</v>
      </c>
      <c r="C32" s="18">
        <f t="shared" si="39"/>
        <v>78.439099867330953</v>
      </c>
      <c r="D32" s="18">
        <f t="shared" si="9"/>
        <v>4558.4390998673307</v>
      </c>
      <c r="E32" s="18">
        <f t="shared" si="40"/>
        <v>4530.8647796780015</v>
      </c>
      <c r="F32" s="19">
        <f t="shared" si="27"/>
        <v>0.86321725186004516</v>
      </c>
      <c r="G32" s="14">
        <f t="shared" si="41"/>
        <v>70</v>
      </c>
      <c r="H32" s="20">
        <f t="shared" si="20"/>
        <v>0.7</v>
      </c>
      <c r="I32" s="20">
        <f t="shared" si="42"/>
        <v>105</v>
      </c>
      <c r="J32" s="28">
        <f t="shared" si="22"/>
        <v>0.3</v>
      </c>
      <c r="K32" s="241">
        <f t="shared" si="28"/>
        <v>-2.0609001326690413</v>
      </c>
      <c r="L32" s="20">
        <f t="shared" si="23"/>
        <v>-80</v>
      </c>
      <c r="M32" s="20">
        <f t="shared" si="24"/>
        <v>-50</v>
      </c>
      <c r="N32" s="29"/>
      <c r="O32" s="17">
        <v>4730</v>
      </c>
      <c r="P32" s="18">
        <f t="shared" si="16"/>
        <v>-30</v>
      </c>
      <c r="Q32" s="14">
        <f t="shared" si="43"/>
        <v>-220</v>
      </c>
      <c r="R32" s="244">
        <f t="shared" si="44"/>
        <v>0</v>
      </c>
      <c r="S32" s="17">
        <v>4160</v>
      </c>
      <c r="T32" s="38">
        <f t="shared" si="45"/>
        <v>4055</v>
      </c>
      <c r="U32" s="20">
        <f t="shared" si="46"/>
        <v>105</v>
      </c>
      <c r="V32" s="30"/>
      <c r="W32" s="30"/>
      <c r="X32" s="30"/>
      <c r="Y32" s="30"/>
      <c r="Z32" s="30"/>
      <c r="AA32" s="30"/>
      <c r="AB32" s="30"/>
      <c r="AC32" s="30"/>
      <c r="AD32" s="30"/>
      <c r="AE32" s="243">
        <f>VLOOKUP($A32,每日销量追踪!$A$3:$CM$75,3,0)</f>
        <v>3897.5989999999997</v>
      </c>
      <c r="AF32" s="243">
        <f>VLOOKUP($A32,每日销量追踪!$A$3:$CM$75,30,0)</f>
        <v>5077.2960000000003</v>
      </c>
      <c r="AG32" s="260">
        <f>VLOOKUP($A32,每日销量追踪!$A$3:$CM$75,42,0)</f>
        <v>0.86321725186004516</v>
      </c>
      <c r="AH32" s="243">
        <v>75</v>
      </c>
    </row>
    <row r="33" spans="1:34">
      <c r="A33" s="16">
        <f t="shared" si="7"/>
        <v>44531</v>
      </c>
      <c r="B33" s="17">
        <v>4520</v>
      </c>
      <c r="C33" s="18">
        <f t="shared" si="39"/>
        <v>53.560862593002255</v>
      </c>
      <c r="D33" s="18">
        <f t="shared" si="9"/>
        <v>4533.5608625930026</v>
      </c>
      <c r="E33" s="18">
        <f t="shared" si="40"/>
        <v>4558.4390998673307</v>
      </c>
      <c r="F33" s="19">
        <f t="shared" si="27"/>
        <v>0.91983869629293491</v>
      </c>
      <c r="G33" s="14">
        <f t="shared" si="41"/>
        <v>70</v>
      </c>
      <c r="H33" s="20">
        <f t="shared" si="20"/>
        <v>0.7</v>
      </c>
      <c r="I33" s="20">
        <f t="shared" si="42"/>
        <v>38</v>
      </c>
      <c r="J33" s="28">
        <f t="shared" si="22"/>
        <v>0.3</v>
      </c>
      <c r="K33" s="241">
        <f t="shared" si="28"/>
        <v>-6.8391374069977413</v>
      </c>
      <c r="L33" s="20">
        <f t="shared" si="23"/>
        <v>-80</v>
      </c>
      <c r="M33" s="20">
        <f t="shared" si="24"/>
        <v>-50</v>
      </c>
      <c r="N33" s="29"/>
      <c r="O33" s="17">
        <v>4730</v>
      </c>
      <c r="P33" s="18">
        <f t="shared" si="16"/>
        <v>-30</v>
      </c>
      <c r="Q33" s="14">
        <f t="shared" si="43"/>
        <v>-220</v>
      </c>
      <c r="R33" s="244">
        <f t="shared" si="44"/>
        <v>0</v>
      </c>
      <c r="S33" s="17">
        <v>4198</v>
      </c>
      <c r="T33" s="38">
        <f t="shared" si="45"/>
        <v>4160</v>
      </c>
      <c r="U33" s="20">
        <f t="shared" si="46"/>
        <v>38</v>
      </c>
      <c r="V33" s="30"/>
      <c r="W33" s="30"/>
      <c r="X33" s="30"/>
      <c r="Y33" s="30"/>
      <c r="Z33" s="30"/>
      <c r="AA33" s="30"/>
      <c r="AB33" s="30"/>
      <c r="AC33" s="30"/>
      <c r="AD33" s="30"/>
      <c r="AE33" s="243">
        <f>VLOOKUP($A33,每日销量追踪!$A$3:$CM$75,3,0)</f>
        <v>5245.2609999999995</v>
      </c>
      <c r="AF33" s="243">
        <f>VLOOKUP($A33,每日销量追踪!$A$3:$CM$75,30,0)</f>
        <v>5077.2960000000003</v>
      </c>
      <c r="AG33" s="260">
        <f>VLOOKUP($A33,每日销量追踪!$A$3:$CM$75,42,0)</f>
        <v>0.91983869629293491</v>
      </c>
      <c r="AH33" s="243">
        <v>75</v>
      </c>
    </row>
    <row r="34" spans="1:34">
      <c r="A34" s="16">
        <f t="shared" si="7"/>
        <v>44532</v>
      </c>
      <c r="B34" s="17">
        <v>4520</v>
      </c>
      <c r="C34" s="18">
        <f t="shared" si="39"/>
        <v>66.091934814646734</v>
      </c>
      <c r="D34" s="18">
        <f t="shared" si="9"/>
        <v>4586.0919348146472</v>
      </c>
      <c r="E34" s="18">
        <f t="shared" si="40"/>
        <v>4533.5608625930026</v>
      </c>
      <c r="F34" s="19">
        <f t="shared" si="27"/>
        <v>0.86292517620689191</v>
      </c>
      <c r="G34" s="14">
        <f t="shared" si="41"/>
        <v>50</v>
      </c>
      <c r="H34" s="20">
        <f t="shared" si="20"/>
        <v>0.7</v>
      </c>
      <c r="I34" s="20">
        <f t="shared" si="42"/>
        <v>117</v>
      </c>
      <c r="J34" s="28">
        <f t="shared" si="22"/>
        <v>0.3</v>
      </c>
      <c r="K34" s="241">
        <f t="shared" si="28"/>
        <v>-4.0080651853532547</v>
      </c>
      <c r="L34" s="20">
        <f t="shared" si="23"/>
        <v>-80</v>
      </c>
      <c r="M34" s="20">
        <f t="shared" si="24"/>
        <v>-50</v>
      </c>
      <c r="N34" s="29"/>
      <c r="O34" s="17">
        <v>4730</v>
      </c>
      <c r="P34" s="18">
        <f t="shared" si="16"/>
        <v>-30</v>
      </c>
      <c r="Q34" s="14">
        <f t="shared" si="43"/>
        <v>-180</v>
      </c>
      <c r="R34" s="244">
        <f t="shared" si="44"/>
        <v>0</v>
      </c>
      <c r="S34" s="17">
        <v>4315</v>
      </c>
      <c r="T34" s="38">
        <f t="shared" si="45"/>
        <v>4198</v>
      </c>
      <c r="U34" s="20">
        <f t="shared" si="46"/>
        <v>117</v>
      </c>
      <c r="V34" s="30"/>
      <c r="W34" s="30"/>
      <c r="X34" s="30"/>
      <c r="Y34" s="30"/>
      <c r="Z34" s="30"/>
      <c r="AA34" s="30"/>
      <c r="AB34" s="30"/>
      <c r="AC34" s="30"/>
      <c r="AD34" s="30"/>
      <c r="AE34" s="243">
        <f>VLOOKUP($A34,每日销量追踪!$A$3:$CM$75,3,0)</f>
        <v>2053.9839999999999</v>
      </c>
      <c r="AF34" s="243">
        <f>VLOOKUP($A34,每日销量追踪!$A$3:$CM$75,30,0)</f>
        <v>3384.8639999999914</v>
      </c>
      <c r="AG34" s="260">
        <f>VLOOKUP($A34,每日销量追踪!$A$3:$CM$75,42,0)</f>
        <v>0.86292517620689191</v>
      </c>
      <c r="AH34" s="243">
        <v>75</v>
      </c>
    </row>
    <row r="35" spans="1:34">
      <c r="A35" s="16">
        <f t="shared" si="7"/>
        <v>44533</v>
      </c>
      <c r="B35" s="17">
        <v>4550</v>
      </c>
      <c r="C35" s="18">
        <f t="shared" si="39"/>
        <v>-0.35374118965540458</v>
      </c>
      <c r="D35" s="18">
        <f t="shared" si="9"/>
        <v>4519.646258810345</v>
      </c>
      <c r="E35" s="18">
        <f t="shared" si="40"/>
        <v>4586.0919348146472</v>
      </c>
      <c r="F35" s="19">
        <f t="shared" si="27"/>
        <v>0.8768812254518038</v>
      </c>
      <c r="G35" s="14">
        <f t="shared" si="41"/>
        <v>20</v>
      </c>
      <c r="H35" s="20">
        <f t="shared" si="20"/>
        <v>0.7</v>
      </c>
      <c r="I35" s="20">
        <f t="shared" si="42"/>
        <v>-25</v>
      </c>
      <c r="J35" s="28">
        <f t="shared" si="22"/>
        <v>0.3</v>
      </c>
      <c r="K35" s="241">
        <f t="shared" si="28"/>
        <v>-6.8537411896554046</v>
      </c>
      <c r="L35" s="20">
        <f t="shared" si="23"/>
        <v>-80</v>
      </c>
      <c r="M35" s="20">
        <f t="shared" si="24"/>
        <v>-50</v>
      </c>
      <c r="N35" s="29"/>
      <c r="O35" s="17">
        <v>4700</v>
      </c>
      <c r="P35" s="18">
        <f t="shared" si="16"/>
        <v>-30</v>
      </c>
      <c r="Q35" s="14">
        <f t="shared" si="43"/>
        <v>-180</v>
      </c>
      <c r="R35" s="244">
        <f t="shared" si="44"/>
        <v>-30</v>
      </c>
      <c r="S35" s="17">
        <v>4290</v>
      </c>
      <c r="T35" s="38">
        <f t="shared" si="45"/>
        <v>4315</v>
      </c>
      <c r="U35" s="20">
        <f t="shared" si="46"/>
        <v>-25</v>
      </c>
      <c r="V35" s="30"/>
      <c r="W35" s="30"/>
      <c r="X35" s="30"/>
      <c r="Y35" s="30"/>
      <c r="Z35" s="30"/>
      <c r="AA35" s="30"/>
      <c r="AB35" s="30"/>
      <c r="AC35" s="30"/>
      <c r="AD35" s="30"/>
      <c r="AE35" s="243">
        <f>VLOOKUP($A35,每日销量追踪!$A$3:$CM$75,3,0)</f>
        <v>3227.94</v>
      </c>
      <c r="AF35" s="243">
        <f>VLOOKUP($A35,每日销量追踪!$A$3:$CM$75,30,0)</f>
        <v>3384.8639999999914</v>
      </c>
      <c r="AG35" s="260">
        <f>VLOOKUP($A35,每日销量追踪!$A$3:$CM$75,42,0)</f>
        <v>0.8768812254518038</v>
      </c>
      <c r="AH35" s="243">
        <v>75</v>
      </c>
    </row>
    <row r="36" spans="1:34">
      <c r="A36" s="16">
        <f t="shared" si="7"/>
        <v>44534</v>
      </c>
      <c r="B36" s="17">
        <v>4580</v>
      </c>
      <c r="C36" s="18">
        <f t="shared" si="39"/>
        <v>69.94406127259019</v>
      </c>
      <c r="D36" s="18">
        <f t="shared" si="9"/>
        <v>4619.9440612725903</v>
      </c>
      <c r="E36" s="18">
        <f t="shared" si="40"/>
        <v>4519.646258810345</v>
      </c>
      <c r="F36" s="19">
        <f t="shared" si="27"/>
        <v>0.90958193382574448</v>
      </c>
      <c r="G36" s="14">
        <f t="shared" si="41"/>
        <v>50</v>
      </c>
      <c r="H36" s="20">
        <f t="shared" si="20"/>
        <v>0.7</v>
      </c>
      <c r="I36" s="20">
        <f t="shared" si="42"/>
        <v>137</v>
      </c>
      <c r="J36" s="28">
        <f t="shared" si="22"/>
        <v>0.3</v>
      </c>
      <c r="K36" s="241">
        <f t="shared" si="28"/>
        <v>-6.1559387274098096</v>
      </c>
      <c r="L36" s="20">
        <f t="shared" si="23"/>
        <v>-80</v>
      </c>
      <c r="M36" s="20">
        <f t="shared" si="24"/>
        <v>-50</v>
      </c>
      <c r="N36" s="29"/>
      <c r="O36" s="17">
        <v>4730</v>
      </c>
      <c r="P36" s="18">
        <f t="shared" si="16"/>
        <v>-30</v>
      </c>
      <c r="Q36" s="14">
        <f t="shared" si="43"/>
        <v>-120</v>
      </c>
      <c r="R36" s="244">
        <f t="shared" si="44"/>
        <v>30</v>
      </c>
      <c r="S36" s="17">
        <v>4427</v>
      </c>
      <c r="T36" s="38">
        <f t="shared" si="45"/>
        <v>4290</v>
      </c>
      <c r="U36" s="20">
        <f t="shared" si="46"/>
        <v>137</v>
      </c>
      <c r="V36" s="30"/>
      <c r="W36" s="30"/>
      <c r="X36" s="30"/>
      <c r="Y36" s="30"/>
      <c r="Z36" s="30"/>
      <c r="AA36" s="30"/>
      <c r="AB36" s="30"/>
      <c r="AC36" s="30"/>
      <c r="AD36" s="30"/>
      <c r="AE36" s="243">
        <f>VLOOKUP($A36,每日销量追踪!$A$3:$CM$75,3,0)</f>
        <v>2258.8739999999998</v>
      </c>
      <c r="AF36" s="243">
        <f>VLOOKUP($A36,每日销量追踪!$A$3:$CM$75,30,0)</f>
        <v>1692.4320000000007</v>
      </c>
      <c r="AG36" s="260">
        <f>VLOOKUP($A36,每日销量追踪!$A$3:$CM$75,42,0)</f>
        <v>0.90958193382574448</v>
      </c>
      <c r="AH36" s="243">
        <v>75</v>
      </c>
    </row>
    <row r="37" spans="1:34">
      <c r="A37" s="16">
        <f t="shared" si="7"/>
        <v>44535</v>
      </c>
      <c r="B37" s="17">
        <v>4600</v>
      </c>
      <c r="C37" s="18">
        <f t="shared" si="39"/>
        <v>-10.220903308712776</v>
      </c>
      <c r="D37" s="18">
        <f t="shared" si="9"/>
        <v>4569.7790966912871</v>
      </c>
      <c r="E37" s="18">
        <f t="shared" si="40"/>
        <v>4619.9440612725903</v>
      </c>
      <c r="F37" s="19">
        <f t="shared" si="27"/>
        <v>0.89997415947386217</v>
      </c>
      <c r="G37" s="14">
        <f t="shared" si="41"/>
        <v>0</v>
      </c>
      <c r="H37" s="20">
        <f t="shared" si="20"/>
        <v>0.7</v>
      </c>
      <c r="I37" s="20">
        <f t="shared" si="42"/>
        <v>-19</v>
      </c>
      <c r="J37" s="28">
        <f t="shared" si="22"/>
        <v>0.3</v>
      </c>
      <c r="K37" s="241">
        <f t="shared" si="28"/>
        <v>-4.5209033087127759</v>
      </c>
      <c r="L37" s="20">
        <f t="shared" si="23"/>
        <v>-80</v>
      </c>
      <c r="M37" s="20">
        <f t="shared" si="24"/>
        <v>-50</v>
      </c>
      <c r="N37" s="29"/>
      <c r="O37" s="17">
        <v>4710</v>
      </c>
      <c r="P37" s="18">
        <f t="shared" si="16"/>
        <v>-30</v>
      </c>
      <c r="Q37" s="14">
        <f t="shared" si="43"/>
        <v>-120</v>
      </c>
      <c r="R37" s="244">
        <f t="shared" si="44"/>
        <v>-20</v>
      </c>
      <c r="S37" s="17">
        <v>4408</v>
      </c>
      <c r="T37" s="38">
        <f t="shared" si="45"/>
        <v>4427</v>
      </c>
      <c r="U37" s="20">
        <f t="shared" si="46"/>
        <v>-19</v>
      </c>
      <c r="V37" s="30"/>
      <c r="W37" s="30"/>
      <c r="X37" s="30"/>
      <c r="Y37" s="30"/>
      <c r="Z37" s="30"/>
      <c r="AA37" s="30"/>
      <c r="AB37" s="30"/>
      <c r="AC37" s="30"/>
      <c r="AD37" s="30"/>
      <c r="AE37" s="243">
        <f>VLOOKUP($A37,每日销量追踪!$A$3:$CM$75,3,0)</f>
        <v>1295.498</v>
      </c>
      <c r="AF37" s="243">
        <f>VLOOKUP($A37,每日销量追踪!$A$3:$CM$75,30,0)</f>
        <v>1692.4320000000007</v>
      </c>
      <c r="AG37" s="260">
        <f>VLOOKUP($A37,每日销量追踪!$A$3:$CM$75,42,0)</f>
        <v>0.89997415947386217</v>
      </c>
      <c r="AH37" s="243">
        <v>75</v>
      </c>
    </row>
    <row r="38" spans="1:34">
      <c r="A38" s="16">
        <f t="shared" si="7"/>
        <v>44536</v>
      </c>
      <c r="B38" s="17">
        <v>4600</v>
      </c>
      <c r="C38" s="18">
        <f t="shared" si="39"/>
        <v>-12.001292026306892</v>
      </c>
      <c r="D38" s="18">
        <f t="shared" si="9"/>
        <v>4587.9987079736929</v>
      </c>
      <c r="E38" s="18">
        <f t="shared" si="40"/>
        <v>4569.7790966912871</v>
      </c>
      <c r="F38" s="19">
        <f t="shared" si="27"/>
        <v>0</v>
      </c>
      <c r="G38" s="14">
        <f t="shared" si="41"/>
        <v>-10</v>
      </c>
      <c r="H38" s="20">
        <f t="shared" si="20"/>
        <v>0.7</v>
      </c>
      <c r="I38" s="20">
        <f t="shared" si="42"/>
        <v>0</v>
      </c>
      <c r="J38" s="28">
        <f t="shared" si="22"/>
        <v>0.3</v>
      </c>
      <c r="K38" s="241">
        <f t="shared" si="28"/>
        <v>-5.0012920263068921</v>
      </c>
      <c r="L38" s="20">
        <f t="shared" si="23"/>
        <v>-80</v>
      </c>
      <c r="M38" s="20">
        <f t="shared" si="24"/>
        <v>-50</v>
      </c>
      <c r="N38" s="29"/>
      <c r="O38" s="17">
        <v>4700</v>
      </c>
      <c r="P38" s="18">
        <f t="shared" si="16"/>
        <v>-30</v>
      </c>
      <c r="Q38" s="14">
        <f t="shared" si="43"/>
        <v>-80</v>
      </c>
      <c r="R38" s="244">
        <f t="shared" si="44"/>
        <v>-10</v>
      </c>
      <c r="S38" s="17">
        <v>4408</v>
      </c>
      <c r="T38" s="38">
        <f t="shared" si="45"/>
        <v>4408</v>
      </c>
      <c r="U38" s="20">
        <f t="shared" si="46"/>
        <v>0</v>
      </c>
      <c r="V38" s="30"/>
      <c r="W38" s="30"/>
      <c r="X38" s="30"/>
      <c r="Y38" s="30"/>
      <c r="Z38" s="30"/>
      <c r="AA38" s="30"/>
      <c r="AB38" s="30"/>
      <c r="AC38" s="30"/>
      <c r="AD38" s="30"/>
      <c r="AE38" s="243">
        <f>VLOOKUP($A38,每日销量追踪!$A$3:$CM$75,3,0)</f>
        <v>0</v>
      </c>
      <c r="AF38" s="243">
        <f>VLOOKUP($A38,每日销量追踪!$A$3:$CM$75,30,0)</f>
        <v>5077.2960000000003</v>
      </c>
      <c r="AG38" s="260">
        <f>VLOOKUP($A38,每日销量追踪!$A$3:$CM$75,42,0)</f>
        <v>0</v>
      </c>
      <c r="AH38" s="243">
        <v>75</v>
      </c>
    </row>
    <row r="39" spans="1:34">
      <c r="A39" s="16">
        <f t="shared" si="7"/>
        <v>44537</v>
      </c>
      <c r="B39" s="17"/>
      <c r="C39" s="18">
        <f t="shared" si="39"/>
        <v>-4655.3999999999996</v>
      </c>
      <c r="D39" s="18">
        <f t="shared" si="9"/>
        <v>-55.399999999999636</v>
      </c>
      <c r="E39" s="18">
        <f t="shared" si="40"/>
        <v>4587.9987079736929</v>
      </c>
      <c r="F39" s="19">
        <f t="shared" si="27"/>
        <v>0</v>
      </c>
      <c r="G39" s="14">
        <f t="shared" si="41"/>
        <v>-4690</v>
      </c>
      <c r="H39" s="20">
        <f t="shared" si="20"/>
        <v>0.7</v>
      </c>
      <c r="I39" s="20">
        <f t="shared" si="42"/>
        <v>-4408</v>
      </c>
      <c r="J39" s="28">
        <f t="shared" si="22"/>
        <v>0.3</v>
      </c>
      <c r="K39" s="241">
        <f t="shared" si="28"/>
        <v>-50</v>
      </c>
      <c r="L39" s="20">
        <f t="shared" si="23"/>
        <v>-80</v>
      </c>
      <c r="M39" s="20">
        <f t="shared" si="24"/>
        <v>-50</v>
      </c>
      <c r="N39" s="29"/>
      <c r="O39" s="17"/>
      <c r="P39" s="18">
        <f t="shared" si="16"/>
        <v>-30</v>
      </c>
      <c r="Q39" s="14">
        <f t="shared" si="43"/>
        <v>-70</v>
      </c>
      <c r="R39" s="244">
        <f t="shared" si="44"/>
        <v>-4700</v>
      </c>
      <c r="S39" s="17"/>
      <c r="T39" s="38">
        <f t="shared" si="45"/>
        <v>4408</v>
      </c>
      <c r="U39" s="20">
        <f t="shared" si="46"/>
        <v>-4408</v>
      </c>
      <c r="V39" s="30"/>
      <c r="W39" s="30"/>
      <c r="X39" s="30"/>
      <c r="Y39" s="30"/>
      <c r="Z39" s="30"/>
      <c r="AA39" s="30"/>
      <c r="AB39" s="30"/>
      <c r="AC39" s="30"/>
      <c r="AD39" s="30"/>
      <c r="AE39" s="243">
        <f>VLOOKUP($A39,每日销量追踪!$A$3:$CM$75,3,0)</f>
        <v>0</v>
      </c>
      <c r="AF39" s="243">
        <f>VLOOKUP($A39,每日销量追踪!$A$3:$CM$75,30,0)</f>
        <v>5077.2960000000003</v>
      </c>
      <c r="AG39" s="260">
        <f>VLOOKUP($A39,每日销量追踪!$A$3:$CM$75,42,0)</f>
        <v>0</v>
      </c>
      <c r="AH39" s="243">
        <v>75</v>
      </c>
    </row>
    <row r="40" spans="1:34">
      <c r="A40" s="16">
        <f t="shared" si="7"/>
        <v>44538</v>
      </c>
      <c r="B40" s="17"/>
      <c r="C40" s="18">
        <f t="shared" si="39"/>
        <v>-78</v>
      </c>
      <c r="D40" s="18">
        <f t="shared" si="9"/>
        <v>-78</v>
      </c>
      <c r="E40" s="18">
        <f t="shared" si="40"/>
        <v>-55.399999999999636</v>
      </c>
      <c r="F40" s="19">
        <f t="shared" si="27"/>
        <v>0</v>
      </c>
      <c r="G40" s="14">
        <f t="shared" si="41"/>
        <v>-40</v>
      </c>
      <c r="H40" s="20">
        <f t="shared" si="20"/>
        <v>0.7</v>
      </c>
      <c r="I40" s="20">
        <f t="shared" si="42"/>
        <v>0</v>
      </c>
      <c r="J40" s="28">
        <f t="shared" si="22"/>
        <v>0.3</v>
      </c>
      <c r="K40" s="241">
        <f t="shared" si="28"/>
        <v>-50</v>
      </c>
      <c r="L40" s="20">
        <f t="shared" si="23"/>
        <v>-80</v>
      </c>
      <c r="M40" s="20">
        <f t="shared" si="24"/>
        <v>-50</v>
      </c>
      <c r="N40" s="29"/>
      <c r="O40" s="17"/>
      <c r="P40" s="18">
        <f t="shared" si="16"/>
        <v>-30</v>
      </c>
      <c r="Q40" s="14">
        <f t="shared" si="43"/>
        <v>30</v>
      </c>
      <c r="R40" s="244">
        <f t="shared" si="44"/>
        <v>0</v>
      </c>
      <c r="S40" s="17"/>
      <c r="T40" s="38">
        <f t="shared" si="45"/>
        <v>0</v>
      </c>
      <c r="U40" s="20">
        <f t="shared" si="46"/>
        <v>0</v>
      </c>
      <c r="V40" s="30"/>
      <c r="W40" s="30"/>
      <c r="X40" s="30"/>
      <c r="Y40" s="30"/>
      <c r="Z40" s="30"/>
      <c r="AA40" s="30"/>
      <c r="AB40" s="30"/>
      <c r="AC40" s="30"/>
      <c r="AD40" s="30"/>
      <c r="AE40" s="243">
        <f>VLOOKUP($A40,每日销量追踪!$A$3:$CM$75,3,0)</f>
        <v>0</v>
      </c>
      <c r="AF40" s="243">
        <f>VLOOKUP($A40,每日销量追踪!$A$3:$CM$75,30,0)</f>
        <v>5077.2960000000003</v>
      </c>
      <c r="AG40" s="260">
        <f>VLOOKUP($A40,每日销量追踪!$A$3:$CM$75,42,0)</f>
        <v>0</v>
      </c>
      <c r="AH40" s="243">
        <v>75</v>
      </c>
    </row>
    <row r="41" spans="1:34">
      <c r="A41" s="16">
        <f t="shared" si="7"/>
        <v>44539</v>
      </c>
      <c r="B41" s="17"/>
      <c r="C41" s="18">
        <f t="shared" si="39"/>
        <v>-78</v>
      </c>
      <c r="D41" s="18">
        <f t="shared" si="9"/>
        <v>-78</v>
      </c>
      <c r="E41" s="18">
        <f t="shared" si="40"/>
        <v>-78</v>
      </c>
      <c r="F41" s="19">
        <f t="shared" si="27"/>
        <v>0</v>
      </c>
      <c r="G41" s="14">
        <f t="shared" si="41"/>
        <v>-40</v>
      </c>
      <c r="H41" s="20">
        <f t="shared" si="20"/>
        <v>0.7</v>
      </c>
      <c r="I41" s="20">
        <f t="shared" si="42"/>
        <v>0</v>
      </c>
      <c r="J41" s="28">
        <f t="shared" si="22"/>
        <v>0.3</v>
      </c>
      <c r="K41" s="241">
        <f t="shared" si="28"/>
        <v>-50</v>
      </c>
      <c r="L41" s="20">
        <f t="shared" si="23"/>
        <v>-80</v>
      </c>
      <c r="M41" s="20">
        <f t="shared" si="24"/>
        <v>-50</v>
      </c>
      <c r="N41" s="29"/>
      <c r="O41" s="17"/>
      <c r="P41" s="18">
        <f t="shared" si="16"/>
        <v>-30</v>
      </c>
      <c r="Q41" s="14">
        <f t="shared" si="43"/>
        <v>30</v>
      </c>
      <c r="R41" s="244">
        <f t="shared" si="44"/>
        <v>0</v>
      </c>
      <c r="S41" s="17"/>
      <c r="T41" s="38">
        <f t="shared" si="45"/>
        <v>0</v>
      </c>
      <c r="U41" s="20">
        <f t="shared" si="46"/>
        <v>0</v>
      </c>
      <c r="V41" s="30"/>
      <c r="W41" s="30"/>
      <c r="X41" s="30"/>
      <c r="Y41" s="30"/>
      <c r="Z41" s="30"/>
      <c r="AA41" s="30"/>
      <c r="AB41" s="30"/>
      <c r="AC41" s="30"/>
      <c r="AD41" s="30"/>
      <c r="AE41" s="243">
        <f>VLOOKUP($A41,每日销量追踪!$A$3:$CM$75,3,0)</f>
        <v>0</v>
      </c>
      <c r="AF41" s="243">
        <f>VLOOKUP($A41,每日销量追踪!$A$3:$CM$75,30,0)</f>
        <v>3384.8639999999914</v>
      </c>
      <c r="AG41" s="260">
        <f>VLOOKUP($A41,每日销量追踪!$A$3:$CM$75,42,0)</f>
        <v>0</v>
      </c>
      <c r="AH41" s="243">
        <v>75</v>
      </c>
    </row>
  </sheetData>
  <phoneticPr fontId="16" type="noConversion"/>
  <conditionalFormatting sqref="A5:A900">
    <cfRule type="cellIs" dxfId="20" priority="1" operator="equal">
      <formula>$A$1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workbookViewId="0">
      <pane xSplit="1" ySplit="2" topLeftCell="B27" activePane="bottomRight" state="frozen"/>
      <selection pane="topRight"/>
      <selection pane="bottomLeft"/>
      <selection pane="bottomRight" activeCell="B37" sqref="B37:O38"/>
    </sheetView>
  </sheetViews>
  <sheetFormatPr defaultColWidth="9" defaultRowHeight="14.25" outlineLevelCol="1"/>
  <cols>
    <col min="1" max="1" width="12.25" customWidth="1"/>
    <col min="2" max="2" width="10.125" customWidth="1"/>
    <col min="3" max="3" width="8.875" hidden="1" customWidth="1" outlineLevel="1"/>
    <col min="4" max="4" width="8.875" style="1" hidden="1" customWidth="1" outlineLevel="1"/>
    <col min="5" max="5" width="9.5" hidden="1" customWidth="1" outlineLevel="1"/>
    <col min="6" max="6" width="10.5" hidden="1" customWidth="1" outlineLevel="1"/>
    <col min="7" max="7" width="13.125" hidden="1" customWidth="1" outlineLevel="1"/>
    <col min="8" max="8" width="9.125" hidden="1" customWidth="1" outlineLevel="1"/>
    <col min="9" max="9" width="13.125" style="1" hidden="1" customWidth="1" outlineLevel="1"/>
    <col min="10" max="10" width="9.125" hidden="1" customWidth="1" outlineLevel="1"/>
    <col min="11" max="11" width="14.75" hidden="1" customWidth="1" outlineLevel="1"/>
    <col min="12" max="14" width="9.875" hidden="1" customWidth="1" outlineLevel="1"/>
    <col min="15" max="15" width="8.875" customWidth="1" collapsed="1"/>
    <col min="16" max="16" width="4.875" hidden="1" customWidth="1" outlineLevel="1"/>
    <col min="17" max="17" width="13.5" hidden="1" customWidth="1" outlineLevel="1"/>
    <col min="18" max="18" width="11" hidden="1" customWidth="1" outlineLevel="1"/>
    <col min="19" max="21" width="11.125" hidden="1" customWidth="1" outlineLevel="1"/>
    <col min="22" max="22" width="11.125" hidden="1" customWidth="1" collapsed="1"/>
    <col min="23" max="30" width="11.125" hidden="1" customWidth="1"/>
    <col min="31" max="31" width="11.125" hidden="1" customWidth="1" outlineLevel="1"/>
    <col min="32" max="33" width="10.125" hidden="1" customWidth="1" outlineLevel="1"/>
    <col min="34" max="34" width="11.125" hidden="1" customWidth="1" outlineLevel="1"/>
    <col min="35" max="35" width="9" collapsed="1"/>
  </cols>
  <sheetData>
    <row r="1" spans="1:34">
      <c r="A1" s="2">
        <f ca="1">TODAY()</f>
        <v>44536</v>
      </c>
      <c r="B1" s="3"/>
      <c r="O1" s="3"/>
      <c r="R1" s="3"/>
      <c r="S1" s="3"/>
      <c r="T1" s="3"/>
      <c r="U1" s="3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"/>
      <c r="AG1" s="3"/>
      <c r="AH1" s="3"/>
    </row>
    <row r="2" spans="1:34" ht="42" customHeight="1">
      <c r="A2" s="4" t="s">
        <v>41</v>
      </c>
      <c r="B2" s="4" t="s">
        <v>74</v>
      </c>
      <c r="C2" s="5" t="s">
        <v>75</v>
      </c>
      <c r="D2" s="6" t="s">
        <v>5</v>
      </c>
      <c r="E2" s="7" t="s">
        <v>76</v>
      </c>
      <c r="F2" s="7" t="s">
        <v>77</v>
      </c>
      <c r="G2" s="8" t="s">
        <v>78</v>
      </c>
      <c r="H2" s="9" t="s">
        <v>79</v>
      </c>
      <c r="I2" s="22" t="s">
        <v>80</v>
      </c>
      <c r="J2" s="23" t="s">
        <v>81</v>
      </c>
      <c r="K2" s="24" t="s">
        <v>82</v>
      </c>
      <c r="L2" s="8" t="s">
        <v>10</v>
      </c>
      <c r="M2" s="9" t="s">
        <v>11</v>
      </c>
      <c r="N2" s="9" t="s">
        <v>83</v>
      </c>
      <c r="O2" s="9" t="s">
        <v>84</v>
      </c>
      <c r="P2" s="9" t="s">
        <v>85</v>
      </c>
      <c r="Q2" s="9" t="s">
        <v>86</v>
      </c>
      <c r="R2" s="9" t="s">
        <v>87</v>
      </c>
      <c r="S2" s="32" t="s">
        <v>61</v>
      </c>
      <c r="T2" s="32" t="s">
        <v>62</v>
      </c>
      <c r="U2" s="32" t="s">
        <v>88</v>
      </c>
      <c r="V2" s="32" t="s">
        <v>89</v>
      </c>
      <c r="W2" s="32" t="s">
        <v>90</v>
      </c>
      <c r="X2" s="32" t="s">
        <v>91</v>
      </c>
      <c r="Y2" s="32" t="s">
        <v>92</v>
      </c>
      <c r="Z2" s="32" t="s">
        <v>93</v>
      </c>
      <c r="AA2" s="32" t="s">
        <v>94</v>
      </c>
      <c r="AB2" s="32" t="s">
        <v>95</v>
      </c>
      <c r="AC2" s="32" t="s">
        <v>96</v>
      </c>
      <c r="AD2" s="32" t="s">
        <v>97</v>
      </c>
      <c r="AE2" s="245" t="s">
        <v>102</v>
      </c>
      <c r="AF2" s="39" t="s">
        <v>103</v>
      </c>
      <c r="AG2" s="245" t="s">
        <v>100</v>
      </c>
      <c r="AH2" s="39" t="s">
        <v>104</v>
      </c>
    </row>
    <row r="3" spans="1:34">
      <c r="A3" s="10">
        <v>44501</v>
      </c>
      <c r="B3" s="11"/>
      <c r="C3" s="12">
        <f t="shared" ref="C3:C41" si="0">H3*G3+J3*I3+K3</f>
        <v>-1826.0499999999997</v>
      </c>
      <c r="D3" s="12">
        <f>5190+C3</f>
        <v>3363.9500000000003</v>
      </c>
      <c r="E3" s="12"/>
      <c r="F3" s="13"/>
      <c r="G3" s="14">
        <f>IF((Q3-L3)&lt;0,-(Q3-L3)/2,IF((Q3-L3)&gt;0,-(Q3-M3)/2,0))+R3</f>
        <v>-2573.5</v>
      </c>
      <c r="H3" s="15">
        <v>0.7</v>
      </c>
      <c r="I3" s="15">
        <f>U3</f>
        <v>-82</v>
      </c>
      <c r="J3" s="25">
        <v>0.3</v>
      </c>
      <c r="K3" s="25"/>
      <c r="L3" s="26">
        <v>16</v>
      </c>
      <c r="M3" s="26">
        <v>23</v>
      </c>
      <c r="N3" s="27"/>
      <c r="O3" s="11"/>
      <c r="P3" s="11">
        <v>20</v>
      </c>
      <c r="Q3" s="33">
        <f>5190-(P3+O3)</f>
        <v>5170</v>
      </c>
      <c r="R3" s="257">
        <v>0</v>
      </c>
      <c r="S3" s="258">
        <f>'青岛 - 螺纹'!S3</f>
        <v>4630</v>
      </c>
      <c r="T3" s="36">
        <v>4712</v>
      </c>
      <c r="U3" s="15">
        <f>S3-T3</f>
        <v>-82</v>
      </c>
      <c r="V3" s="26">
        <v>565</v>
      </c>
      <c r="W3" s="26">
        <v>577.5</v>
      </c>
      <c r="X3" s="26">
        <f>V3-W3</f>
        <v>-12.5</v>
      </c>
      <c r="Y3" s="26">
        <v>3040</v>
      </c>
      <c r="Z3" s="26">
        <v>3041</v>
      </c>
      <c r="AA3" s="26">
        <f>Y3-Z3</f>
        <v>-1</v>
      </c>
      <c r="AB3" s="26"/>
      <c r="AC3" s="26"/>
      <c r="AD3" s="26">
        <f>AB3-AC3</f>
        <v>0</v>
      </c>
      <c r="AE3" s="246"/>
      <c r="AF3" s="246"/>
      <c r="AG3" s="246"/>
      <c r="AH3" s="246"/>
    </row>
    <row r="4" spans="1:34">
      <c r="A4" s="16">
        <f>A3+1</f>
        <v>44502</v>
      </c>
      <c r="B4" s="17"/>
      <c r="C4" s="18">
        <f t="shared" si="0"/>
        <v>-26.699999999999996</v>
      </c>
      <c r="D4" s="18">
        <f>B3+C4</f>
        <v>-26.699999999999996</v>
      </c>
      <c r="E4" s="18">
        <f t="shared" ref="E4:E41" si="1">D3</f>
        <v>3363.9500000000003</v>
      </c>
      <c r="F4" s="19"/>
      <c r="G4" s="14">
        <f>IF((Q4-L4)&lt;0,-(Q4-L4)/2,IF((Q4-L4)&gt;0,-(Q4-M4)/2,0))+R4</f>
        <v>18</v>
      </c>
      <c r="H4" s="20">
        <f>H3</f>
        <v>0.7</v>
      </c>
      <c r="I4" s="20">
        <f>U4</f>
        <v>-131</v>
      </c>
      <c r="J4" s="28">
        <f>J3</f>
        <v>0.3</v>
      </c>
      <c r="K4" s="28"/>
      <c r="L4" s="20">
        <f>L3</f>
        <v>16</v>
      </c>
      <c r="M4" s="20">
        <f>M3</f>
        <v>23</v>
      </c>
      <c r="N4" s="29"/>
      <c r="O4" s="17"/>
      <c r="P4" s="18">
        <f>P3</f>
        <v>20</v>
      </c>
      <c r="Q4" s="14">
        <f t="shared" ref="Q4:Q41" si="2">B3-(O3+P3)</f>
        <v>-20</v>
      </c>
      <c r="R4" s="259">
        <f>O4-O3</f>
        <v>0</v>
      </c>
      <c r="S4" s="248">
        <f>'青岛 - 螺纹'!S4</f>
        <v>4499</v>
      </c>
      <c r="T4" s="38">
        <f>S3</f>
        <v>4630</v>
      </c>
      <c r="U4" s="20">
        <f t="shared" ref="U4:U41" si="3">S4-T4</f>
        <v>-131</v>
      </c>
      <c r="V4" s="30"/>
      <c r="W4" s="30"/>
      <c r="X4" s="30">
        <f t="shared" ref="X4" si="4">V4-W4</f>
        <v>0</v>
      </c>
      <c r="Y4" s="30"/>
      <c r="Z4" s="30"/>
      <c r="AA4" s="30">
        <f t="shared" ref="AA4" si="5">Y4-Z4</f>
        <v>0</v>
      </c>
      <c r="AB4" s="30"/>
      <c r="AC4" s="30"/>
      <c r="AD4" s="30">
        <f t="shared" ref="AD4" si="6">AB4-AC4</f>
        <v>0</v>
      </c>
      <c r="AE4" s="247"/>
      <c r="AF4" s="247"/>
      <c r="AG4" s="247"/>
      <c r="AH4" s="247"/>
    </row>
    <row r="5" spans="1:34">
      <c r="A5" s="16">
        <f t="shared" ref="A5:A41" si="7">A4+1</f>
        <v>44503</v>
      </c>
      <c r="B5" s="17"/>
      <c r="C5" s="18">
        <f t="shared" si="0"/>
        <v>-62.1</v>
      </c>
      <c r="D5" s="18">
        <f t="shared" ref="D5:D41" si="8">B4+C5</f>
        <v>-62.1</v>
      </c>
      <c r="E5" s="18">
        <f t="shared" si="1"/>
        <v>-26.699999999999996</v>
      </c>
      <c r="F5" s="19"/>
      <c r="G5" s="14">
        <f t="shared" ref="G5:G41" si="9">IF((Q5-L5)&lt;0,-(Q5-L5)/2,IF((Q5-L5)&gt;0,-(Q5-M5)/2,0))+R5</f>
        <v>18</v>
      </c>
      <c r="H5" s="20">
        <f t="shared" ref="H5:H41" si="10">H4</f>
        <v>0.7</v>
      </c>
      <c r="I5" s="20">
        <f t="shared" ref="I5:I41" si="11">U5</f>
        <v>-249</v>
      </c>
      <c r="J5" s="28">
        <f t="shared" ref="J5:J41" si="12">J4</f>
        <v>0.3</v>
      </c>
      <c r="K5" s="28"/>
      <c r="L5" s="20">
        <f t="shared" ref="L5:M20" si="13">L4</f>
        <v>16</v>
      </c>
      <c r="M5" s="20">
        <f t="shared" si="13"/>
        <v>23</v>
      </c>
      <c r="N5" s="29"/>
      <c r="O5" s="17"/>
      <c r="P5" s="18">
        <f t="shared" ref="P5:P41" si="14">P4</f>
        <v>20</v>
      </c>
      <c r="Q5" s="14">
        <f t="shared" si="2"/>
        <v>-20</v>
      </c>
      <c r="R5" s="259">
        <f t="shared" ref="R5:R41" si="15">O5-O4</f>
        <v>0</v>
      </c>
      <c r="S5" s="248">
        <f>'青岛 - 螺纹'!S5</f>
        <v>4250</v>
      </c>
      <c r="T5" s="38">
        <f t="shared" ref="T5:T41" si="16">S4</f>
        <v>4499</v>
      </c>
      <c r="U5" s="20">
        <f t="shared" si="3"/>
        <v>-249</v>
      </c>
      <c r="V5" s="30"/>
      <c r="W5" s="30"/>
      <c r="X5" s="30"/>
      <c r="Y5" s="30"/>
      <c r="Z5" s="30"/>
      <c r="AA5" s="30"/>
      <c r="AB5" s="30"/>
      <c r="AC5" s="30"/>
      <c r="AD5" s="30"/>
      <c r="AE5" s="247"/>
      <c r="AF5" s="247"/>
      <c r="AG5" s="247"/>
      <c r="AH5" s="247"/>
    </row>
    <row r="6" spans="1:34">
      <c r="A6" s="16">
        <f t="shared" si="7"/>
        <v>44504</v>
      </c>
      <c r="B6" s="17"/>
      <c r="C6" s="18">
        <f t="shared" si="0"/>
        <v>57</v>
      </c>
      <c r="D6" s="18">
        <f t="shared" si="8"/>
        <v>57</v>
      </c>
      <c r="E6" s="18">
        <f t="shared" si="1"/>
        <v>-62.1</v>
      </c>
      <c r="F6" s="19"/>
      <c r="G6" s="14">
        <f t="shared" si="9"/>
        <v>18</v>
      </c>
      <c r="H6" s="20">
        <f t="shared" si="10"/>
        <v>0.7</v>
      </c>
      <c r="I6" s="20">
        <f t="shared" si="11"/>
        <v>148</v>
      </c>
      <c r="J6" s="28">
        <f t="shared" si="12"/>
        <v>0.3</v>
      </c>
      <c r="K6" s="28"/>
      <c r="L6" s="20">
        <f t="shared" si="13"/>
        <v>16</v>
      </c>
      <c r="M6" s="20">
        <f t="shared" si="13"/>
        <v>23</v>
      </c>
      <c r="N6" s="29"/>
      <c r="O6" s="17"/>
      <c r="P6" s="18">
        <f t="shared" si="14"/>
        <v>20</v>
      </c>
      <c r="Q6" s="14">
        <f t="shared" si="2"/>
        <v>-20</v>
      </c>
      <c r="R6" s="259">
        <f t="shared" si="15"/>
        <v>0</v>
      </c>
      <c r="S6" s="248">
        <f>'青岛 - 螺纹'!S6</f>
        <v>4398</v>
      </c>
      <c r="T6" s="38">
        <f t="shared" si="16"/>
        <v>4250</v>
      </c>
      <c r="U6" s="20">
        <f t="shared" si="3"/>
        <v>148</v>
      </c>
      <c r="V6" s="30"/>
      <c r="W6" s="30"/>
      <c r="X6" s="30"/>
      <c r="Y6" s="30"/>
      <c r="Z6" s="30"/>
      <c r="AA6" s="30"/>
      <c r="AB6" s="30"/>
      <c r="AC6" s="30"/>
      <c r="AD6" s="30"/>
      <c r="AE6" s="247"/>
      <c r="AF6" s="247"/>
      <c r="AG6" s="247"/>
      <c r="AH6" s="247"/>
    </row>
    <row r="7" spans="1:34">
      <c r="A7" s="16">
        <f t="shared" si="7"/>
        <v>44505</v>
      </c>
      <c r="B7" s="17"/>
      <c r="C7" s="18">
        <f t="shared" si="0"/>
        <v>-35.4</v>
      </c>
      <c r="D7" s="18">
        <f t="shared" si="8"/>
        <v>-35.4</v>
      </c>
      <c r="E7" s="18">
        <f t="shared" si="1"/>
        <v>57</v>
      </c>
      <c r="F7" s="19"/>
      <c r="G7" s="14">
        <f t="shared" si="9"/>
        <v>18</v>
      </c>
      <c r="H7" s="20">
        <f t="shared" si="10"/>
        <v>0.7</v>
      </c>
      <c r="I7" s="20">
        <f t="shared" si="11"/>
        <v>-160</v>
      </c>
      <c r="J7" s="28">
        <f t="shared" si="12"/>
        <v>0.3</v>
      </c>
      <c r="K7" s="28"/>
      <c r="L7" s="20">
        <f t="shared" si="13"/>
        <v>16</v>
      </c>
      <c r="M7" s="20">
        <f t="shared" si="13"/>
        <v>23</v>
      </c>
      <c r="N7" s="29"/>
      <c r="O7" s="17"/>
      <c r="P7" s="18">
        <f t="shared" si="14"/>
        <v>20</v>
      </c>
      <c r="Q7" s="14">
        <f t="shared" si="2"/>
        <v>-20</v>
      </c>
      <c r="R7" s="259">
        <f t="shared" si="15"/>
        <v>0</v>
      </c>
      <c r="S7" s="248">
        <f>'青岛 - 螺纹'!S7</f>
        <v>4238</v>
      </c>
      <c r="T7" s="38">
        <f t="shared" si="16"/>
        <v>4398</v>
      </c>
      <c r="U7" s="20">
        <f t="shared" si="3"/>
        <v>-160</v>
      </c>
      <c r="V7" s="30"/>
      <c r="W7" s="30"/>
      <c r="X7" s="30"/>
      <c r="Y7" s="30"/>
      <c r="Z7" s="30"/>
      <c r="AA7" s="30"/>
      <c r="AB7" s="30"/>
      <c r="AC7" s="30"/>
      <c r="AD7" s="30"/>
      <c r="AE7" s="247"/>
      <c r="AF7" s="247"/>
      <c r="AG7" s="247"/>
      <c r="AH7" s="247"/>
    </row>
    <row r="8" spans="1:34">
      <c r="A8" s="16">
        <f t="shared" si="7"/>
        <v>44506</v>
      </c>
      <c r="B8" s="17"/>
      <c r="C8" s="18">
        <f t="shared" si="0"/>
        <v>12.6</v>
      </c>
      <c r="D8" s="18">
        <f t="shared" si="8"/>
        <v>12.6</v>
      </c>
      <c r="E8" s="18">
        <f t="shared" si="1"/>
        <v>-35.4</v>
      </c>
      <c r="F8" s="19"/>
      <c r="G8" s="14">
        <f t="shared" si="9"/>
        <v>18</v>
      </c>
      <c r="H8" s="20">
        <f t="shared" si="10"/>
        <v>0.7</v>
      </c>
      <c r="I8" s="20">
        <f t="shared" si="11"/>
        <v>0</v>
      </c>
      <c r="J8" s="28">
        <f t="shared" si="12"/>
        <v>0.3</v>
      </c>
      <c r="K8" s="28"/>
      <c r="L8" s="20">
        <f t="shared" si="13"/>
        <v>16</v>
      </c>
      <c r="M8" s="20">
        <f t="shared" si="13"/>
        <v>23</v>
      </c>
      <c r="N8" s="29"/>
      <c r="O8" s="17"/>
      <c r="P8" s="18">
        <f t="shared" si="14"/>
        <v>20</v>
      </c>
      <c r="Q8" s="14">
        <f t="shared" si="2"/>
        <v>-20</v>
      </c>
      <c r="R8" s="259">
        <f t="shared" si="15"/>
        <v>0</v>
      </c>
      <c r="S8" s="248">
        <f>'青岛 - 螺纹'!S8</f>
        <v>4238</v>
      </c>
      <c r="T8" s="38">
        <f t="shared" si="16"/>
        <v>4238</v>
      </c>
      <c r="U8" s="20">
        <f t="shared" si="3"/>
        <v>0</v>
      </c>
      <c r="V8" s="30"/>
      <c r="W8" s="30"/>
      <c r="X8" s="30"/>
      <c r="Y8" s="30"/>
      <c r="Z8" s="30"/>
      <c r="AA8" s="30"/>
      <c r="AB8" s="30"/>
      <c r="AC8" s="30"/>
      <c r="AD8" s="30"/>
      <c r="AE8" s="247"/>
      <c r="AF8" s="247"/>
      <c r="AG8" s="247"/>
      <c r="AH8" s="247"/>
    </row>
    <row r="9" spans="1:34">
      <c r="A9" s="16">
        <f t="shared" si="7"/>
        <v>44507</v>
      </c>
      <c r="B9" s="17"/>
      <c r="C9" s="18">
        <f t="shared" si="0"/>
        <v>12.6</v>
      </c>
      <c r="D9" s="18">
        <f t="shared" si="8"/>
        <v>12.6</v>
      </c>
      <c r="E9" s="18">
        <f t="shared" si="1"/>
        <v>12.6</v>
      </c>
      <c r="F9" s="19"/>
      <c r="G9" s="14">
        <f t="shared" si="9"/>
        <v>18</v>
      </c>
      <c r="H9" s="20">
        <f t="shared" si="10"/>
        <v>0.7</v>
      </c>
      <c r="I9" s="20">
        <f t="shared" si="11"/>
        <v>0</v>
      </c>
      <c r="J9" s="28">
        <f t="shared" si="12"/>
        <v>0.3</v>
      </c>
      <c r="K9" s="28"/>
      <c r="L9" s="20">
        <f t="shared" si="13"/>
        <v>16</v>
      </c>
      <c r="M9" s="20">
        <f t="shared" si="13"/>
        <v>23</v>
      </c>
      <c r="N9" s="29"/>
      <c r="O9" s="17"/>
      <c r="P9" s="18">
        <f t="shared" si="14"/>
        <v>20</v>
      </c>
      <c r="Q9" s="14">
        <f t="shared" si="2"/>
        <v>-20</v>
      </c>
      <c r="R9" s="259">
        <f t="shared" si="15"/>
        <v>0</v>
      </c>
      <c r="S9" s="248">
        <f>'青岛 - 螺纹'!S9</f>
        <v>4238</v>
      </c>
      <c r="T9" s="38">
        <f t="shared" si="16"/>
        <v>4238</v>
      </c>
      <c r="U9" s="20">
        <f t="shared" si="3"/>
        <v>0</v>
      </c>
      <c r="V9" s="30"/>
      <c r="W9" s="30"/>
      <c r="X9" s="30"/>
      <c r="Y9" s="30"/>
      <c r="Z9" s="30"/>
      <c r="AA9" s="30"/>
      <c r="AB9" s="30"/>
      <c r="AC9" s="30"/>
      <c r="AD9" s="30"/>
      <c r="AE9" s="247"/>
      <c r="AF9" s="247"/>
      <c r="AG9" s="247"/>
      <c r="AH9" s="247"/>
    </row>
    <row r="10" spans="1:34">
      <c r="A10" s="16">
        <f t="shared" si="7"/>
        <v>44508</v>
      </c>
      <c r="B10" s="17"/>
      <c r="C10" s="18">
        <f t="shared" si="0"/>
        <v>17.7</v>
      </c>
      <c r="D10" s="18">
        <f t="shared" si="8"/>
        <v>17.7</v>
      </c>
      <c r="E10" s="18">
        <f t="shared" si="1"/>
        <v>12.6</v>
      </c>
      <c r="F10" s="19"/>
      <c r="G10" s="14">
        <f t="shared" si="9"/>
        <v>18</v>
      </c>
      <c r="H10" s="20">
        <f t="shared" si="10"/>
        <v>0.7</v>
      </c>
      <c r="I10" s="20">
        <f t="shared" si="11"/>
        <v>17</v>
      </c>
      <c r="J10" s="28">
        <f t="shared" si="12"/>
        <v>0.3</v>
      </c>
      <c r="K10" s="28"/>
      <c r="L10" s="20">
        <f t="shared" si="13"/>
        <v>16</v>
      </c>
      <c r="M10" s="20">
        <f t="shared" si="13"/>
        <v>23</v>
      </c>
      <c r="N10" s="29"/>
      <c r="O10" s="17"/>
      <c r="P10" s="18">
        <f t="shared" si="14"/>
        <v>20</v>
      </c>
      <c r="Q10" s="14">
        <f t="shared" si="2"/>
        <v>-20</v>
      </c>
      <c r="R10" s="259">
        <f t="shared" si="15"/>
        <v>0</v>
      </c>
      <c r="S10" s="248">
        <f>'青岛 - 螺纹'!S10</f>
        <v>4255</v>
      </c>
      <c r="T10" s="38">
        <f t="shared" si="16"/>
        <v>4238</v>
      </c>
      <c r="U10" s="20">
        <f t="shared" si="3"/>
        <v>17</v>
      </c>
      <c r="V10" s="30"/>
      <c r="W10" s="30"/>
      <c r="X10" s="30"/>
      <c r="Y10" s="30"/>
      <c r="Z10" s="30"/>
      <c r="AA10" s="30"/>
      <c r="AB10" s="30"/>
      <c r="AC10" s="30"/>
      <c r="AD10" s="30"/>
      <c r="AE10" s="247"/>
      <c r="AF10" s="248"/>
      <c r="AG10" s="248"/>
      <c r="AH10" s="247"/>
    </row>
    <row r="11" spans="1:34">
      <c r="A11" s="16">
        <f t="shared" si="7"/>
        <v>44509</v>
      </c>
      <c r="B11" s="17"/>
      <c r="C11" s="18">
        <f t="shared" si="0"/>
        <v>12.6</v>
      </c>
      <c r="D11" s="18">
        <f t="shared" si="8"/>
        <v>12.6</v>
      </c>
      <c r="E11" s="18">
        <f t="shared" si="1"/>
        <v>17.7</v>
      </c>
      <c r="F11" s="19"/>
      <c r="G11" s="14">
        <f t="shared" si="9"/>
        <v>18</v>
      </c>
      <c r="H11" s="20">
        <f t="shared" si="10"/>
        <v>0.7</v>
      </c>
      <c r="I11" s="20">
        <f t="shared" si="11"/>
        <v>0</v>
      </c>
      <c r="J11" s="28">
        <f t="shared" si="12"/>
        <v>0.3</v>
      </c>
      <c r="K11" s="28"/>
      <c r="L11" s="20">
        <f t="shared" si="13"/>
        <v>16</v>
      </c>
      <c r="M11" s="20">
        <f t="shared" si="13"/>
        <v>23</v>
      </c>
      <c r="N11" s="29"/>
      <c r="O11" s="17"/>
      <c r="P11" s="18">
        <f t="shared" si="14"/>
        <v>20</v>
      </c>
      <c r="Q11" s="14">
        <f t="shared" si="2"/>
        <v>-20</v>
      </c>
      <c r="R11" s="259">
        <f t="shared" si="15"/>
        <v>0</v>
      </c>
      <c r="S11" s="248">
        <f>'青岛 - 螺纹'!S11</f>
        <v>4255</v>
      </c>
      <c r="T11" s="38">
        <f t="shared" si="16"/>
        <v>4255</v>
      </c>
      <c r="U11" s="20">
        <f t="shared" si="3"/>
        <v>0</v>
      </c>
      <c r="V11" s="30"/>
      <c r="W11" s="30"/>
      <c r="X11" s="30"/>
      <c r="Y11" s="30"/>
      <c r="Z11" s="30"/>
      <c r="AA11" s="30"/>
      <c r="AB11" s="30"/>
      <c r="AC11" s="30"/>
      <c r="AD11" s="30"/>
      <c r="AE11" s="247"/>
      <c r="AF11" s="248"/>
      <c r="AG11" s="248"/>
      <c r="AH11" s="247"/>
    </row>
    <row r="12" spans="1:34">
      <c r="A12" s="16">
        <f t="shared" si="7"/>
        <v>44510</v>
      </c>
      <c r="B12" s="17"/>
      <c r="C12" s="18">
        <f t="shared" si="0"/>
        <v>23.1</v>
      </c>
      <c r="D12" s="18">
        <f t="shared" si="8"/>
        <v>23.1</v>
      </c>
      <c r="E12" s="18">
        <f t="shared" si="1"/>
        <v>12.6</v>
      </c>
      <c r="F12" s="19"/>
      <c r="G12" s="14">
        <f t="shared" si="9"/>
        <v>18</v>
      </c>
      <c r="H12" s="20">
        <f t="shared" si="10"/>
        <v>0.7</v>
      </c>
      <c r="I12" s="20">
        <f t="shared" si="11"/>
        <v>35</v>
      </c>
      <c r="J12" s="28">
        <f t="shared" si="12"/>
        <v>0.3</v>
      </c>
      <c r="K12" s="28"/>
      <c r="L12" s="20">
        <f t="shared" si="13"/>
        <v>16</v>
      </c>
      <c r="M12" s="20">
        <f t="shared" si="13"/>
        <v>23</v>
      </c>
      <c r="N12" s="29"/>
      <c r="O12" s="17"/>
      <c r="P12" s="18">
        <f t="shared" si="14"/>
        <v>20</v>
      </c>
      <c r="Q12" s="14">
        <f t="shared" si="2"/>
        <v>-20</v>
      </c>
      <c r="R12" s="259">
        <f t="shared" si="15"/>
        <v>0</v>
      </c>
      <c r="S12" s="248">
        <f>'青岛 - 螺纹'!S12</f>
        <v>4290</v>
      </c>
      <c r="T12" s="38">
        <f t="shared" si="16"/>
        <v>4255</v>
      </c>
      <c r="U12" s="20">
        <f t="shared" si="3"/>
        <v>35</v>
      </c>
      <c r="V12" s="30"/>
      <c r="W12" s="30"/>
      <c r="X12" s="30"/>
      <c r="Y12" s="30"/>
      <c r="Z12" s="30"/>
      <c r="AA12" s="30"/>
      <c r="AB12" s="30"/>
      <c r="AC12" s="30"/>
      <c r="AD12" s="30"/>
      <c r="AE12" s="247"/>
      <c r="AF12" s="248"/>
      <c r="AG12" s="248"/>
      <c r="AH12" s="248">
        <v>75</v>
      </c>
    </row>
    <row r="13" spans="1:34">
      <c r="A13" s="16">
        <f t="shared" si="7"/>
        <v>44511</v>
      </c>
      <c r="B13" s="17"/>
      <c r="C13" s="18">
        <f t="shared" si="0"/>
        <v>-8.7000000000000011</v>
      </c>
      <c r="D13" s="18">
        <f t="shared" si="8"/>
        <v>-8.7000000000000011</v>
      </c>
      <c r="E13" s="18">
        <f t="shared" si="1"/>
        <v>23.1</v>
      </c>
      <c r="F13" s="19"/>
      <c r="G13" s="14">
        <f t="shared" si="9"/>
        <v>18</v>
      </c>
      <c r="H13" s="20">
        <f t="shared" si="10"/>
        <v>0.7</v>
      </c>
      <c r="I13" s="20">
        <f t="shared" si="11"/>
        <v>-71</v>
      </c>
      <c r="J13" s="28">
        <f t="shared" si="12"/>
        <v>0.3</v>
      </c>
      <c r="K13" s="28"/>
      <c r="L13" s="20">
        <f t="shared" si="13"/>
        <v>16</v>
      </c>
      <c r="M13" s="20">
        <f t="shared" si="13"/>
        <v>23</v>
      </c>
      <c r="N13" s="29"/>
      <c r="O13" s="17"/>
      <c r="P13" s="18">
        <f t="shared" si="14"/>
        <v>20</v>
      </c>
      <c r="Q13" s="14">
        <f t="shared" si="2"/>
        <v>-20</v>
      </c>
      <c r="R13" s="259">
        <f t="shared" si="15"/>
        <v>0</v>
      </c>
      <c r="S13" s="248">
        <f>'青岛 - 螺纹'!S13</f>
        <v>4219</v>
      </c>
      <c r="T13" s="38">
        <f t="shared" si="16"/>
        <v>4290</v>
      </c>
      <c r="U13" s="20">
        <f t="shared" si="3"/>
        <v>-71</v>
      </c>
      <c r="V13" s="30"/>
      <c r="W13" s="30"/>
      <c r="X13" s="30"/>
      <c r="Y13" s="30"/>
      <c r="Z13" s="30"/>
      <c r="AA13" s="30"/>
      <c r="AB13" s="30"/>
      <c r="AC13" s="30"/>
      <c r="AD13" s="30"/>
      <c r="AE13" s="247"/>
      <c r="AF13" s="248"/>
      <c r="AG13" s="248"/>
      <c r="AH13" s="248">
        <v>75</v>
      </c>
    </row>
    <row r="14" spans="1:34">
      <c r="A14" s="16">
        <f t="shared" si="7"/>
        <v>44512</v>
      </c>
      <c r="B14" s="17"/>
      <c r="C14" s="18">
        <f t="shared" si="0"/>
        <v>74.399999999999991</v>
      </c>
      <c r="D14" s="18">
        <f t="shared" si="8"/>
        <v>74.399999999999991</v>
      </c>
      <c r="E14" s="18">
        <f t="shared" si="1"/>
        <v>-8.7000000000000011</v>
      </c>
      <c r="F14" s="19"/>
      <c r="G14" s="14">
        <f t="shared" si="9"/>
        <v>18</v>
      </c>
      <c r="H14" s="20">
        <f t="shared" si="10"/>
        <v>0.7</v>
      </c>
      <c r="I14" s="20">
        <f t="shared" si="11"/>
        <v>206</v>
      </c>
      <c r="J14" s="28">
        <f t="shared" si="12"/>
        <v>0.3</v>
      </c>
      <c r="K14" s="28"/>
      <c r="L14" s="20">
        <f t="shared" si="13"/>
        <v>16</v>
      </c>
      <c r="M14" s="20">
        <f t="shared" si="13"/>
        <v>23</v>
      </c>
      <c r="N14" s="29"/>
      <c r="O14" s="17"/>
      <c r="P14" s="18">
        <f t="shared" si="14"/>
        <v>20</v>
      </c>
      <c r="Q14" s="14">
        <f t="shared" si="2"/>
        <v>-20</v>
      </c>
      <c r="R14" s="259">
        <f t="shared" si="15"/>
        <v>0</v>
      </c>
      <c r="S14" s="248">
        <f>'青岛 - 螺纹'!S14</f>
        <v>4425</v>
      </c>
      <c r="T14" s="38">
        <f t="shared" si="16"/>
        <v>4219</v>
      </c>
      <c r="U14" s="20">
        <f t="shared" si="3"/>
        <v>206</v>
      </c>
      <c r="V14" s="30"/>
      <c r="W14" s="30"/>
      <c r="X14" s="30"/>
      <c r="Y14" s="30"/>
      <c r="Z14" s="30"/>
      <c r="AA14" s="30"/>
      <c r="AB14" s="30"/>
      <c r="AC14" s="30"/>
      <c r="AD14" s="30"/>
      <c r="AE14" s="247"/>
      <c r="AF14" s="248"/>
      <c r="AG14" s="248"/>
      <c r="AH14" s="248">
        <v>75</v>
      </c>
    </row>
    <row r="15" spans="1:34">
      <c r="A15" s="16">
        <f t="shared" si="7"/>
        <v>44513</v>
      </c>
      <c r="B15" s="17"/>
      <c r="C15" s="18">
        <f t="shared" si="0"/>
        <v>-1314.9</v>
      </c>
      <c r="D15" s="18">
        <f t="shared" si="8"/>
        <v>-1314.9</v>
      </c>
      <c r="E15" s="18">
        <f t="shared" si="1"/>
        <v>74.399999999999991</v>
      </c>
      <c r="F15" s="19"/>
      <c r="G15" s="14">
        <f t="shared" si="9"/>
        <v>18</v>
      </c>
      <c r="H15" s="20">
        <f t="shared" si="10"/>
        <v>0.7</v>
      </c>
      <c r="I15" s="20">
        <f t="shared" si="11"/>
        <v>-4425</v>
      </c>
      <c r="J15" s="28">
        <f t="shared" si="12"/>
        <v>0.3</v>
      </c>
      <c r="K15" s="28"/>
      <c r="L15" s="20">
        <f t="shared" si="13"/>
        <v>16</v>
      </c>
      <c r="M15" s="20">
        <f t="shared" si="13"/>
        <v>23</v>
      </c>
      <c r="N15" s="29"/>
      <c r="O15" s="17"/>
      <c r="P15" s="18">
        <f t="shared" si="14"/>
        <v>20</v>
      </c>
      <c r="Q15" s="14">
        <f t="shared" si="2"/>
        <v>-20</v>
      </c>
      <c r="R15" s="259">
        <f t="shared" si="15"/>
        <v>0</v>
      </c>
      <c r="S15" s="248">
        <f>'青岛 - 螺纹'!S15</f>
        <v>0</v>
      </c>
      <c r="T15" s="38">
        <f t="shared" si="16"/>
        <v>4425</v>
      </c>
      <c r="U15" s="20">
        <f t="shared" si="3"/>
        <v>-4425</v>
      </c>
      <c r="V15" s="30"/>
      <c r="W15" s="30"/>
      <c r="X15" s="30"/>
      <c r="Y15" s="30"/>
      <c r="Z15" s="30"/>
      <c r="AA15" s="30"/>
      <c r="AB15" s="30"/>
      <c r="AC15" s="30"/>
      <c r="AD15" s="30"/>
      <c r="AE15" s="247"/>
      <c r="AF15" s="248"/>
      <c r="AG15" s="251"/>
      <c r="AH15" s="248">
        <v>75</v>
      </c>
    </row>
    <row r="16" spans="1:34">
      <c r="A16" s="16">
        <f t="shared" si="7"/>
        <v>44514</v>
      </c>
      <c r="B16" s="239">
        <v>4620</v>
      </c>
      <c r="C16" s="18">
        <f t="shared" si="0"/>
        <v>4546.1000000000004</v>
      </c>
      <c r="D16" s="18">
        <f t="shared" si="8"/>
        <v>4546.1000000000004</v>
      </c>
      <c r="E16" s="18">
        <f t="shared" si="1"/>
        <v>-1314.9</v>
      </c>
      <c r="F16" s="19"/>
      <c r="G16" s="14">
        <f t="shared" si="9"/>
        <v>4598</v>
      </c>
      <c r="H16" s="20">
        <f t="shared" si="10"/>
        <v>0.7</v>
      </c>
      <c r="I16" s="20">
        <f t="shared" si="11"/>
        <v>4425</v>
      </c>
      <c r="J16" s="28">
        <f t="shared" si="12"/>
        <v>0.3</v>
      </c>
      <c r="K16" s="241">
        <f t="shared" ref="K16" si="17">MIN(-(AF16-AE15)/AH16,100)</f>
        <v>0</v>
      </c>
      <c r="L16" s="20">
        <f t="shared" si="13"/>
        <v>16</v>
      </c>
      <c r="M16" s="20">
        <f t="shared" si="13"/>
        <v>23</v>
      </c>
      <c r="N16" s="29"/>
      <c r="O16" s="239">
        <v>4580</v>
      </c>
      <c r="P16" s="18">
        <f t="shared" si="14"/>
        <v>20</v>
      </c>
      <c r="Q16" s="14">
        <f t="shared" si="2"/>
        <v>-20</v>
      </c>
      <c r="R16" s="259">
        <f t="shared" si="15"/>
        <v>4580</v>
      </c>
      <c r="S16" s="248">
        <f>'青岛 - 螺纹'!S16</f>
        <v>4425</v>
      </c>
      <c r="T16" s="38">
        <f t="shared" si="16"/>
        <v>0</v>
      </c>
      <c r="U16" s="20">
        <f t="shared" si="3"/>
        <v>4425</v>
      </c>
      <c r="V16" s="30"/>
      <c r="W16" s="30"/>
      <c r="X16" s="30"/>
      <c r="Y16" s="30"/>
      <c r="Z16" s="30"/>
      <c r="AA16" s="30"/>
      <c r="AB16" s="30"/>
      <c r="AC16" s="30"/>
      <c r="AD16" s="30"/>
      <c r="AE16" s="247"/>
      <c r="AF16" s="248"/>
      <c r="AG16" s="251"/>
      <c r="AH16" s="248">
        <v>75</v>
      </c>
    </row>
    <row r="17" spans="1:34">
      <c r="A17" s="16">
        <f t="shared" si="7"/>
        <v>44515</v>
      </c>
      <c r="B17" s="239">
        <v>4620</v>
      </c>
      <c r="C17" s="18">
        <f t="shared" si="0"/>
        <v>-117.95</v>
      </c>
      <c r="D17" s="18">
        <f t="shared" si="8"/>
        <v>4502.05</v>
      </c>
      <c r="E17" s="18">
        <f t="shared" si="1"/>
        <v>4546.1000000000004</v>
      </c>
      <c r="F17" s="19">
        <f>AG17</f>
        <v>0.2557254782254777</v>
      </c>
      <c r="G17" s="14">
        <f t="shared" si="9"/>
        <v>1.5</v>
      </c>
      <c r="H17" s="20">
        <f t="shared" si="10"/>
        <v>0.7</v>
      </c>
      <c r="I17" s="20">
        <f t="shared" si="11"/>
        <v>-230</v>
      </c>
      <c r="J17" s="28">
        <f t="shared" si="12"/>
        <v>0.3</v>
      </c>
      <c r="K17" s="241">
        <f>MIN(MAX((AG16-100%)*50,-50),50)</f>
        <v>-50</v>
      </c>
      <c r="L17" s="20">
        <f t="shared" si="13"/>
        <v>16</v>
      </c>
      <c r="M17" s="20">
        <f t="shared" si="13"/>
        <v>23</v>
      </c>
      <c r="N17" s="29"/>
      <c r="O17" s="239">
        <v>4580</v>
      </c>
      <c r="P17" s="18">
        <f t="shared" si="14"/>
        <v>20</v>
      </c>
      <c r="Q17" s="14">
        <f t="shared" si="2"/>
        <v>20</v>
      </c>
      <c r="R17" s="259">
        <f t="shared" si="15"/>
        <v>0</v>
      </c>
      <c r="S17" s="248">
        <f>'青岛 - 螺纹'!S17</f>
        <v>4195</v>
      </c>
      <c r="T17" s="38">
        <f t="shared" si="16"/>
        <v>4425</v>
      </c>
      <c r="U17" s="20">
        <f t="shared" si="3"/>
        <v>-230</v>
      </c>
      <c r="V17" s="30"/>
      <c r="W17" s="30"/>
      <c r="X17" s="30"/>
      <c r="Y17" s="30"/>
      <c r="Z17" s="30"/>
      <c r="AA17" s="30"/>
      <c r="AB17" s="30"/>
      <c r="AC17" s="30"/>
      <c r="AD17" s="30"/>
      <c r="AE17" s="248">
        <f>VLOOKUP($A17,每日销量追踪!$A$3:$CM$75,4,0)</f>
        <v>753.98099999999999</v>
      </c>
      <c r="AF17" s="248">
        <f>VLOOKUP($A17,每日销量追踪!$A$3:$CM$75,31,0)</f>
        <v>2948.400000000006</v>
      </c>
      <c r="AG17" s="251">
        <f>VLOOKUP($A17,每日销量追踪!$A$3:$CM$75,43,0)</f>
        <v>0.2557254782254777</v>
      </c>
      <c r="AH17" s="248">
        <v>75</v>
      </c>
    </row>
    <row r="18" spans="1:34">
      <c r="A18" s="16">
        <f t="shared" si="7"/>
        <v>44516</v>
      </c>
      <c r="B18" s="239">
        <f>4800-180</f>
        <v>4620</v>
      </c>
      <c r="C18" s="18">
        <f t="shared" si="0"/>
        <v>-34.763726088726116</v>
      </c>
      <c r="D18" s="18">
        <f t="shared" si="8"/>
        <v>4585.2362739112741</v>
      </c>
      <c r="E18" s="18">
        <f t="shared" si="1"/>
        <v>4502.05</v>
      </c>
      <c r="F18" s="19">
        <f t="shared" ref="F18:F41" si="18">AG18</f>
        <v>0.6862420295753614</v>
      </c>
      <c r="G18" s="14">
        <f t="shared" si="9"/>
        <v>21.5</v>
      </c>
      <c r="H18" s="20">
        <f t="shared" si="10"/>
        <v>0.7</v>
      </c>
      <c r="I18" s="20">
        <f t="shared" si="11"/>
        <v>-42</v>
      </c>
      <c r="J18" s="28">
        <f t="shared" si="12"/>
        <v>0.3</v>
      </c>
      <c r="K18" s="241">
        <f t="shared" ref="K18:K41" si="19">MIN(MAX((AG17-100%)*50,-50),50)</f>
        <v>-37.213726088726119</v>
      </c>
      <c r="L18" s="20">
        <f t="shared" si="13"/>
        <v>16</v>
      </c>
      <c r="M18" s="20">
        <f t="shared" si="13"/>
        <v>23</v>
      </c>
      <c r="N18" s="29"/>
      <c r="O18" s="239">
        <v>4600</v>
      </c>
      <c r="P18" s="18">
        <f t="shared" si="14"/>
        <v>20</v>
      </c>
      <c r="Q18" s="14">
        <f t="shared" si="2"/>
        <v>20</v>
      </c>
      <c r="R18" s="259">
        <f t="shared" si="15"/>
        <v>20</v>
      </c>
      <c r="S18" s="248">
        <f>'青岛 - 螺纹'!S18</f>
        <v>4153</v>
      </c>
      <c r="T18" s="38">
        <f t="shared" si="16"/>
        <v>4195</v>
      </c>
      <c r="U18" s="20">
        <f t="shared" si="3"/>
        <v>-42</v>
      </c>
      <c r="V18" s="30"/>
      <c r="W18" s="30"/>
      <c r="X18" s="30"/>
      <c r="Y18" s="30"/>
      <c r="Z18" s="30"/>
      <c r="AA18" s="30"/>
      <c r="AB18" s="30"/>
      <c r="AC18" s="30"/>
      <c r="AD18" s="30"/>
      <c r="AE18" s="248">
        <f>VLOOKUP($A18,每日销量追踪!$A$3:$CM$75,4,0)</f>
        <v>3292.6509999999998</v>
      </c>
      <c r="AF18" s="248">
        <f>VLOOKUP($A18,每日销量追踪!$A$3:$CM$75,31,0)</f>
        <v>2948.400000000006</v>
      </c>
      <c r="AG18" s="251">
        <f>VLOOKUP($A18,每日销量追踪!$A$3:$CM$75,43,0)</f>
        <v>0.6862420295753614</v>
      </c>
      <c r="AH18" s="248">
        <v>75</v>
      </c>
    </row>
    <row r="19" spans="1:34">
      <c r="A19" s="16">
        <f t="shared" si="7"/>
        <v>44517</v>
      </c>
      <c r="B19" s="239">
        <v>4620</v>
      </c>
      <c r="C19" s="18">
        <f t="shared" si="0"/>
        <v>-18.587898521231928</v>
      </c>
      <c r="D19" s="18">
        <f t="shared" si="8"/>
        <v>4601.4121014787679</v>
      </c>
      <c r="E19" s="18">
        <f t="shared" si="1"/>
        <v>4585.2362739112741</v>
      </c>
      <c r="F19" s="19">
        <f t="shared" si="18"/>
        <v>0.56939209966987625</v>
      </c>
      <c r="G19" s="14">
        <f t="shared" si="9"/>
        <v>-2</v>
      </c>
      <c r="H19" s="20">
        <f t="shared" si="10"/>
        <v>0.7</v>
      </c>
      <c r="I19" s="20">
        <f t="shared" si="11"/>
        <v>-5</v>
      </c>
      <c r="J19" s="28">
        <f t="shared" si="12"/>
        <v>0.3</v>
      </c>
      <c r="K19" s="241">
        <f t="shared" si="19"/>
        <v>-15.687898521231929</v>
      </c>
      <c r="L19" s="20">
        <f t="shared" si="13"/>
        <v>16</v>
      </c>
      <c r="M19" s="20">
        <f t="shared" si="13"/>
        <v>23</v>
      </c>
      <c r="N19" s="29"/>
      <c r="O19" s="239">
        <v>4590</v>
      </c>
      <c r="P19" s="18">
        <f t="shared" si="14"/>
        <v>20</v>
      </c>
      <c r="Q19" s="14">
        <f t="shared" si="2"/>
        <v>0</v>
      </c>
      <c r="R19" s="259">
        <f t="shared" si="15"/>
        <v>-10</v>
      </c>
      <c r="S19" s="248">
        <f>'青岛 - 螺纹'!S19</f>
        <v>4148</v>
      </c>
      <c r="T19" s="38">
        <f t="shared" si="16"/>
        <v>4153</v>
      </c>
      <c r="U19" s="20">
        <f t="shared" si="3"/>
        <v>-5</v>
      </c>
      <c r="V19" s="30"/>
      <c r="W19" s="30"/>
      <c r="X19" s="30"/>
      <c r="Y19" s="30"/>
      <c r="Z19" s="30"/>
      <c r="AA19" s="30"/>
      <c r="AB19" s="30"/>
      <c r="AC19" s="30"/>
      <c r="AD19" s="30"/>
      <c r="AE19" s="248">
        <f>VLOOKUP($A19,每日销量追踪!$A$3:$CM$75,4,0)</f>
        <v>989.755</v>
      </c>
      <c r="AF19" s="248">
        <f>VLOOKUP($A19,每日销量追踪!$A$3:$CM$75,31,0)</f>
        <v>2948.400000000006</v>
      </c>
      <c r="AG19" s="251">
        <f>VLOOKUP($A19,每日销量追踪!$A$3:$CM$75,43,0)</f>
        <v>0.56939209966987625</v>
      </c>
      <c r="AH19" s="248">
        <v>75</v>
      </c>
    </row>
    <row r="20" spans="1:34">
      <c r="A20" s="16">
        <f t="shared" si="7"/>
        <v>44518</v>
      </c>
      <c r="B20" s="239">
        <v>4590</v>
      </c>
      <c r="C20" s="18">
        <f t="shared" si="0"/>
        <v>-13.030395016506187</v>
      </c>
      <c r="D20" s="18">
        <f t="shared" si="8"/>
        <v>4606.9696049834938</v>
      </c>
      <c r="E20" s="18">
        <f t="shared" si="1"/>
        <v>4601.4121014787679</v>
      </c>
      <c r="F20" s="19">
        <f t="shared" si="18"/>
        <v>0.57507427757427643</v>
      </c>
      <c r="G20" s="14">
        <f t="shared" si="9"/>
        <v>-17</v>
      </c>
      <c r="H20" s="20">
        <f t="shared" si="10"/>
        <v>0.7</v>
      </c>
      <c r="I20" s="20">
        <f t="shared" si="11"/>
        <v>68</v>
      </c>
      <c r="J20" s="28">
        <f t="shared" si="12"/>
        <v>0.3</v>
      </c>
      <c r="K20" s="241">
        <f t="shared" si="19"/>
        <v>-21.530395016506187</v>
      </c>
      <c r="L20" s="20">
        <f t="shared" si="13"/>
        <v>16</v>
      </c>
      <c r="M20" s="20">
        <f t="shared" si="13"/>
        <v>23</v>
      </c>
      <c r="N20" s="29"/>
      <c r="O20" s="239">
        <v>4570</v>
      </c>
      <c r="P20" s="18">
        <f t="shared" si="14"/>
        <v>20</v>
      </c>
      <c r="Q20" s="14">
        <f t="shared" si="2"/>
        <v>10</v>
      </c>
      <c r="R20" s="259">
        <f t="shared" si="15"/>
        <v>-20</v>
      </c>
      <c r="S20" s="248">
        <f>'青岛 - 螺纹'!S20</f>
        <v>4216</v>
      </c>
      <c r="T20" s="38">
        <f t="shared" si="16"/>
        <v>4148</v>
      </c>
      <c r="U20" s="20">
        <f t="shared" si="3"/>
        <v>68</v>
      </c>
      <c r="V20" s="30"/>
      <c r="W20" s="30"/>
      <c r="X20" s="30"/>
      <c r="Y20" s="30"/>
      <c r="Z20" s="30"/>
      <c r="AA20" s="30"/>
      <c r="AB20" s="30"/>
      <c r="AC20" s="30"/>
      <c r="AD20" s="30"/>
      <c r="AE20" s="248">
        <f>VLOOKUP($A20,每日销量追踪!$A$3:$CM$75,4,0)</f>
        <v>1745.809</v>
      </c>
      <c r="AF20" s="248">
        <f>VLOOKUP($A20,每日销量追踪!$A$3:$CM$75,31,0)</f>
        <v>2948.400000000006</v>
      </c>
      <c r="AG20" s="251">
        <f>VLOOKUP($A20,每日销量追踪!$A$3:$CM$75,43,0)</f>
        <v>0.57507427757427643</v>
      </c>
      <c r="AH20" s="248">
        <v>75</v>
      </c>
    </row>
    <row r="21" spans="1:34">
      <c r="A21" s="16">
        <f t="shared" si="7"/>
        <v>44519</v>
      </c>
      <c r="B21" s="239">
        <v>4570</v>
      </c>
      <c r="C21" s="18">
        <f t="shared" si="0"/>
        <v>-39.446286121286178</v>
      </c>
      <c r="D21" s="18">
        <f t="shared" si="8"/>
        <v>4550.553713878714</v>
      </c>
      <c r="E21" s="18">
        <f t="shared" si="1"/>
        <v>4606.9696049834938</v>
      </c>
      <c r="F21" s="19">
        <f t="shared" si="18"/>
        <v>0.70423049789716319</v>
      </c>
      <c r="G21" s="14">
        <f t="shared" si="9"/>
        <v>-2</v>
      </c>
      <c r="H21" s="20">
        <f t="shared" si="10"/>
        <v>0.7</v>
      </c>
      <c r="I21" s="20">
        <f t="shared" si="11"/>
        <v>-56</v>
      </c>
      <c r="J21" s="28">
        <f t="shared" si="12"/>
        <v>0.3</v>
      </c>
      <c r="K21" s="241">
        <f t="shared" si="19"/>
        <v>-21.246286121286179</v>
      </c>
      <c r="L21" s="20">
        <f t="shared" ref="L21:M36" si="20">L20</f>
        <v>16</v>
      </c>
      <c r="M21" s="20">
        <f t="shared" si="20"/>
        <v>23</v>
      </c>
      <c r="N21" s="29"/>
      <c r="O21" s="239">
        <v>4560</v>
      </c>
      <c r="P21" s="18">
        <f t="shared" si="14"/>
        <v>20</v>
      </c>
      <c r="Q21" s="14">
        <f t="shared" si="2"/>
        <v>0</v>
      </c>
      <c r="R21" s="259">
        <f t="shared" si="15"/>
        <v>-10</v>
      </c>
      <c r="S21" s="248">
        <f>'青岛 - 螺纹'!S21</f>
        <v>4160</v>
      </c>
      <c r="T21" s="38">
        <f t="shared" si="16"/>
        <v>4216</v>
      </c>
      <c r="U21" s="20">
        <f t="shared" si="3"/>
        <v>-56</v>
      </c>
      <c r="V21" s="30"/>
      <c r="W21" s="30"/>
      <c r="X21" s="30"/>
      <c r="Y21" s="30"/>
      <c r="Z21" s="30"/>
      <c r="AA21" s="30"/>
      <c r="AB21" s="30"/>
      <c r="AC21" s="30"/>
      <c r="AD21" s="30"/>
      <c r="AE21" s="248">
        <f>VLOOKUP($A21,每日销量追踪!$A$3:$CM$75,4,0)</f>
        <v>3599.57</v>
      </c>
      <c r="AF21" s="248">
        <f>VLOOKUP($A21,每日销量追踪!$A$3:$CM$75,31,0)</f>
        <v>2948.400000000006</v>
      </c>
      <c r="AG21" s="251">
        <f>VLOOKUP($A21,每日销量追踪!$A$3:$CM$75,43,0)</f>
        <v>0.70423049789716319</v>
      </c>
      <c r="AH21" s="248">
        <v>75</v>
      </c>
    </row>
    <row r="22" spans="1:34">
      <c r="A22" s="16">
        <f t="shared" si="7"/>
        <v>44520</v>
      </c>
      <c r="B22" s="239">
        <v>4600</v>
      </c>
      <c r="C22" s="18">
        <f t="shared" si="0"/>
        <v>-26.688475105141841</v>
      </c>
      <c r="D22" s="18">
        <f t="shared" si="8"/>
        <v>4543.3115248948579</v>
      </c>
      <c r="E22" s="18">
        <f t="shared" si="1"/>
        <v>4550.553713878714</v>
      </c>
      <c r="F22" s="19">
        <f t="shared" si="18"/>
        <v>0.73570700904034103</v>
      </c>
      <c r="G22" s="14">
        <f t="shared" si="9"/>
        <v>-17</v>
      </c>
      <c r="H22" s="20">
        <f t="shared" si="10"/>
        <v>0.7</v>
      </c>
      <c r="I22" s="20">
        <f t="shared" si="11"/>
        <v>0</v>
      </c>
      <c r="J22" s="28">
        <f t="shared" si="12"/>
        <v>0.3</v>
      </c>
      <c r="K22" s="241">
        <f t="shared" si="19"/>
        <v>-14.78847510514184</v>
      </c>
      <c r="L22" s="20">
        <f t="shared" si="20"/>
        <v>16</v>
      </c>
      <c r="M22" s="20">
        <f t="shared" si="20"/>
        <v>23</v>
      </c>
      <c r="N22" s="29"/>
      <c r="O22" s="239">
        <v>4530</v>
      </c>
      <c r="P22" s="18">
        <f t="shared" si="14"/>
        <v>20</v>
      </c>
      <c r="Q22" s="14">
        <f t="shared" si="2"/>
        <v>-10</v>
      </c>
      <c r="R22" s="259">
        <f t="shared" si="15"/>
        <v>-30</v>
      </c>
      <c r="S22" s="248">
        <f>'青岛 - 螺纹'!S22</f>
        <v>4160</v>
      </c>
      <c r="T22" s="38">
        <f t="shared" si="16"/>
        <v>4160</v>
      </c>
      <c r="U22" s="20">
        <f t="shared" si="3"/>
        <v>0</v>
      </c>
      <c r="V22" s="30"/>
      <c r="W22" s="30"/>
      <c r="X22" s="30"/>
      <c r="Y22" s="30"/>
      <c r="Z22" s="30"/>
      <c r="AA22" s="30"/>
      <c r="AB22" s="30"/>
      <c r="AC22" s="30"/>
      <c r="AD22" s="30"/>
      <c r="AE22" s="248">
        <f>VLOOKUP($A22,每日销量追踪!$A$3:$CM$75,4,0)</f>
        <v>1548.606</v>
      </c>
      <c r="AF22" s="248">
        <f>VLOOKUP($A22,每日销量追踪!$A$3:$CM$75,31,0)</f>
        <v>1474.1999999999996</v>
      </c>
      <c r="AG22" s="251">
        <f>VLOOKUP($A22,每日销量追踪!$A$3:$CM$75,43,0)</f>
        <v>0.73570700904034103</v>
      </c>
      <c r="AH22" s="248">
        <v>75</v>
      </c>
    </row>
    <row r="23" spans="1:34">
      <c r="A23" s="16">
        <f t="shared" si="7"/>
        <v>44521</v>
      </c>
      <c r="B23" s="239">
        <v>4600</v>
      </c>
      <c r="C23" s="18">
        <f t="shared" si="0"/>
        <v>-8.6646495479829468</v>
      </c>
      <c r="D23" s="18">
        <f t="shared" si="8"/>
        <v>4591.3353504520173</v>
      </c>
      <c r="E23" s="18">
        <f t="shared" si="1"/>
        <v>4543.3115248948579</v>
      </c>
      <c r="F23" s="19">
        <f t="shared" si="18"/>
        <v>0.70278993126215239</v>
      </c>
      <c r="G23" s="14">
        <f t="shared" si="9"/>
        <v>6.5</v>
      </c>
      <c r="H23" s="20">
        <f t="shared" si="10"/>
        <v>0.7</v>
      </c>
      <c r="I23" s="20">
        <f t="shared" si="11"/>
        <v>0</v>
      </c>
      <c r="J23" s="28">
        <f t="shared" si="12"/>
        <v>0.3</v>
      </c>
      <c r="K23" s="241">
        <f t="shared" si="19"/>
        <v>-13.214649547982948</v>
      </c>
      <c r="L23" s="20">
        <f t="shared" si="20"/>
        <v>16</v>
      </c>
      <c r="M23" s="20">
        <f t="shared" si="20"/>
        <v>23</v>
      </c>
      <c r="N23" s="29"/>
      <c r="O23" s="239">
        <v>4550</v>
      </c>
      <c r="P23" s="18">
        <f t="shared" si="14"/>
        <v>20</v>
      </c>
      <c r="Q23" s="14">
        <f t="shared" si="2"/>
        <v>50</v>
      </c>
      <c r="R23" s="259">
        <f t="shared" si="15"/>
        <v>20</v>
      </c>
      <c r="S23" s="248">
        <f>'青岛 - 螺纹'!S23</f>
        <v>4160</v>
      </c>
      <c r="T23" s="38">
        <f t="shared" si="16"/>
        <v>4160</v>
      </c>
      <c r="U23" s="20">
        <f t="shared" si="3"/>
        <v>0</v>
      </c>
      <c r="V23" s="30"/>
      <c r="W23" s="30"/>
      <c r="X23" s="30"/>
      <c r="Y23" s="30"/>
      <c r="Z23" s="30"/>
      <c r="AA23" s="30"/>
      <c r="AB23" s="30"/>
      <c r="AC23" s="30"/>
      <c r="AD23" s="30"/>
      <c r="AE23" s="248">
        <f>VLOOKUP($A23,每日销量追踪!$A$3:$CM$75,4,0)</f>
        <v>502.26299999999998</v>
      </c>
      <c r="AF23" s="248">
        <f>VLOOKUP($A23,每日销量追踪!$A$3:$CM$75,31,0)</f>
        <v>1474.1999999999996</v>
      </c>
      <c r="AG23" s="251">
        <f>VLOOKUP($A23,每日销量追踪!$A$3:$CM$75,43,0)</f>
        <v>0.70278993126215239</v>
      </c>
      <c r="AH23" s="248">
        <v>75</v>
      </c>
    </row>
    <row r="24" spans="1:34">
      <c r="A24" s="16">
        <f t="shared" si="7"/>
        <v>44522</v>
      </c>
      <c r="B24" s="239">
        <v>4600</v>
      </c>
      <c r="C24" s="18">
        <f t="shared" si="0"/>
        <v>9.6894965631076211</v>
      </c>
      <c r="D24" s="18">
        <f t="shared" si="8"/>
        <v>4609.6894965631072</v>
      </c>
      <c r="E24" s="18">
        <f t="shared" si="1"/>
        <v>4591.3353504520173</v>
      </c>
      <c r="F24" s="19">
        <f t="shared" si="18"/>
        <v>0.60939407814407687</v>
      </c>
      <c r="G24" s="14">
        <f t="shared" si="9"/>
        <v>-3.5</v>
      </c>
      <c r="H24" s="20">
        <f t="shared" si="10"/>
        <v>0.7</v>
      </c>
      <c r="I24" s="20">
        <f t="shared" si="11"/>
        <v>90</v>
      </c>
      <c r="J24" s="28">
        <f t="shared" si="12"/>
        <v>0.3</v>
      </c>
      <c r="K24" s="241">
        <f t="shared" si="19"/>
        <v>-14.86050343689238</v>
      </c>
      <c r="L24" s="20">
        <f t="shared" si="20"/>
        <v>16</v>
      </c>
      <c r="M24" s="20">
        <f t="shared" si="20"/>
        <v>23</v>
      </c>
      <c r="N24" s="29"/>
      <c r="O24" s="239">
        <v>4550</v>
      </c>
      <c r="P24" s="18">
        <f t="shared" si="14"/>
        <v>20</v>
      </c>
      <c r="Q24" s="14">
        <f t="shared" si="2"/>
        <v>30</v>
      </c>
      <c r="R24" s="259">
        <f t="shared" si="15"/>
        <v>0</v>
      </c>
      <c r="S24" s="248">
        <f>'青岛 - 螺纹'!S24</f>
        <v>4250</v>
      </c>
      <c r="T24" s="38">
        <f t="shared" si="16"/>
        <v>4160</v>
      </c>
      <c r="U24" s="20">
        <f t="shared" si="3"/>
        <v>90</v>
      </c>
      <c r="V24" s="30"/>
      <c r="W24" s="30"/>
      <c r="X24" s="30"/>
      <c r="Y24" s="30"/>
      <c r="Z24" s="30"/>
      <c r="AA24" s="30"/>
      <c r="AB24" s="30"/>
      <c r="AC24" s="30"/>
      <c r="AD24" s="30"/>
      <c r="AE24" s="248">
        <f>VLOOKUP($A24,每日销量追踪!$A$3:$CM$75,4,0)</f>
        <v>2156.085</v>
      </c>
      <c r="AF24" s="248">
        <f>VLOOKUP($A24,每日销量追踪!$A$3:$CM$75,31,0)</f>
        <v>3538.0800000000072</v>
      </c>
      <c r="AG24" s="251">
        <f>VLOOKUP($A24,每日销量追踪!$A$3:$CM$75,43,0)</f>
        <v>0.60939407814407687</v>
      </c>
      <c r="AH24" s="248">
        <v>75</v>
      </c>
    </row>
    <row r="25" spans="1:34">
      <c r="A25" s="16">
        <f t="shared" si="7"/>
        <v>44523</v>
      </c>
      <c r="B25" s="239">
        <v>4570</v>
      </c>
      <c r="C25" s="18">
        <f t="shared" si="0"/>
        <v>-13.980296092796156</v>
      </c>
      <c r="D25" s="18">
        <f t="shared" si="8"/>
        <v>4586.0197039072036</v>
      </c>
      <c r="E25" s="18">
        <f t="shared" si="1"/>
        <v>4609.6894965631072</v>
      </c>
      <c r="F25" s="19">
        <f t="shared" si="18"/>
        <v>1.3163782333921197</v>
      </c>
      <c r="G25" s="14">
        <f t="shared" si="9"/>
        <v>-13.5</v>
      </c>
      <c r="H25" s="20">
        <f t="shared" si="10"/>
        <v>0.7</v>
      </c>
      <c r="I25" s="20">
        <f t="shared" si="11"/>
        <v>50</v>
      </c>
      <c r="J25" s="28">
        <f t="shared" si="12"/>
        <v>0.3</v>
      </c>
      <c r="K25" s="241">
        <f t="shared" si="19"/>
        <v>-19.530296092796156</v>
      </c>
      <c r="L25" s="20">
        <f t="shared" si="20"/>
        <v>16</v>
      </c>
      <c r="M25" s="20">
        <f t="shared" si="20"/>
        <v>23</v>
      </c>
      <c r="N25" s="29"/>
      <c r="O25" s="239">
        <v>4540</v>
      </c>
      <c r="P25" s="18">
        <f t="shared" si="14"/>
        <v>20</v>
      </c>
      <c r="Q25" s="14">
        <f t="shared" si="2"/>
        <v>30</v>
      </c>
      <c r="R25" s="259">
        <f t="shared" si="15"/>
        <v>-10</v>
      </c>
      <c r="S25" s="248">
        <f>'青岛 - 螺纹'!S25</f>
        <v>4300</v>
      </c>
      <c r="T25" s="38">
        <f t="shared" si="16"/>
        <v>4250</v>
      </c>
      <c r="U25" s="20">
        <f t="shared" si="3"/>
        <v>50</v>
      </c>
      <c r="V25" s="30"/>
      <c r="W25" s="30"/>
      <c r="X25" s="30"/>
      <c r="Y25" s="30"/>
      <c r="Z25" s="30"/>
      <c r="AA25" s="30"/>
      <c r="AB25" s="30"/>
      <c r="AC25" s="30"/>
      <c r="AD25" s="30"/>
      <c r="AE25" s="248">
        <f>VLOOKUP($A25,每日销量追踪!$A$3:$CM$75,4,0)</f>
        <v>7158.8180000000002</v>
      </c>
      <c r="AF25" s="248">
        <f>VLOOKUP($A25,每日销量追踪!$A$3:$CM$75,31,0)</f>
        <v>3538.0800000000072</v>
      </c>
      <c r="AG25" s="251">
        <f>VLOOKUP($A25,每日销量追踪!$A$3:$CM$75,43,0)</f>
        <v>1.3163782333921197</v>
      </c>
      <c r="AH25" s="248">
        <v>75</v>
      </c>
    </row>
    <row r="26" spans="1:34">
      <c r="A26" s="16">
        <f t="shared" si="7"/>
        <v>44524</v>
      </c>
      <c r="B26" s="239">
        <v>4570</v>
      </c>
      <c r="C26" s="18">
        <f t="shared" si="0"/>
        <v>43.418911669605983</v>
      </c>
      <c r="D26" s="18">
        <f t="shared" si="8"/>
        <v>4613.4189116696061</v>
      </c>
      <c r="E26" s="18">
        <f t="shared" si="1"/>
        <v>4586.0197039072036</v>
      </c>
      <c r="F26" s="19">
        <f t="shared" si="18"/>
        <v>1.3046405583442593</v>
      </c>
      <c r="G26" s="14">
        <f t="shared" si="9"/>
        <v>33</v>
      </c>
      <c r="H26" s="20">
        <f t="shared" si="10"/>
        <v>0.7</v>
      </c>
      <c r="I26" s="20">
        <f t="shared" si="11"/>
        <v>15</v>
      </c>
      <c r="J26" s="28">
        <f t="shared" si="12"/>
        <v>0.3</v>
      </c>
      <c r="K26" s="241">
        <f t="shared" si="19"/>
        <v>15.818911669605985</v>
      </c>
      <c r="L26" s="20">
        <f t="shared" si="20"/>
        <v>16</v>
      </c>
      <c r="M26" s="20">
        <f t="shared" si="20"/>
        <v>23</v>
      </c>
      <c r="N26" s="29"/>
      <c r="O26" s="239">
        <v>4570</v>
      </c>
      <c r="P26" s="18">
        <f t="shared" si="14"/>
        <v>20</v>
      </c>
      <c r="Q26" s="14">
        <f t="shared" si="2"/>
        <v>10</v>
      </c>
      <c r="R26" s="259">
        <f t="shared" si="15"/>
        <v>30</v>
      </c>
      <c r="S26" s="248">
        <f>'青岛 - 螺纹'!S26</f>
        <v>4315</v>
      </c>
      <c r="T26" s="38">
        <f t="shared" si="16"/>
        <v>4300</v>
      </c>
      <c r="U26" s="20">
        <f t="shared" si="3"/>
        <v>15</v>
      </c>
      <c r="V26" s="30"/>
      <c r="W26" s="30"/>
      <c r="X26" s="30"/>
      <c r="Y26" s="30"/>
      <c r="Z26" s="30"/>
      <c r="AA26" s="30"/>
      <c r="AB26" s="30"/>
      <c r="AC26" s="30"/>
      <c r="AD26" s="30"/>
      <c r="AE26" s="248">
        <f>VLOOKUP($A26,每日销量追踪!$A$3:$CM$75,4,0)</f>
        <v>4532.8649999999998</v>
      </c>
      <c r="AF26" s="248">
        <f>VLOOKUP($A26,每日销量追踪!$A$3:$CM$75,31,0)</f>
        <v>3538.0800000000072</v>
      </c>
      <c r="AG26" s="251">
        <f>VLOOKUP($A26,每日销量追踪!$A$3:$CM$75,43,0)</f>
        <v>1.3046405583442593</v>
      </c>
      <c r="AH26" s="248">
        <v>75</v>
      </c>
    </row>
    <row r="27" spans="1:34">
      <c r="A27" s="16">
        <f t="shared" si="7"/>
        <v>44525</v>
      </c>
      <c r="B27" s="17">
        <v>4590</v>
      </c>
      <c r="C27" s="18">
        <f t="shared" si="0"/>
        <v>75.832027917212969</v>
      </c>
      <c r="D27" s="18">
        <f t="shared" si="8"/>
        <v>4645.8320279172131</v>
      </c>
      <c r="E27" s="18">
        <f t="shared" si="1"/>
        <v>4613.4189116696061</v>
      </c>
      <c r="F27" s="19">
        <f t="shared" si="18"/>
        <v>1.0153289354678223</v>
      </c>
      <c r="G27" s="14">
        <f t="shared" si="9"/>
        <v>18</v>
      </c>
      <c r="H27" s="20">
        <f t="shared" si="10"/>
        <v>0.7</v>
      </c>
      <c r="I27" s="20">
        <f t="shared" si="11"/>
        <v>160</v>
      </c>
      <c r="J27" s="28">
        <f t="shared" si="12"/>
        <v>0.3</v>
      </c>
      <c r="K27" s="241">
        <f t="shared" si="19"/>
        <v>15.232027917212964</v>
      </c>
      <c r="L27" s="20">
        <f t="shared" si="20"/>
        <v>16</v>
      </c>
      <c r="M27" s="20">
        <f t="shared" si="20"/>
        <v>23</v>
      </c>
      <c r="N27" s="29"/>
      <c r="O27" s="17">
        <v>4570</v>
      </c>
      <c r="P27" s="18">
        <f t="shared" si="14"/>
        <v>20</v>
      </c>
      <c r="Q27" s="14">
        <f t="shared" si="2"/>
        <v>-20</v>
      </c>
      <c r="R27" s="259">
        <f t="shared" si="15"/>
        <v>0</v>
      </c>
      <c r="S27" s="248">
        <f>'青岛 - 螺纹'!S27</f>
        <v>4475</v>
      </c>
      <c r="T27" s="38">
        <f t="shared" si="16"/>
        <v>4315</v>
      </c>
      <c r="U27" s="20">
        <f t="shared" si="3"/>
        <v>160</v>
      </c>
      <c r="V27" s="30"/>
      <c r="W27" s="30"/>
      <c r="X27" s="30"/>
      <c r="Y27" s="30"/>
      <c r="Z27" s="30"/>
      <c r="AA27" s="30"/>
      <c r="AB27" s="30"/>
      <c r="AC27" s="30"/>
      <c r="AD27" s="30"/>
      <c r="AE27" s="248">
        <f>VLOOKUP($A27,每日销量追踪!$A$3:$CM$75,4,0)</f>
        <v>521.49199999999996</v>
      </c>
      <c r="AF27" s="248">
        <f>VLOOKUP($A27,每日销量追踪!$A$3:$CM$75,31,0)</f>
        <v>3538.0800000000072</v>
      </c>
      <c r="AG27" s="251">
        <f>VLOOKUP($A27,每日销量追踪!$A$3:$CM$75,43,0)</f>
        <v>1.0153289354678223</v>
      </c>
      <c r="AH27" s="248">
        <v>75</v>
      </c>
    </row>
    <row r="28" spans="1:34">
      <c r="A28" s="16">
        <f t="shared" si="7"/>
        <v>44526</v>
      </c>
      <c r="B28" s="17">
        <v>4570</v>
      </c>
      <c r="C28" s="18">
        <f t="shared" si="0"/>
        <v>-89.73355322660889</v>
      </c>
      <c r="D28" s="18">
        <f t="shared" si="8"/>
        <v>4500.2664467733912</v>
      </c>
      <c r="E28" s="18">
        <f t="shared" si="1"/>
        <v>4645.8320279172131</v>
      </c>
      <c r="F28" s="19">
        <f t="shared" si="18"/>
        <v>0.90391178266178074</v>
      </c>
      <c r="G28" s="14">
        <f t="shared" si="9"/>
        <v>-32</v>
      </c>
      <c r="H28" s="20">
        <f t="shared" si="10"/>
        <v>0.7</v>
      </c>
      <c r="I28" s="20">
        <f t="shared" si="11"/>
        <v>-227</v>
      </c>
      <c r="J28" s="28">
        <f t="shared" si="12"/>
        <v>0.3</v>
      </c>
      <c r="K28" s="241">
        <f t="shared" si="19"/>
        <v>0.76644677339111622</v>
      </c>
      <c r="L28" s="20">
        <f t="shared" si="20"/>
        <v>16</v>
      </c>
      <c r="M28" s="20">
        <f t="shared" si="20"/>
        <v>23</v>
      </c>
      <c r="N28" s="29"/>
      <c r="O28" s="17">
        <v>4530</v>
      </c>
      <c r="P28" s="18">
        <f t="shared" si="14"/>
        <v>20</v>
      </c>
      <c r="Q28" s="14">
        <f t="shared" si="2"/>
        <v>0</v>
      </c>
      <c r="R28" s="259">
        <f t="shared" si="15"/>
        <v>-40</v>
      </c>
      <c r="S28" s="248">
        <f>'青岛 - 螺纹'!S28</f>
        <v>4248</v>
      </c>
      <c r="T28" s="38">
        <f t="shared" si="16"/>
        <v>4475</v>
      </c>
      <c r="U28" s="20">
        <f t="shared" si="3"/>
        <v>-227</v>
      </c>
      <c r="V28" s="30"/>
      <c r="W28" s="30"/>
      <c r="X28" s="30"/>
      <c r="Y28" s="30"/>
      <c r="Z28" s="30"/>
      <c r="AA28" s="30"/>
      <c r="AB28" s="30"/>
      <c r="AC28" s="30"/>
      <c r="AD28" s="30"/>
      <c r="AE28" s="248">
        <f>VLOOKUP($A28,每日销量追踪!$A$3:$CM$75,4,0)</f>
        <v>1621.3009999999999</v>
      </c>
      <c r="AF28" s="248">
        <f>VLOOKUP($A28,每日销量追踪!$A$3:$CM$75,31,0)</f>
        <v>3538.0800000000072</v>
      </c>
      <c r="AG28" s="251">
        <f>VLOOKUP($A28,每日销量追踪!$A$3:$CM$75,43,0)</f>
        <v>0.90391178266178074</v>
      </c>
      <c r="AH28" s="248">
        <v>75</v>
      </c>
    </row>
    <row r="29" spans="1:34">
      <c r="A29" s="16">
        <f t="shared" si="7"/>
        <v>44527</v>
      </c>
      <c r="B29" s="17">
        <v>4520</v>
      </c>
      <c r="C29" s="18">
        <f t="shared" si="0"/>
        <v>-48.154410866910965</v>
      </c>
      <c r="D29" s="18">
        <f t="shared" si="8"/>
        <v>4521.8455891330887</v>
      </c>
      <c r="E29" s="18">
        <f t="shared" si="1"/>
        <v>4500.2664467733912</v>
      </c>
      <c r="F29" s="19">
        <f t="shared" si="18"/>
        <v>0.8809078267411582</v>
      </c>
      <c r="G29" s="14">
        <f t="shared" si="9"/>
        <v>1.5</v>
      </c>
      <c r="H29" s="20">
        <f t="shared" si="10"/>
        <v>0.7</v>
      </c>
      <c r="I29" s="20">
        <f t="shared" si="11"/>
        <v>-148</v>
      </c>
      <c r="J29" s="28">
        <f t="shared" si="12"/>
        <v>0.3</v>
      </c>
      <c r="K29" s="241">
        <f t="shared" si="19"/>
        <v>-4.8044108669109633</v>
      </c>
      <c r="L29" s="20">
        <f t="shared" si="20"/>
        <v>16</v>
      </c>
      <c r="M29" s="20">
        <f t="shared" si="20"/>
        <v>23</v>
      </c>
      <c r="N29" s="29"/>
      <c r="O29" s="17">
        <v>4530</v>
      </c>
      <c r="P29" s="18">
        <f t="shared" si="14"/>
        <v>20</v>
      </c>
      <c r="Q29" s="14">
        <f t="shared" si="2"/>
        <v>20</v>
      </c>
      <c r="R29" s="259">
        <f t="shared" si="15"/>
        <v>0</v>
      </c>
      <c r="S29" s="248">
        <f>'青岛 - 螺纹'!S29</f>
        <v>4100</v>
      </c>
      <c r="T29" s="38">
        <f t="shared" si="16"/>
        <v>4248</v>
      </c>
      <c r="U29" s="20">
        <f t="shared" si="3"/>
        <v>-148</v>
      </c>
      <c r="V29" s="30"/>
      <c r="W29" s="30"/>
      <c r="X29" s="30"/>
      <c r="Y29" s="30"/>
      <c r="Z29" s="30"/>
      <c r="AA29" s="30"/>
      <c r="AB29" s="30"/>
      <c r="AC29" s="30"/>
      <c r="AD29" s="30"/>
      <c r="AE29" s="248">
        <f>VLOOKUP($A29,每日销量追踪!$A$3:$CM$75,4,0)</f>
        <v>1151.412</v>
      </c>
      <c r="AF29" s="248">
        <f>VLOOKUP($A29,每日销量追踪!$A$3:$CM$75,31,0)</f>
        <v>1769.0399999999993</v>
      </c>
      <c r="AG29" s="251">
        <f>VLOOKUP($A29,每日销量追踪!$A$3:$CM$75,43,0)</f>
        <v>0.8809078267411582</v>
      </c>
      <c r="AH29" s="248">
        <v>75</v>
      </c>
    </row>
    <row r="30" spans="1:34">
      <c r="A30" s="16">
        <f t="shared" si="7"/>
        <v>44528</v>
      </c>
      <c r="B30" s="17">
        <v>4520</v>
      </c>
      <c r="C30" s="18">
        <f t="shared" si="0"/>
        <v>10.145391337057909</v>
      </c>
      <c r="D30" s="18">
        <f t="shared" si="8"/>
        <v>4530.1453913370578</v>
      </c>
      <c r="E30" s="18">
        <f t="shared" si="1"/>
        <v>4521.8455891330887</v>
      </c>
      <c r="F30" s="19">
        <f t="shared" si="18"/>
        <v>0.85872704969927016</v>
      </c>
      <c r="G30" s="14">
        <f t="shared" si="9"/>
        <v>23</v>
      </c>
      <c r="H30" s="20">
        <f t="shared" si="10"/>
        <v>0.7</v>
      </c>
      <c r="I30" s="20">
        <f t="shared" si="11"/>
        <v>0</v>
      </c>
      <c r="J30" s="28">
        <f t="shared" si="12"/>
        <v>0.3</v>
      </c>
      <c r="K30" s="241">
        <f t="shared" si="19"/>
        <v>-5.95460866294209</v>
      </c>
      <c r="L30" s="20">
        <f>L29</f>
        <v>16</v>
      </c>
      <c r="M30" s="20">
        <f>M29</f>
        <v>23</v>
      </c>
      <c r="N30" s="29"/>
      <c r="O30" s="17">
        <v>4530</v>
      </c>
      <c r="P30" s="18">
        <f t="shared" si="14"/>
        <v>20</v>
      </c>
      <c r="Q30" s="14">
        <f t="shared" si="2"/>
        <v>-30</v>
      </c>
      <c r="R30" s="259">
        <f t="shared" si="15"/>
        <v>0</v>
      </c>
      <c r="S30" s="248">
        <f>'青岛 - 螺纹'!S30</f>
        <v>4100</v>
      </c>
      <c r="T30" s="38">
        <f t="shared" si="16"/>
        <v>4100</v>
      </c>
      <c r="U30" s="20">
        <f t="shared" si="3"/>
        <v>0</v>
      </c>
      <c r="V30" s="30"/>
      <c r="W30" s="30"/>
      <c r="X30" s="30"/>
      <c r="Y30" s="30"/>
      <c r="Z30" s="30"/>
      <c r="AA30" s="30"/>
      <c r="AB30" s="30"/>
      <c r="AC30" s="30"/>
      <c r="AD30" s="30"/>
      <c r="AE30" s="248">
        <f>VLOOKUP($A30,每日销量追踪!$A$3:$CM$75,4,0)</f>
        <v>1087.4970000000001</v>
      </c>
      <c r="AF30" s="248">
        <f>VLOOKUP($A30,每日销量追踪!$A$3:$CM$75,31,0)</f>
        <v>1769.0399999999993</v>
      </c>
      <c r="AG30" s="251">
        <f>VLOOKUP($A30,每日销量追踪!$A$3:$CM$75,43,0)</f>
        <v>0.85872704969927016</v>
      </c>
      <c r="AH30" s="248">
        <v>75</v>
      </c>
    </row>
    <row r="31" spans="1:34">
      <c r="A31" s="16">
        <f t="shared" si="7"/>
        <v>44529</v>
      </c>
      <c r="B31" s="17">
        <v>4490</v>
      </c>
      <c r="C31" s="18">
        <f t="shared" si="0"/>
        <v>-4.4636475150364943</v>
      </c>
      <c r="D31" s="18">
        <f t="shared" si="8"/>
        <v>4515.5363524849636</v>
      </c>
      <c r="E31" s="18">
        <f t="shared" si="1"/>
        <v>4530.1453913370578</v>
      </c>
      <c r="F31" s="19">
        <f t="shared" si="18"/>
        <v>0.66315016430757157</v>
      </c>
      <c r="G31" s="14">
        <f t="shared" si="9"/>
        <v>23</v>
      </c>
      <c r="H31" s="20">
        <f t="shared" si="10"/>
        <v>0.7</v>
      </c>
      <c r="I31" s="20">
        <f t="shared" si="11"/>
        <v>-45</v>
      </c>
      <c r="J31" s="28">
        <f t="shared" si="12"/>
        <v>0.3</v>
      </c>
      <c r="K31" s="241">
        <f t="shared" si="19"/>
        <v>-7.0636475150364921</v>
      </c>
      <c r="L31" s="20">
        <f t="shared" si="20"/>
        <v>16</v>
      </c>
      <c r="M31" s="20">
        <f t="shared" si="20"/>
        <v>23</v>
      </c>
      <c r="N31" s="29"/>
      <c r="O31" s="17">
        <v>4530</v>
      </c>
      <c r="P31" s="18">
        <f t="shared" si="14"/>
        <v>20</v>
      </c>
      <c r="Q31" s="14">
        <f t="shared" si="2"/>
        <v>-30</v>
      </c>
      <c r="R31" s="259">
        <f t="shared" si="15"/>
        <v>0</v>
      </c>
      <c r="S31" s="248">
        <f>'青岛 - 螺纹'!S31</f>
        <v>4055</v>
      </c>
      <c r="T31" s="38">
        <f t="shared" si="16"/>
        <v>4100</v>
      </c>
      <c r="U31" s="20">
        <f t="shared" si="3"/>
        <v>-45</v>
      </c>
      <c r="V31" s="30"/>
      <c r="W31" s="30"/>
      <c r="X31" s="30"/>
      <c r="Y31" s="30"/>
      <c r="Z31" s="30"/>
      <c r="AA31" s="30"/>
      <c r="AB31" s="30"/>
      <c r="AC31" s="30"/>
      <c r="AD31" s="30"/>
      <c r="AE31" s="248">
        <f>VLOOKUP($A31,每日销量追踪!$A$3:$CM$75,4,0)</f>
        <v>2815.5340000000001</v>
      </c>
      <c r="AF31" s="248">
        <f>VLOOKUP($A31,每日销量追踪!$A$3:$CM$75,31,0)</f>
        <v>4245.6960000000008</v>
      </c>
      <c r="AG31" s="251">
        <f>VLOOKUP($A31,每日销量追踪!$A$3:$CM$75,43,0)</f>
        <v>0.66315016430757157</v>
      </c>
      <c r="AH31" s="248">
        <v>75</v>
      </c>
    </row>
    <row r="32" spans="1:34">
      <c r="A32" s="16">
        <f t="shared" si="7"/>
        <v>44530</v>
      </c>
      <c r="B32" s="17">
        <v>4490</v>
      </c>
      <c r="C32" s="18">
        <f t="shared" si="0"/>
        <v>13.257508215378579</v>
      </c>
      <c r="D32" s="18">
        <f t="shared" si="8"/>
        <v>4503.2575082153789</v>
      </c>
      <c r="E32" s="18">
        <f t="shared" si="1"/>
        <v>4515.5363524849636</v>
      </c>
      <c r="F32" s="19">
        <f t="shared" si="18"/>
        <v>0.47876119722184529</v>
      </c>
      <c r="G32" s="14">
        <f t="shared" si="9"/>
        <v>-2</v>
      </c>
      <c r="H32" s="20">
        <f t="shared" si="10"/>
        <v>0.7</v>
      </c>
      <c r="I32" s="20">
        <f t="shared" si="11"/>
        <v>105</v>
      </c>
      <c r="J32" s="28">
        <f t="shared" si="12"/>
        <v>0.3</v>
      </c>
      <c r="K32" s="241">
        <f t="shared" si="19"/>
        <v>-16.842491784621423</v>
      </c>
      <c r="L32" s="20">
        <f t="shared" si="20"/>
        <v>16</v>
      </c>
      <c r="M32" s="20">
        <f t="shared" si="20"/>
        <v>23</v>
      </c>
      <c r="N32" s="29"/>
      <c r="O32" s="17">
        <v>4490</v>
      </c>
      <c r="P32" s="18">
        <f t="shared" si="14"/>
        <v>20</v>
      </c>
      <c r="Q32" s="14">
        <f t="shared" si="2"/>
        <v>-60</v>
      </c>
      <c r="R32" s="259">
        <f t="shared" si="15"/>
        <v>-40</v>
      </c>
      <c r="S32" s="248">
        <f>'青岛 - 螺纹'!S32</f>
        <v>4160</v>
      </c>
      <c r="T32" s="38">
        <f t="shared" si="16"/>
        <v>4055</v>
      </c>
      <c r="U32" s="20">
        <f t="shared" si="3"/>
        <v>105</v>
      </c>
      <c r="V32" s="30"/>
      <c r="W32" s="30"/>
      <c r="X32" s="30"/>
      <c r="Y32" s="30"/>
      <c r="Z32" s="30"/>
      <c r="AA32" s="30"/>
      <c r="AB32" s="30"/>
      <c r="AC32" s="30"/>
      <c r="AD32" s="30"/>
      <c r="AE32" s="248">
        <f>VLOOKUP($A32,每日销量追踪!$A$3:$CM$75,4,0)</f>
        <v>1249.8150000000001</v>
      </c>
      <c r="AF32" s="248">
        <f>VLOOKUP($A32,每日销量追踪!$A$3:$CM$75,31,0)</f>
        <v>4245.6960000000008</v>
      </c>
      <c r="AG32" s="251">
        <f>VLOOKUP($A32,每日销量追踪!$A$3:$CM$75,43,0)</f>
        <v>0.47876119722184529</v>
      </c>
      <c r="AH32" s="248">
        <v>75</v>
      </c>
    </row>
    <row r="33" spans="1:34">
      <c r="A33" s="16">
        <f t="shared" si="7"/>
        <v>44531</v>
      </c>
      <c r="B33" s="17">
        <v>4530</v>
      </c>
      <c r="C33" s="18">
        <f t="shared" si="0"/>
        <v>-2.0619401389077368</v>
      </c>
      <c r="D33" s="18">
        <f t="shared" si="8"/>
        <v>4487.9380598610924</v>
      </c>
      <c r="E33" s="18">
        <f t="shared" si="1"/>
        <v>4503.2575082153789</v>
      </c>
      <c r="F33" s="19">
        <f t="shared" si="18"/>
        <v>1.0157197626333425</v>
      </c>
      <c r="G33" s="14">
        <f t="shared" si="9"/>
        <v>18</v>
      </c>
      <c r="H33" s="20">
        <f t="shared" si="10"/>
        <v>0.7</v>
      </c>
      <c r="I33" s="20">
        <f t="shared" si="11"/>
        <v>38</v>
      </c>
      <c r="J33" s="28">
        <f t="shared" si="12"/>
        <v>0.3</v>
      </c>
      <c r="K33" s="241">
        <f t="shared" si="19"/>
        <v>-26.061940138907737</v>
      </c>
      <c r="L33" s="20">
        <f t="shared" si="20"/>
        <v>16</v>
      </c>
      <c r="M33" s="20">
        <f t="shared" si="20"/>
        <v>23</v>
      </c>
      <c r="N33" s="29"/>
      <c r="O33" s="17">
        <v>4490</v>
      </c>
      <c r="P33" s="18">
        <f t="shared" si="14"/>
        <v>20</v>
      </c>
      <c r="Q33" s="14">
        <f t="shared" si="2"/>
        <v>-20</v>
      </c>
      <c r="R33" s="259">
        <f t="shared" si="15"/>
        <v>0</v>
      </c>
      <c r="S33" s="248">
        <f>'青岛 - 螺纹'!S33</f>
        <v>4198</v>
      </c>
      <c r="T33" s="38">
        <f t="shared" si="16"/>
        <v>4160</v>
      </c>
      <c r="U33" s="20">
        <f t="shared" si="3"/>
        <v>38</v>
      </c>
      <c r="V33" s="30"/>
      <c r="W33" s="30"/>
      <c r="X33" s="30"/>
      <c r="Y33" s="30"/>
      <c r="Z33" s="30"/>
      <c r="AA33" s="30"/>
      <c r="AB33" s="30"/>
      <c r="AC33" s="30"/>
      <c r="AD33" s="30"/>
      <c r="AE33" s="248">
        <f>VLOOKUP($A33,每日销量追踪!$A$3:$CM$75,4,0)</f>
        <v>8871.9629999999997</v>
      </c>
      <c r="AF33" s="248">
        <f>VLOOKUP($A33,每日销量追踪!$A$3:$CM$75,31,0)</f>
        <v>4245.6960000000008</v>
      </c>
      <c r="AG33" s="251">
        <f>VLOOKUP($A33,每日销量追踪!$A$3:$CM$75,43,0)</f>
        <v>1.0157197626333425</v>
      </c>
      <c r="AH33" s="248">
        <v>75</v>
      </c>
    </row>
    <row r="34" spans="1:34">
      <c r="A34" s="16">
        <f t="shared" si="7"/>
        <v>44532</v>
      </c>
      <c r="B34" s="17">
        <v>4530</v>
      </c>
      <c r="C34" s="18">
        <f t="shared" si="0"/>
        <v>64.935988131667131</v>
      </c>
      <c r="D34" s="18">
        <f t="shared" si="8"/>
        <v>4594.9359881316668</v>
      </c>
      <c r="E34" s="18">
        <f t="shared" si="1"/>
        <v>4487.9380598610924</v>
      </c>
      <c r="F34" s="19">
        <f t="shared" si="18"/>
        <v>0.85271685618907866</v>
      </c>
      <c r="G34" s="14">
        <f t="shared" si="9"/>
        <v>41.5</v>
      </c>
      <c r="H34" s="20">
        <f t="shared" si="10"/>
        <v>0.7</v>
      </c>
      <c r="I34" s="20">
        <f t="shared" si="11"/>
        <v>117</v>
      </c>
      <c r="J34" s="28">
        <f t="shared" si="12"/>
        <v>0.3</v>
      </c>
      <c r="K34" s="241">
        <f t="shared" si="19"/>
        <v>0.78598813166712578</v>
      </c>
      <c r="L34" s="20">
        <f t="shared" si="20"/>
        <v>16</v>
      </c>
      <c r="M34" s="20">
        <f t="shared" si="20"/>
        <v>23</v>
      </c>
      <c r="N34" s="29"/>
      <c r="O34" s="17">
        <v>4530</v>
      </c>
      <c r="P34" s="18">
        <f t="shared" si="14"/>
        <v>20</v>
      </c>
      <c r="Q34" s="14">
        <f t="shared" si="2"/>
        <v>20</v>
      </c>
      <c r="R34" s="259">
        <f t="shared" si="15"/>
        <v>40</v>
      </c>
      <c r="S34" s="248">
        <f>'青岛 - 螺纹'!S34</f>
        <v>4315</v>
      </c>
      <c r="T34" s="38">
        <f t="shared" si="16"/>
        <v>4198</v>
      </c>
      <c r="U34" s="20">
        <f t="shared" si="3"/>
        <v>117</v>
      </c>
      <c r="V34" s="30"/>
      <c r="W34" s="30"/>
      <c r="X34" s="30"/>
      <c r="Y34" s="30"/>
      <c r="Z34" s="30"/>
      <c r="AA34" s="30"/>
      <c r="AB34" s="30"/>
      <c r="AC34" s="30"/>
      <c r="AD34" s="30"/>
      <c r="AE34" s="248">
        <f>VLOOKUP($A34,每日销量追踪!$A$3:$CM$75,4,0)</f>
        <v>337.40199999999999</v>
      </c>
      <c r="AF34" s="248">
        <f>VLOOKUP($A34,每日销量追踪!$A$3:$CM$75,31,0)</f>
        <v>2830.4639999999931</v>
      </c>
      <c r="AG34" s="251">
        <f>VLOOKUP($A34,每日销量追踪!$A$3:$CM$75,43,0)</f>
        <v>0.85271685618907866</v>
      </c>
      <c r="AH34" s="248">
        <v>75</v>
      </c>
    </row>
    <row r="35" spans="1:34">
      <c r="A35" s="16">
        <f t="shared" si="7"/>
        <v>44533</v>
      </c>
      <c r="B35" s="17">
        <v>4560</v>
      </c>
      <c r="C35" s="18">
        <f t="shared" si="0"/>
        <v>25.735842809453928</v>
      </c>
      <c r="D35" s="18">
        <f t="shared" si="8"/>
        <v>4555.735842809454</v>
      </c>
      <c r="E35" s="18">
        <f t="shared" si="1"/>
        <v>4594.9359881316668</v>
      </c>
      <c r="F35" s="19">
        <f t="shared" si="18"/>
        <v>1.0133222517036624</v>
      </c>
      <c r="G35" s="14">
        <f t="shared" si="9"/>
        <v>58</v>
      </c>
      <c r="H35" s="20">
        <f t="shared" si="10"/>
        <v>0.7</v>
      </c>
      <c r="I35" s="20">
        <f t="shared" si="11"/>
        <v>-25</v>
      </c>
      <c r="J35" s="28">
        <f t="shared" si="12"/>
        <v>0.3</v>
      </c>
      <c r="K35" s="241">
        <f t="shared" si="19"/>
        <v>-7.3641571905460665</v>
      </c>
      <c r="L35" s="20">
        <f t="shared" si="20"/>
        <v>16</v>
      </c>
      <c r="M35" s="20">
        <f t="shared" si="20"/>
        <v>23</v>
      </c>
      <c r="N35" s="29"/>
      <c r="O35" s="17">
        <v>4570</v>
      </c>
      <c r="P35" s="18">
        <f t="shared" si="14"/>
        <v>20</v>
      </c>
      <c r="Q35" s="14">
        <f t="shared" si="2"/>
        <v>-20</v>
      </c>
      <c r="R35" s="259">
        <f t="shared" si="15"/>
        <v>40</v>
      </c>
      <c r="S35" s="248">
        <f>'青岛 - 螺纹'!S35</f>
        <v>4290</v>
      </c>
      <c r="T35" s="38">
        <f t="shared" si="16"/>
        <v>4315</v>
      </c>
      <c r="U35" s="20">
        <f t="shared" si="3"/>
        <v>-25</v>
      </c>
      <c r="V35" s="30"/>
      <c r="W35" s="30"/>
      <c r="X35" s="30"/>
      <c r="Y35" s="30"/>
      <c r="Z35" s="30"/>
      <c r="AA35" s="30"/>
      <c r="AB35" s="30"/>
      <c r="AC35" s="30"/>
      <c r="AD35" s="30"/>
      <c r="AE35" s="248">
        <f>VLOOKUP($A35,每日销量追踪!$A$3:$CM$75,4,0)</f>
        <v>5368.4049999999997</v>
      </c>
      <c r="AF35" s="248">
        <f>VLOOKUP($A35,每日销量追踪!$A$3:$CM$75,31,0)</f>
        <v>2830.4639999999931</v>
      </c>
      <c r="AG35" s="251">
        <f>VLOOKUP($A35,每日销量追踪!$A$3:$CM$75,43,0)</f>
        <v>1.0133222517036624</v>
      </c>
      <c r="AH35" s="248">
        <v>75</v>
      </c>
    </row>
    <row r="36" spans="1:34">
      <c r="A36" s="16">
        <f t="shared" si="7"/>
        <v>44534</v>
      </c>
      <c r="B36" s="17">
        <v>4590</v>
      </c>
      <c r="C36" s="18">
        <f t="shared" si="0"/>
        <v>85.866112585183103</v>
      </c>
      <c r="D36" s="18">
        <f t="shared" si="8"/>
        <v>4645.8661125851831</v>
      </c>
      <c r="E36" s="18">
        <f t="shared" si="1"/>
        <v>4555.735842809454</v>
      </c>
      <c r="F36" s="19">
        <f t="shared" si="18"/>
        <v>1.015346499473484</v>
      </c>
      <c r="G36" s="14">
        <f t="shared" si="9"/>
        <v>63</v>
      </c>
      <c r="H36" s="20">
        <f t="shared" si="10"/>
        <v>0.7</v>
      </c>
      <c r="I36" s="20">
        <f t="shared" si="11"/>
        <v>137</v>
      </c>
      <c r="J36" s="28">
        <f t="shared" si="12"/>
        <v>0.3</v>
      </c>
      <c r="K36" s="241">
        <f t="shared" si="19"/>
        <v>0.66611258518312066</v>
      </c>
      <c r="L36" s="20">
        <f t="shared" si="20"/>
        <v>16</v>
      </c>
      <c r="M36" s="20">
        <f t="shared" si="20"/>
        <v>23</v>
      </c>
      <c r="N36" s="29"/>
      <c r="O36" s="17">
        <v>4610</v>
      </c>
      <c r="P36" s="18">
        <f t="shared" si="14"/>
        <v>20</v>
      </c>
      <c r="Q36" s="14">
        <f t="shared" si="2"/>
        <v>-30</v>
      </c>
      <c r="R36" s="259">
        <f t="shared" si="15"/>
        <v>40</v>
      </c>
      <c r="S36" s="248">
        <f>'青岛 - 螺纹'!S36</f>
        <v>4427</v>
      </c>
      <c r="T36" s="38">
        <f t="shared" si="16"/>
        <v>4290</v>
      </c>
      <c r="U36" s="20">
        <f t="shared" si="3"/>
        <v>137</v>
      </c>
      <c r="V36" s="30"/>
      <c r="W36" s="30"/>
      <c r="X36" s="30"/>
      <c r="Y36" s="30"/>
      <c r="Z36" s="30"/>
      <c r="AA36" s="30"/>
      <c r="AB36" s="30"/>
      <c r="AC36" s="30"/>
      <c r="AD36" s="30"/>
      <c r="AE36" s="248">
        <f>VLOOKUP($A36,每日销量追踪!$A$3:$CM$75,4,0)</f>
        <v>1474.193</v>
      </c>
      <c r="AF36" s="248">
        <f>VLOOKUP($A36,每日销量追踪!$A$3:$CM$75,31,0)</f>
        <v>1415.2320000000007</v>
      </c>
      <c r="AG36" s="251">
        <f>VLOOKUP($A36,每日销量追踪!$A$3:$CM$75,43,0)</f>
        <v>1.015346499473484</v>
      </c>
      <c r="AH36" s="248">
        <v>75</v>
      </c>
    </row>
    <row r="37" spans="1:34">
      <c r="A37" s="16">
        <f t="shared" si="7"/>
        <v>44535</v>
      </c>
      <c r="B37" s="17">
        <v>4610</v>
      </c>
      <c r="C37" s="18">
        <f t="shared" si="0"/>
        <v>14.667324973674198</v>
      </c>
      <c r="D37" s="18">
        <f t="shared" si="8"/>
        <v>4604.6673249736741</v>
      </c>
      <c r="E37" s="18">
        <f t="shared" si="1"/>
        <v>4645.8661125851831</v>
      </c>
      <c r="F37" s="19">
        <f t="shared" si="18"/>
        <v>0.97770862539381098</v>
      </c>
      <c r="G37" s="14">
        <f t="shared" si="9"/>
        <v>28</v>
      </c>
      <c r="H37" s="20">
        <f t="shared" si="10"/>
        <v>0.7</v>
      </c>
      <c r="I37" s="20">
        <f t="shared" si="11"/>
        <v>-19</v>
      </c>
      <c r="J37" s="28">
        <f t="shared" si="12"/>
        <v>0.3</v>
      </c>
      <c r="K37" s="241">
        <f t="shared" si="19"/>
        <v>0.76732497367419938</v>
      </c>
      <c r="L37" s="20">
        <f>L36</f>
        <v>16</v>
      </c>
      <c r="M37" s="20">
        <f>M36</f>
        <v>23</v>
      </c>
      <c r="N37" s="29"/>
      <c r="O37" s="17">
        <v>4610</v>
      </c>
      <c r="P37" s="18">
        <f t="shared" si="14"/>
        <v>20</v>
      </c>
      <c r="Q37" s="14">
        <f t="shared" si="2"/>
        <v>-40</v>
      </c>
      <c r="R37" s="259">
        <f t="shared" si="15"/>
        <v>0</v>
      </c>
      <c r="S37" s="248">
        <f>'青岛 - 螺纹'!S37</f>
        <v>4408</v>
      </c>
      <c r="T37" s="38">
        <f t="shared" si="16"/>
        <v>4427</v>
      </c>
      <c r="U37" s="20">
        <f t="shared" si="3"/>
        <v>-19</v>
      </c>
      <c r="V37" s="30"/>
      <c r="W37" s="30"/>
      <c r="X37" s="30"/>
      <c r="Y37" s="30"/>
      <c r="Z37" s="30"/>
      <c r="AA37" s="30"/>
      <c r="AB37" s="30"/>
      <c r="AC37" s="30"/>
      <c r="AD37" s="30"/>
      <c r="AE37" s="248">
        <f>VLOOKUP($A37,每日销量追踪!$A$3:$CM$75,4,0)</f>
        <v>637.95600000000002</v>
      </c>
      <c r="AF37" s="248">
        <f>VLOOKUP($A37,每日销量追踪!$A$3:$CM$75,31,0)</f>
        <v>1415.2320000000007</v>
      </c>
      <c r="AG37" s="251">
        <f>VLOOKUP($A37,每日销量追踪!$A$3:$CM$75,43,0)</f>
        <v>0.97770862539381098</v>
      </c>
      <c r="AH37" s="248">
        <v>75</v>
      </c>
    </row>
    <row r="38" spans="1:34">
      <c r="A38" s="16">
        <f t="shared" si="7"/>
        <v>44536</v>
      </c>
      <c r="B38" s="17">
        <v>4610</v>
      </c>
      <c r="C38" s="18">
        <f t="shared" si="0"/>
        <v>11.485431269690549</v>
      </c>
      <c r="D38" s="18">
        <f t="shared" si="8"/>
        <v>4621.4854312696907</v>
      </c>
      <c r="E38" s="18">
        <f t="shared" si="1"/>
        <v>4604.6673249736741</v>
      </c>
      <c r="F38" s="19">
        <f t="shared" si="18"/>
        <v>0</v>
      </c>
      <c r="G38" s="14">
        <f t="shared" si="9"/>
        <v>18</v>
      </c>
      <c r="H38" s="20">
        <f t="shared" si="10"/>
        <v>0.7</v>
      </c>
      <c r="I38" s="20">
        <f t="shared" si="11"/>
        <v>0</v>
      </c>
      <c r="J38" s="28">
        <f t="shared" si="12"/>
        <v>0.3</v>
      </c>
      <c r="K38" s="241">
        <f t="shared" si="19"/>
        <v>-1.1145687303094509</v>
      </c>
      <c r="L38" s="20">
        <f>L37</f>
        <v>16</v>
      </c>
      <c r="M38" s="20">
        <f>M37</f>
        <v>23</v>
      </c>
      <c r="N38" s="29"/>
      <c r="O38" s="17">
        <v>4610</v>
      </c>
      <c r="P38" s="18">
        <f t="shared" si="14"/>
        <v>20</v>
      </c>
      <c r="Q38" s="14">
        <f t="shared" si="2"/>
        <v>-20</v>
      </c>
      <c r="R38" s="259">
        <f t="shared" si="15"/>
        <v>0</v>
      </c>
      <c r="S38" s="248">
        <f>'青岛 - 螺纹'!S38</f>
        <v>4408</v>
      </c>
      <c r="T38" s="38">
        <f t="shared" si="16"/>
        <v>4408</v>
      </c>
      <c r="U38" s="20">
        <f t="shared" si="3"/>
        <v>0</v>
      </c>
      <c r="V38" s="30"/>
      <c r="W38" s="30"/>
      <c r="X38" s="30"/>
      <c r="Y38" s="30"/>
      <c r="Z38" s="30"/>
      <c r="AA38" s="30"/>
      <c r="AB38" s="30"/>
      <c r="AC38" s="30"/>
      <c r="AD38" s="30"/>
      <c r="AE38" s="248">
        <f>VLOOKUP($A38,每日销量追踪!$A$3:$CM$75,4,0)</f>
        <v>0</v>
      </c>
      <c r="AF38" s="248">
        <f>VLOOKUP($A38,每日销量追踪!$A$3:$CM$75,31,0)</f>
        <v>4245.6960000000008</v>
      </c>
      <c r="AG38" s="251">
        <f>VLOOKUP($A38,每日销量追踪!$A$3:$CM$75,43,0)</f>
        <v>0</v>
      </c>
      <c r="AH38" s="248">
        <v>75</v>
      </c>
    </row>
    <row r="39" spans="1:34">
      <c r="A39" s="16">
        <f t="shared" si="7"/>
        <v>44537</v>
      </c>
      <c r="B39" s="17"/>
      <c r="C39" s="18">
        <f t="shared" si="0"/>
        <v>-4586.7999999999993</v>
      </c>
      <c r="D39" s="18">
        <f t="shared" si="8"/>
        <v>23.200000000000728</v>
      </c>
      <c r="E39" s="18">
        <f t="shared" si="1"/>
        <v>4621.4854312696907</v>
      </c>
      <c r="F39" s="19">
        <f t="shared" si="18"/>
        <v>0</v>
      </c>
      <c r="G39" s="14">
        <f t="shared" si="9"/>
        <v>-4592</v>
      </c>
      <c r="H39" s="20">
        <f t="shared" si="10"/>
        <v>0.7</v>
      </c>
      <c r="I39" s="20">
        <f t="shared" si="11"/>
        <v>-4408</v>
      </c>
      <c r="J39" s="28">
        <f t="shared" si="12"/>
        <v>0.3</v>
      </c>
      <c r="K39" s="241">
        <f t="shared" si="19"/>
        <v>-50</v>
      </c>
      <c r="L39" s="20">
        <f t="shared" ref="L39:M41" si="21">L38</f>
        <v>16</v>
      </c>
      <c r="M39" s="20">
        <f t="shared" si="21"/>
        <v>23</v>
      </c>
      <c r="N39" s="29"/>
      <c r="O39" s="17"/>
      <c r="P39" s="18">
        <f t="shared" si="14"/>
        <v>20</v>
      </c>
      <c r="Q39" s="14">
        <f t="shared" si="2"/>
        <v>-20</v>
      </c>
      <c r="R39" s="259">
        <f t="shared" si="15"/>
        <v>-4610</v>
      </c>
      <c r="S39" s="248">
        <f>'青岛 - 螺纹'!S39</f>
        <v>0</v>
      </c>
      <c r="T39" s="38">
        <f t="shared" si="16"/>
        <v>4408</v>
      </c>
      <c r="U39" s="20">
        <f t="shared" si="3"/>
        <v>-4408</v>
      </c>
      <c r="V39" s="30"/>
      <c r="W39" s="30"/>
      <c r="X39" s="30"/>
      <c r="Y39" s="30"/>
      <c r="Z39" s="30"/>
      <c r="AA39" s="30"/>
      <c r="AB39" s="30"/>
      <c r="AC39" s="30"/>
      <c r="AD39" s="30"/>
      <c r="AE39" s="248">
        <f>VLOOKUP($A39,每日销量追踪!$A$3:$CM$75,4,0)</f>
        <v>0</v>
      </c>
      <c r="AF39" s="248">
        <f>VLOOKUP($A39,每日销量追踪!$A$3:$CM$75,31,0)</f>
        <v>4245.6960000000008</v>
      </c>
      <c r="AG39" s="251">
        <f>VLOOKUP($A39,每日销量追踪!$A$3:$CM$75,43,0)</f>
        <v>0</v>
      </c>
      <c r="AH39" s="248">
        <v>75</v>
      </c>
    </row>
    <row r="40" spans="1:34">
      <c r="A40" s="16">
        <f t="shared" si="7"/>
        <v>44538</v>
      </c>
      <c r="B40" s="17"/>
      <c r="C40" s="18">
        <f t="shared" si="0"/>
        <v>-37.4</v>
      </c>
      <c r="D40" s="18">
        <f t="shared" si="8"/>
        <v>-37.4</v>
      </c>
      <c r="E40" s="18">
        <f t="shared" si="1"/>
        <v>23.200000000000728</v>
      </c>
      <c r="F40" s="19">
        <f t="shared" si="18"/>
        <v>0</v>
      </c>
      <c r="G40" s="14">
        <f t="shared" si="9"/>
        <v>18</v>
      </c>
      <c r="H40" s="20">
        <f t="shared" si="10"/>
        <v>0.7</v>
      </c>
      <c r="I40" s="20">
        <f t="shared" si="11"/>
        <v>0</v>
      </c>
      <c r="J40" s="28">
        <f t="shared" si="12"/>
        <v>0.3</v>
      </c>
      <c r="K40" s="241">
        <f t="shared" si="19"/>
        <v>-50</v>
      </c>
      <c r="L40" s="20">
        <f t="shared" si="21"/>
        <v>16</v>
      </c>
      <c r="M40" s="20">
        <f t="shared" si="21"/>
        <v>23</v>
      </c>
      <c r="N40" s="29"/>
      <c r="O40" s="17"/>
      <c r="P40" s="18">
        <f t="shared" si="14"/>
        <v>20</v>
      </c>
      <c r="Q40" s="14">
        <f t="shared" si="2"/>
        <v>-20</v>
      </c>
      <c r="R40" s="259">
        <f t="shared" si="15"/>
        <v>0</v>
      </c>
      <c r="S40" s="248">
        <f>'青岛 - 螺纹'!S40</f>
        <v>0</v>
      </c>
      <c r="T40" s="38">
        <f t="shared" si="16"/>
        <v>0</v>
      </c>
      <c r="U40" s="20">
        <f t="shared" si="3"/>
        <v>0</v>
      </c>
      <c r="V40" s="30"/>
      <c r="W40" s="30"/>
      <c r="X40" s="30"/>
      <c r="Y40" s="30"/>
      <c r="Z40" s="30"/>
      <c r="AA40" s="30"/>
      <c r="AB40" s="30"/>
      <c r="AC40" s="30"/>
      <c r="AD40" s="30"/>
      <c r="AE40" s="248">
        <f>VLOOKUP($A40,每日销量追踪!$A$3:$CM$75,4,0)</f>
        <v>0</v>
      </c>
      <c r="AF40" s="248">
        <f>VLOOKUP($A40,每日销量追踪!$A$3:$CM$75,31,0)</f>
        <v>4245.6960000000008</v>
      </c>
      <c r="AG40" s="251">
        <f>VLOOKUP($A40,每日销量追踪!$A$3:$CM$75,43,0)</f>
        <v>0</v>
      </c>
      <c r="AH40" s="248">
        <v>75</v>
      </c>
    </row>
    <row r="41" spans="1:34">
      <c r="A41" s="16">
        <f t="shared" si="7"/>
        <v>44539</v>
      </c>
      <c r="B41" s="17"/>
      <c r="C41" s="18">
        <f t="shared" si="0"/>
        <v>-37.4</v>
      </c>
      <c r="D41" s="18">
        <f t="shared" si="8"/>
        <v>-37.4</v>
      </c>
      <c r="E41" s="18">
        <f t="shared" si="1"/>
        <v>-37.4</v>
      </c>
      <c r="F41" s="19">
        <f t="shared" si="18"/>
        <v>0</v>
      </c>
      <c r="G41" s="14">
        <f t="shared" si="9"/>
        <v>18</v>
      </c>
      <c r="H41" s="20">
        <f t="shared" si="10"/>
        <v>0.7</v>
      </c>
      <c r="I41" s="20">
        <f t="shared" si="11"/>
        <v>0</v>
      </c>
      <c r="J41" s="28">
        <f t="shared" si="12"/>
        <v>0.3</v>
      </c>
      <c r="K41" s="241">
        <f t="shared" si="19"/>
        <v>-50</v>
      </c>
      <c r="L41" s="20">
        <f t="shared" si="21"/>
        <v>16</v>
      </c>
      <c r="M41" s="20">
        <f t="shared" si="21"/>
        <v>23</v>
      </c>
      <c r="N41" s="29"/>
      <c r="O41" s="17"/>
      <c r="P41" s="18">
        <f t="shared" si="14"/>
        <v>20</v>
      </c>
      <c r="Q41" s="14">
        <f t="shared" si="2"/>
        <v>-20</v>
      </c>
      <c r="R41" s="259">
        <f t="shared" si="15"/>
        <v>0</v>
      </c>
      <c r="S41" s="248">
        <f>'青岛 - 螺纹'!S41</f>
        <v>0</v>
      </c>
      <c r="T41" s="38">
        <f t="shared" si="16"/>
        <v>0</v>
      </c>
      <c r="U41" s="20">
        <f t="shared" si="3"/>
        <v>0</v>
      </c>
      <c r="V41" s="30"/>
      <c r="W41" s="30"/>
      <c r="X41" s="30"/>
      <c r="Y41" s="30"/>
      <c r="Z41" s="30"/>
      <c r="AA41" s="30"/>
      <c r="AB41" s="30"/>
      <c r="AC41" s="30"/>
      <c r="AD41" s="30"/>
      <c r="AE41" s="248">
        <f>VLOOKUP($A41,每日销量追踪!$A$3:$CM$75,4,0)</f>
        <v>0</v>
      </c>
      <c r="AF41" s="248">
        <f>VLOOKUP($A41,每日销量追踪!$A$3:$CM$75,31,0)</f>
        <v>2830.4639999999931</v>
      </c>
      <c r="AG41" s="251">
        <f>VLOOKUP($A41,每日销量追踪!$A$3:$CM$75,43,0)</f>
        <v>0</v>
      </c>
      <c r="AH41" s="248">
        <v>75</v>
      </c>
    </row>
  </sheetData>
  <phoneticPr fontId="16" type="noConversion"/>
  <conditionalFormatting sqref="A5:A900">
    <cfRule type="cellIs" dxfId="19" priority="1" operator="equal">
      <formula>$A$1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workbookViewId="0">
      <pane xSplit="1" ySplit="2" topLeftCell="B22" activePane="bottomRight" state="frozen"/>
      <selection pane="topRight"/>
      <selection pane="bottomLeft"/>
      <selection pane="bottomRight" activeCell="B37" sqref="B37:O38"/>
    </sheetView>
  </sheetViews>
  <sheetFormatPr defaultColWidth="9" defaultRowHeight="14.25" outlineLevelCol="1"/>
  <cols>
    <col min="1" max="1" width="12.25" customWidth="1"/>
    <col min="2" max="2" width="10.125" customWidth="1"/>
    <col min="3" max="3" width="8.875" hidden="1" customWidth="1" outlineLevel="1"/>
    <col min="4" max="4" width="8.875" style="1" hidden="1" customWidth="1" outlineLevel="1"/>
    <col min="5" max="5" width="9.5" hidden="1" customWidth="1" outlineLevel="1"/>
    <col min="6" max="6" width="10.5" hidden="1" customWidth="1" outlineLevel="1"/>
    <col min="7" max="7" width="13.125" hidden="1" customWidth="1" outlineLevel="1"/>
    <col min="8" max="8" width="9.125" hidden="1" customWidth="1" outlineLevel="1"/>
    <col min="9" max="9" width="13.125" style="1" hidden="1" customWidth="1" outlineLevel="1"/>
    <col min="10" max="10" width="9.125" hidden="1" customWidth="1" outlineLevel="1"/>
    <col min="11" max="11" width="14.75" hidden="1" customWidth="1" outlineLevel="1"/>
    <col min="12" max="14" width="9.875" hidden="1" customWidth="1" outlineLevel="1"/>
    <col min="15" max="15" width="8.875" customWidth="1" collapsed="1"/>
    <col min="16" max="16" width="4.875" hidden="1" customWidth="1" outlineLevel="1"/>
    <col min="17" max="17" width="13.5" hidden="1" customWidth="1" outlineLevel="1"/>
    <col min="18" max="18" width="11" hidden="1" customWidth="1" outlineLevel="1"/>
    <col min="19" max="21" width="11.125" hidden="1" customWidth="1" outlineLevel="1"/>
    <col min="22" max="22" width="11.125" hidden="1" customWidth="1" collapsed="1"/>
    <col min="23" max="30" width="11.125" hidden="1" customWidth="1"/>
    <col min="31" max="31" width="11.125" hidden="1" customWidth="1" outlineLevel="1"/>
    <col min="32" max="33" width="10.125" hidden="1" customWidth="1" outlineLevel="1"/>
    <col min="34" max="34" width="11.125" hidden="1" customWidth="1" outlineLevel="1"/>
    <col min="35" max="35" width="9" collapsed="1"/>
  </cols>
  <sheetData>
    <row r="1" spans="1:34">
      <c r="A1" s="2">
        <f ca="1">TODAY()</f>
        <v>44536</v>
      </c>
      <c r="B1" s="3"/>
      <c r="O1" s="3"/>
      <c r="R1" s="3"/>
      <c r="S1" s="3"/>
      <c r="T1" s="3"/>
      <c r="U1" s="3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"/>
      <c r="AG1" s="3"/>
      <c r="AH1" s="3"/>
    </row>
    <row r="2" spans="1:34" ht="42" customHeight="1">
      <c r="A2" s="4" t="s">
        <v>41</v>
      </c>
      <c r="B2" s="4" t="s">
        <v>74</v>
      </c>
      <c r="C2" s="5" t="s">
        <v>75</v>
      </c>
      <c r="D2" s="6" t="s">
        <v>5</v>
      </c>
      <c r="E2" s="7" t="s">
        <v>76</v>
      </c>
      <c r="F2" s="7" t="s">
        <v>77</v>
      </c>
      <c r="G2" s="8" t="s">
        <v>78</v>
      </c>
      <c r="H2" s="9" t="s">
        <v>79</v>
      </c>
      <c r="I2" s="22" t="s">
        <v>80</v>
      </c>
      <c r="J2" s="23" t="s">
        <v>81</v>
      </c>
      <c r="K2" s="24" t="s">
        <v>82</v>
      </c>
      <c r="L2" s="8" t="s">
        <v>10</v>
      </c>
      <c r="M2" s="9" t="s">
        <v>11</v>
      </c>
      <c r="N2" s="9" t="s">
        <v>83</v>
      </c>
      <c r="O2" s="9" t="s">
        <v>84</v>
      </c>
      <c r="P2" s="9" t="s">
        <v>85</v>
      </c>
      <c r="Q2" s="9" t="s">
        <v>86</v>
      </c>
      <c r="R2" s="9" t="s">
        <v>87</v>
      </c>
      <c r="S2" s="32" t="s">
        <v>61</v>
      </c>
      <c r="T2" s="32" t="s">
        <v>62</v>
      </c>
      <c r="U2" s="32" t="s">
        <v>88</v>
      </c>
      <c r="V2" s="32" t="s">
        <v>89</v>
      </c>
      <c r="W2" s="32" t="s">
        <v>90</v>
      </c>
      <c r="X2" s="32" t="s">
        <v>91</v>
      </c>
      <c r="Y2" s="32" t="s">
        <v>92</v>
      </c>
      <c r="Z2" s="32" t="s">
        <v>93</v>
      </c>
      <c r="AA2" s="32" t="s">
        <v>94</v>
      </c>
      <c r="AB2" s="32" t="s">
        <v>95</v>
      </c>
      <c r="AC2" s="32" t="s">
        <v>96</v>
      </c>
      <c r="AD2" s="32" t="s">
        <v>97</v>
      </c>
      <c r="AE2" s="245" t="s">
        <v>105</v>
      </c>
      <c r="AF2" s="39" t="s">
        <v>103</v>
      </c>
      <c r="AG2" s="245" t="s">
        <v>100</v>
      </c>
      <c r="AH2" s="39" t="s">
        <v>104</v>
      </c>
    </row>
    <row r="3" spans="1:34">
      <c r="A3" s="10">
        <v>44501</v>
      </c>
      <c r="B3" s="252">
        <v>5190</v>
      </c>
      <c r="C3" s="12">
        <f t="shared" ref="C3" si="0">H3*G3+J3*I3+K3</f>
        <v>-3.25</v>
      </c>
      <c r="D3" s="12">
        <f>5190+C3</f>
        <v>5186.75</v>
      </c>
      <c r="E3" s="12"/>
      <c r="F3" s="13">
        <v>0</v>
      </c>
      <c r="G3" s="14">
        <f>IF((Q3-L3)&lt;0,-(Q3-L3)/2,IF((Q3-L3)&gt;0,-(Q3-M3)/2,0))+R3</f>
        <v>30.5</v>
      </c>
      <c r="H3" s="15">
        <v>0.7</v>
      </c>
      <c r="I3" s="15">
        <f>U3</f>
        <v>-82</v>
      </c>
      <c r="J3" s="25">
        <v>0.3</v>
      </c>
      <c r="K3" s="25"/>
      <c r="L3" s="253">
        <v>-69</v>
      </c>
      <c r="M3" s="253">
        <v>-49</v>
      </c>
      <c r="N3" s="254"/>
      <c r="O3" s="252">
        <v>5230</v>
      </c>
      <c r="P3" s="11">
        <v>90</v>
      </c>
      <c r="Q3" s="33">
        <f>5190-(P3+O3)</f>
        <v>-130</v>
      </c>
      <c r="R3" s="35">
        <v>0</v>
      </c>
      <c r="S3" s="242">
        <f>'青岛 - 螺纹'!S3</f>
        <v>4630</v>
      </c>
      <c r="T3" s="36">
        <v>4712</v>
      </c>
      <c r="U3" s="15">
        <f>S3-T3</f>
        <v>-82</v>
      </c>
      <c r="V3" s="26">
        <v>565</v>
      </c>
      <c r="W3" s="26">
        <v>577.5</v>
      </c>
      <c r="X3" s="26">
        <f>V3-W3</f>
        <v>-12.5</v>
      </c>
      <c r="Y3" s="26">
        <v>3040</v>
      </c>
      <c r="Z3" s="26">
        <v>3041</v>
      </c>
      <c r="AA3" s="26">
        <f>Y3-Z3</f>
        <v>-1</v>
      </c>
      <c r="AB3" s="26"/>
      <c r="AC3" s="26"/>
      <c r="AD3" s="26">
        <f>AB3-AC3</f>
        <v>0</v>
      </c>
      <c r="AE3" s="246"/>
      <c r="AF3" s="246"/>
      <c r="AG3" s="246"/>
      <c r="AH3" s="249"/>
    </row>
    <row r="4" spans="1:34">
      <c r="A4" s="16">
        <f>A3+1</f>
        <v>44502</v>
      </c>
      <c r="B4" s="239">
        <v>5070</v>
      </c>
      <c r="C4" s="18">
        <f>H4*G4+J4*I4</f>
        <v>-52.949999999999996</v>
      </c>
      <c r="D4" s="18">
        <f>B3+C4</f>
        <v>5137.05</v>
      </c>
      <c r="E4" s="18">
        <f t="shared" ref="E4:E27" si="1">D3</f>
        <v>5186.75</v>
      </c>
      <c r="F4" s="19">
        <v>0</v>
      </c>
      <c r="G4" s="14">
        <f>IF((Q4-L4)&lt;0,-(Q4-L4)/2,IF((Q4-L4)&gt;0,-(Q4-M4)/2,0))+R4</f>
        <v>-19.5</v>
      </c>
      <c r="H4" s="20">
        <f>H3</f>
        <v>0.7</v>
      </c>
      <c r="I4" s="20">
        <f>U4</f>
        <v>-131</v>
      </c>
      <c r="J4" s="28">
        <f>J3</f>
        <v>0.3</v>
      </c>
      <c r="K4" s="28"/>
      <c r="L4" s="20">
        <f>L3</f>
        <v>-69</v>
      </c>
      <c r="M4" s="20">
        <f>M3</f>
        <v>-49</v>
      </c>
      <c r="N4" s="255"/>
      <c r="O4" s="239">
        <v>5180</v>
      </c>
      <c r="P4" s="18">
        <f>P3</f>
        <v>90</v>
      </c>
      <c r="Q4" s="14">
        <f t="shared" ref="Q4:Q41" si="2">B3-(O3+P3)</f>
        <v>-130</v>
      </c>
      <c r="R4" s="37">
        <f>O4-O3</f>
        <v>-50</v>
      </c>
      <c r="S4" s="243">
        <f>'青岛 - 螺纹'!S4</f>
        <v>4499</v>
      </c>
      <c r="T4" s="38">
        <f>S3</f>
        <v>4630</v>
      </c>
      <c r="U4" s="20">
        <f t="shared" ref="U4:U41" si="3">S4-T4</f>
        <v>-131</v>
      </c>
      <c r="V4" s="30"/>
      <c r="W4" s="30"/>
      <c r="X4" s="30">
        <f t="shared" ref="X4" si="4">V4-W4</f>
        <v>0</v>
      </c>
      <c r="Y4" s="30"/>
      <c r="Z4" s="30"/>
      <c r="AA4" s="30">
        <f t="shared" ref="AA4" si="5">Y4-Z4</f>
        <v>0</v>
      </c>
      <c r="AB4" s="30"/>
      <c r="AC4" s="30"/>
      <c r="AD4" s="30">
        <f t="shared" ref="AD4" si="6">AB4-AC4</f>
        <v>0</v>
      </c>
      <c r="AE4" s="247"/>
      <c r="AF4" s="247"/>
      <c r="AG4" s="247"/>
      <c r="AH4" s="250"/>
    </row>
    <row r="5" spans="1:34">
      <c r="A5" s="16">
        <f t="shared" ref="A5:A41" si="7">A4+1</f>
        <v>44503</v>
      </c>
      <c r="B5" s="239">
        <v>4950</v>
      </c>
      <c r="C5" s="18">
        <f t="shared" ref="C5:C15" si="8">H5*G5+J5*I5</f>
        <v>-98.85</v>
      </c>
      <c r="D5" s="18">
        <f t="shared" ref="D5:D27" si="9">B4+C5</f>
        <v>4971.1499999999996</v>
      </c>
      <c r="E5" s="18">
        <f t="shared" si="1"/>
        <v>5137.05</v>
      </c>
      <c r="F5" s="19" t="e">
        <f>AH4/AF4</f>
        <v>#DIV/0!</v>
      </c>
      <c r="G5" s="14">
        <f t="shared" ref="G5:G27" si="10">IF((Q5-L5)&lt;0,-(Q5-L5)/2,IF((Q5-L5)&gt;0,-(Q5-M5)/2,0))+R5</f>
        <v>-34.5</v>
      </c>
      <c r="H5" s="20">
        <f t="shared" ref="H5:H27" si="11">H4</f>
        <v>0.7</v>
      </c>
      <c r="I5" s="20">
        <f t="shared" ref="I5:I27" si="12">U5</f>
        <v>-249</v>
      </c>
      <c r="J5" s="28">
        <f t="shared" ref="J5:J27" si="13">J4</f>
        <v>0.3</v>
      </c>
      <c r="K5" s="28"/>
      <c r="L5" s="20">
        <f t="shared" ref="L5:M20" si="14">L4</f>
        <v>-69</v>
      </c>
      <c r="M5" s="20">
        <f t="shared" si="14"/>
        <v>-49</v>
      </c>
      <c r="N5" s="255"/>
      <c r="O5" s="239">
        <v>5080</v>
      </c>
      <c r="P5" s="18">
        <f t="shared" ref="P5:P41" si="15">P4</f>
        <v>90</v>
      </c>
      <c r="Q5" s="14">
        <f t="shared" si="2"/>
        <v>-200</v>
      </c>
      <c r="R5" s="37">
        <f t="shared" ref="R5:R41" si="16">O5-O4</f>
        <v>-100</v>
      </c>
      <c r="S5" s="243">
        <f>'青岛 - 螺纹'!S5</f>
        <v>4250</v>
      </c>
      <c r="T5" s="38">
        <f t="shared" ref="T5:T41" si="17">S4</f>
        <v>4499</v>
      </c>
      <c r="U5" s="20">
        <f t="shared" si="3"/>
        <v>-249</v>
      </c>
      <c r="V5" s="30"/>
      <c r="W5" s="30"/>
      <c r="X5" s="30"/>
      <c r="Y5" s="30"/>
      <c r="Z5" s="30"/>
      <c r="AA5" s="30"/>
      <c r="AB5" s="30"/>
      <c r="AC5" s="30"/>
      <c r="AD5" s="30"/>
      <c r="AE5" s="247"/>
      <c r="AF5" s="247"/>
      <c r="AG5" s="247"/>
      <c r="AH5" s="250"/>
    </row>
    <row r="6" spans="1:34">
      <c r="A6" s="16">
        <f t="shared" si="7"/>
        <v>44504</v>
      </c>
      <c r="B6" s="239">
        <v>4950</v>
      </c>
      <c r="C6" s="18">
        <f t="shared" si="8"/>
        <v>76.25</v>
      </c>
      <c r="D6" s="18">
        <f t="shared" si="9"/>
        <v>5026.25</v>
      </c>
      <c r="E6" s="18">
        <f t="shared" si="1"/>
        <v>4971.1499999999996</v>
      </c>
      <c r="F6" s="19" t="e">
        <f>AH5/AF5</f>
        <v>#DIV/0!</v>
      </c>
      <c r="G6" s="14">
        <f t="shared" si="10"/>
        <v>45.5</v>
      </c>
      <c r="H6" s="20">
        <f t="shared" si="11"/>
        <v>0.7</v>
      </c>
      <c r="I6" s="20">
        <f t="shared" si="12"/>
        <v>148</v>
      </c>
      <c r="J6" s="28">
        <f t="shared" si="13"/>
        <v>0.3</v>
      </c>
      <c r="K6" s="28"/>
      <c r="L6" s="20">
        <f t="shared" si="14"/>
        <v>-69</v>
      </c>
      <c r="M6" s="20">
        <f t="shared" si="14"/>
        <v>-49</v>
      </c>
      <c r="N6" s="255"/>
      <c r="O6" s="239">
        <v>5050</v>
      </c>
      <c r="P6" s="18">
        <f t="shared" si="15"/>
        <v>90</v>
      </c>
      <c r="Q6" s="14">
        <f t="shared" si="2"/>
        <v>-220</v>
      </c>
      <c r="R6" s="37">
        <f t="shared" si="16"/>
        <v>-30</v>
      </c>
      <c r="S6" s="243">
        <f>'青岛 - 螺纹'!S6</f>
        <v>4398</v>
      </c>
      <c r="T6" s="38">
        <f t="shared" si="17"/>
        <v>4250</v>
      </c>
      <c r="U6" s="20">
        <f t="shared" si="3"/>
        <v>148</v>
      </c>
      <c r="V6" s="30"/>
      <c r="W6" s="30"/>
      <c r="X6" s="30"/>
      <c r="Y6" s="30"/>
      <c r="Z6" s="30"/>
      <c r="AA6" s="30"/>
      <c r="AB6" s="30"/>
      <c r="AC6" s="30"/>
      <c r="AD6" s="30"/>
      <c r="AE6" s="247"/>
      <c r="AF6" s="247"/>
      <c r="AG6" s="247"/>
      <c r="AH6" s="250"/>
    </row>
    <row r="7" spans="1:34">
      <c r="A7" s="16">
        <f t="shared" si="7"/>
        <v>44505</v>
      </c>
      <c r="B7" s="239">
        <v>4880</v>
      </c>
      <c r="C7" s="18">
        <f t="shared" si="8"/>
        <v>-5.6500000000000057</v>
      </c>
      <c r="D7" s="18">
        <f t="shared" si="9"/>
        <v>4944.3500000000004</v>
      </c>
      <c r="E7" s="18">
        <f t="shared" si="1"/>
        <v>5026.25</v>
      </c>
      <c r="F7" s="19" t="e">
        <f>AH6/AF6</f>
        <v>#DIV/0!</v>
      </c>
      <c r="G7" s="14">
        <f t="shared" si="10"/>
        <v>60.5</v>
      </c>
      <c r="H7" s="20">
        <f t="shared" si="11"/>
        <v>0.7</v>
      </c>
      <c r="I7" s="20">
        <f t="shared" si="12"/>
        <v>-160</v>
      </c>
      <c r="J7" s="28">
        <f t="shared" si="13"/>
        <v>0.3</v>
      </c>
      <c r="K7" s="28"/>
      <c r="L7" s="20">
        <f t="shared" si="14"/>
        <v>-69</v>
      </c>
      <c r="M7" s="20">
        <f t="shared" si="14"/>
        <v>-49</v>
      </c>
      <c r="N7" s="255"/>
      <c r="O7" s="239">
        <v>5050</v>
      </c>
      <c r="P7" s="18">
        <f t="shared" si="15"/>
        <v>90</v>
      </c>
      <c r="Q7" s="14">
        <f t="shared" si="2"/>
        <v>-190</v>
      </c>
      <c r="R7" s="37">
        <f t="shared" si="16"/>
        <v>0</v>
      </c>
      <c r="S7" s="243">
        <f>'青岛 - 螺纹'!S7</f>
        <v>4238</v>
      </c>
      <c r="T7" s="38">
        <f t="shared" si="17"/>
        <v>4398</v>
      </c>
      <c r="U7" s="20">
        <f t="shared" si="3"/>
        <v>-160</v>
      </c>
      <c r="V7" s="30"/>
      <c r="W7" s="30"/>
      <c r="X7" s="30"/>
      <c r="Y7" s="30"/>
      <c r="Z7" s="30"/>
      <c r="AA7" s="30"/>
      <c r="AB7" s="30"/>
      <c r="AC7" s="30"/>
      <c r="AD7" s="30"/>
      <c r="AE7" s="247"/>
      <c r="AF7" s="247"/>
      <c r="AG7" s="247"/>
      <c r="AH7" s="250"/>
    </row>
    <row r="8" spans="1:34">
      <c r="A8" s="16">
        <f t="shared" si="7"/>
        <v>44506</v>
      </c>
      <c r="B8" s="239">
        <v>4880</v>
      </c>
      <c r="C8" s="18">
        <f t="shared" si="8"/>
        <v>45.849999999999994</v>
      </c>
      <c r="D8" s="18">
        <f t="shared" si="9"/>
        <v>4925.8500000000004</v>
      </c>
      <c r="E8" s="18">
        <f t="shared" si="1"/>
        <v>4944.3500000000004</v>
      </c>
      <c r="F8" s="19" t="e">
        <f>AH7/AF7</f>
        <v>#DIV/0!</v>
      </c>
      <c r="G8" s="14">
        <f t="shared" si="10"/>
        <v>65.5</v>
      </c>
      <c r="H8" s="20">
        <f t="shared" si="11"/>
        <v>0.7</v>
      </c>
      <c r="I8" s="20">
        <f t="shared" si="12"/>
        <v>0</v>
      </c>
      <c r="J8" s="28">
        <f t="shared" si="13"/>
        <v>0.3</v>
      </c>
      <c r="K8" s="28"/>
      <c r="L8" s="20">
        <f t="shared" si="14"/>
        <v>-69</v>
      </c>
      <c r="M8" s="20">
        <f t="shared" si="14"/>
        <v>-49</v>
      </c>
      <c r="N8" s="255"/>
      <c r="O8" s="239">
        <v>5020</v>
      </c>
      <c r="P8" s="18">
        <f t="shared" si="15"/>
        <v>90</v>
      </c>
      <c r="Q8" s="14">
        <f t="shared" si="2"/>
        <v>-260</v>
      </c>
      <c r="R8" s="37">
        <f t="shared" si="16"/>
        <v>-30</v>
      </c>
      <c r="S8" s="243">
        <f>'青岛 - 螺纹'!S8</f>
        <v>4238</v>
      </c>
      <c r="T8" s="38">
        <f t="shared" si="17"/>
        <v>4238</v>
      </c>
      <c r="U8" s="20">
        <f t="shared" si="3"/>
        <v>0</v>
      </c>
      <c r="V8" s="30"/>
      <c r="W8" s="30"/>
      <c r="X8" s="30"/>
      <c r="Y8" s="30"/>
      <c r="Z8" s="30"/>
      <c r="AA8" s="30"/>
      <c r="AB8" s="30"/>
      <c r="AC8" s="30"/>
      <c r="AD8" s="30"/>
      <c r="AE8" s="247"/>
      <c r="AF8" s="247"/>
      <c r="AG8" s="247"/>
      <c r="AH8" s="250"/>
    </row>
    <row r="9" spans="1:34">
      <c r="A9" s="16">
        <f t="shared" si="7"/>
        <v>44507</v>
      </c>
      <c r="B9" s="239">
        <v>4900</v>
      </c>
      <c r="C9" s="18">
        <f t="shared" si="8"/>
        <v>56.349999999999994</v>
      </c>
      <c r="D9" s="18">
        <f t="shared" si="9"/>
        <v>4936.3500000000004</v>
      </c>
      <c r="E9" s="18">
        <f t="shared" si="1"/>
        <v>4925.8500000000004</v>
      </c>
      <c r="F9" s="19">
        <v>1</v>
      </c>
      <c r="G9" s="14">
        <f t="shared" si="10"/>
        <v>80.5</v>
      </c>
      <c r="H9" s="20">
        <f t="shared" si="11"/>
        <v>0.7</v>
      </c>
      <c r="I9" s="20">
        <f t="shared" si="12"/>
        <v>0</v>
      </c>
      <c r="J9" s="28">
        <f t="shared" si="13"/>
        <v>0.3</v>
      </c>
      <c r="K9" s="28"/>
      <c r="L9" s="20">
        <f t="shared" si="14"/>
        <v>-69</v>
      </c>
      <c r="M9" s="20">
        <f t="shared" si="14"/>
        <v>-49</v>
      </c>
      <c r="N9" s="255"/>
      <c r="O9" s="239">
        <v>5020</v>
      </c>
      <c r="P9" s="18">
        <f t="shared" si="15"/>
        <v>90</v>
      </c>
      <c r="Q9" s="14">
        <f t="shared" si="2"/>
        <v>-230</v>
      </c>
      <c r="R9" s="244">
        <f t="shared" si="16"/>
        <v>0</v>
      </c>
      <c r="S9" s="243">
        <f>'青岛 - 螺纹'!S9</f>
        <v>4238</v>
      </c>
      <c r="T9" s="38">
        <f t="shared" si="17"/>
        <v>4238</v>
      </c>
      <c r="U9" s="20">
        <f t="shared" si="3"/>
        <v>0</v>
      </c>
      <c r="V9" s="30"/>
      <c r="W9" s="30"/>
      <c r="X9" s="30"/>
      <c r="Y9" s="30"/>
      <c r="Z9" s="30"/>
      <c r="AA9" s="30"/>
      <c r="AB9" s="30"/>
      <c r="AC9" s="30"/>
      <c r="AD9" s="30"/>
      <c r="AE9" s="247"/>
      <c r="AF9" s="247"/>
      <c r="AG9" s="247"/>
      <c r="AH9" s="250"/>
    </row>
    <row r="10" spans="1:34">
      <c r="A10" s="16">
        <f t="shared" si="7"/>
        <v>44508</v>
      </c>
      <c r="B10" s="239">
        <v>4850</v>
      </c>
      <c r="C10" s="18">
        <f t="shared" si="8"/>
        <v>19.45</v>
      </c>
      <c r="D10" s="18">
        <f t="shared" si="9"/>
        <v>4919.45</v>
      </c>
      <c r="E10" s="18">
        <f t="shared" si="1"/>
        <v>4936.3500000000004</v>
      </c>
      <c r="F10" s="19" t="e">
        <f t="shared" ref="F10:F27" si="18">AH9/AF9</f>
        <v>#DIV/0!</v>
      </c>
      <c r="G10" s="14">
        <f t="shared" si="10"/>
        <v>20.5</v>
      </c>
      <c r="H10" s="20">
        <f t="shared" si="11"/>
        <v>0.7</v>
      </c>
      <c r="I10" s="20">
        <f t="shared" si="12"/>
        <v>17</v>
      </c>
      <c r="J10" s="28">
        <f t="shared" si="13"/>
        <v>0.3</v>
      </c>
      <c r="K10" s="28"/>
      <c r="L10" s="20">
        <f t="shared" si="14"/>
        <v>-69</v>
      </c>
      <c r="M10" s="20">
        <f t="shared" si="14"/>
        <v>-49</v>
      </c>
      <c r="N10" s="255"/>
      <c r="O10" s="239">
        <v>4970</v>
      </c>
      <c r="P10" s="18">
        <f t="shared" si="15"/>
        <v>90</v>
      </c>
      <c r="Q10" s="14">
        <f t="shared" si="2"/>
        <v>-210</v>
      </c>
      <c r="R10" s="244">
        <f t="shared" si="16"/>
        <v>-50</v>
      </c>
      <c r="S10" s="243">
        <f>'青岛 - 螺纹'!S10</f>
        <v>4255</v>
      </c>
      <c r="T10" s="38">
        <f t="shared" si="17"/>
        <v>4238</v>
      </c>
      <c r="U10" s="20">
        <f t="shared" si="3"/>
        <v>17</v>
      </c>
      <c r="V10" s="30"/>
      <c r="W10" s="30"/>
      <c r="X10" s="30"/>
      <c r="Y10" s="30"/>
      <c r="Z10" s="30"/>
      <c r="AA10" s="30"/>
      <c r="AB10" s="30"/>
      <c r="AC10" s="30"/>
      <c r="AD10" s="30"/>
      <c r="AE10" s="247"/>
      <c r="AF10" s="248"/>
      <c r="AG10" s="248"/>
      <c r="AH10" s="250"/>
    </row>
    <row r="11" spans="1:34">
      <c r="A11" s="16">
        <f t="shared" si="7"/>
        <v>44509</v>
      </c>
      <c r="B11" s="239">
        <v>4820</v>
      </c>
      <c r="C11" s="18">
        <f t="shared" si="8"/>
        <v>49.349999999999994</v>
      </c>
      <c r="D11" s="18">
        <f t="shared" si="9"/>
        <v>4899.3500000000004</v>
      </c>
      <c r="E11" s="18">
        <f t="shared" si="1"/>
        <v>4919.45</v>
      </c>
      <c r="F11" s="19" t="e">
        <f t="shared" si="18"/>
        <v>#DIV/0!</v>
      </c>
      <c r="G11" s="14">
        <f t="shared" si="10"/>
        <v>70.5</v>
      </c>
      <c r="H11" s="20">
        <f t="shared" si="11"/>
        <v>0.7</v>
      </c>
      <c r="I11" s="20">
        <f t="shared" si="12"/>
        <v>0</v>
      </c>
      <c r="J11" s="28">
        <f t="shared" si="13"/>
        <v>0.3</v>
      </c>
      <c r="K11" s="28"/>
      <c r="L11" s="20">
        <f t="shared" si="14"/>
        <v>-69</v>
      </c>
      <c r="M11" s="20">
        <f t="shared" si="14"/>
        <v>-49</v>
      </c>
      <c r="N11" s="255"/>
      <c r="O11" s="239">
        <v>4970</v>
      </c>
      <c r="P11" s="18">
        <f t="shared" si="15"/>
        <v>90</v>
      </c>
      <c r="Q11" s="14">
        <f t="shared" si="2"/>
        <v>-210</v>
      </c>
      <c r="R11" s="244">
        <f t="shared" si="16"/>
        <v>0</v>
      </c>
      <c r="S11" s="243">
        <f>'青岛 - 螺纹'!S11</f>
        <v>4255</v>
      </c>
      <c r="T11" s="38">
        <f t="shared" si="17"/>
        <v>4255</v>
      </c>
      <c r="U11" s="20">
        <f t="shared" si="3"/>
        <v>0</v>
      </c>
      <c r="V11" s="30"/>
      <c r="W11" s="30"/>
      <c r="X11" s="30"/>
      <c r="Y11" s="30"/>
      <c r="Z11" s="30"/>
      <c r="AA11" s="30"/>
      <c r="AB11" s="30"/>
      <c r="AC11" s="30"/>
      <c r="AD11" s="30"/>
      <c r="AE11" s="247"/>
      <c r="AF11" s="248"/>
      <c r="AG11" s="248"/>
      <c r="AH11" s="250"/>
    </row>
    <row r="12" spans="1:34">
      <c r="A12" s="16">
        <f t="shared" si="7"/>
        <v>44510</v>
      </c>
      <c r="B12" s="239">
        <v>4680</v>
      </c>
      <c r="C12" s="18">
        <f t="shared" si="8"/>
        <v>0.35000000000000142</v>
      </c>
      <c r="D12" s="18">
        <f t="shared" si="9"/>
        <v>4820.3500000000004</v>
      </c>
      <c r="E12" s="18">
        <f t="shared" si="1"/>
        <v>4899.3500000000004</v>
      </c>
      <c r="F12" s="19" t="e">
        <f t="shared" si="18"/>
        <v>#DIV/0!</v>
      </c>
      <c r="G12" s="14">
        <f t="shared" si="10"/>
        <v>-14.5</v>
      </c>
      <c r="H12" s="20">
        <f t="shared" si="11"/>
        <v>0.7</v>
      </c>
      <c r="I12" s="20">
        <f t="shared" si="12"/>
        <v>35</v>
      </c>
      <c r="J12" s="28">
        <f t="shared" si="13"/>
        <v>0.3</v>
      </c>
      <c r="K12" s="28"/>
      <c r="L12" s="20">
        <f t="shared" si="14"/>
        <v>-69</v>
      </c>
      <c r="M12" s="20">
        <f t="shared" si="14"/>
        <v>-49</v>
      </c>
      <c r="N12" s="255"/>
      <c r="O12" s="239">
        <v>4870</v>
      </c>
      <c r="P12" s="18">
        <f t="shared" si="15"/>
        <v>90</v>
      </c>
      <c r="Q12" s="14">
        <f t="shared" si="2"/>
        <v>-240</v>
      </c>
      <c r="R12" s="244">
        <f t="shared" si="16"/>
        <v>-100</v>
      </c>
      <c r="S12" s="243">
        <f>'青岛 - 螺纹'!S12</f>
        <v>4290</v>
      </c>
      <c r="T12" s="38">
        <f t="shared" si="17"/>
        <v>4255</v>
      </c>
      <c r="U12" s="20">
        <f t="shared" si="3"/>
        <v>35</v>
      </c>
      <c r="V12" s="30"/>
      <c r="W12" s="30"/>
      <c r="X12" s="30"/>
      <c r="Y12" s="30"/>
      <c r="Z12" s="30"/>
      <c r="AA12" s="30"/>
      <c r="AB12" s="30"/>
      <c r="AC12" s="30"/>
      <c r="AD12" s="30"/>
      <c r="AE12" s="247"/>
      <c r="AF12" s="248"/>
      <c r="AG12" s="248"/>
      <c r="AH12" s="250"/>
    </row>
    <row r="13" spans="1:34">
      <c r="A13" s="16">
        <f t="shared" si="7"/>
        <v>44511</v>
      </c>
      <c r="B13" s="239">
        <v>4680</v>
      </c>
      <c r="C13" s="18">
        <f t="shared" si="8"/>
        <v>-31.45</v>
      </c>
      <c r="D13" s="18">
        <f t="shared" si="9"/>
        <v>4648.55</v>
      </c>
      <c r="E13" s="18">
        <f t="shared" si="1"/>
        <v>4820.3500000000004</v>
      </c>
      <c r="F13" s="19" t="e">
        <f t="shared" si="18"/>
        <v>#DIV/0!</v>
      </c>
      <c r="G13" s="14">
        <f t="shared" si="10"/>
        <v>-14.5</v>
      </c>
      <c r="H13" s="20">
        <f t="shared" si="11"/>
        <v>0.7</v>
      </c>
      <c r="I13" s="20">
        <f t="shared" si="12"/>
        <v>-71</v>
      </c>
      <c r="J13" s="28">
        <f t="shared" si="13"/>
        <v>0.3</v>
      </c>
      <c r="K13" s="28"/>
      <c r="L13" s="20">
        <f t="shared" si="14"/>
        <v>-69</v>
      </c>
      <c r="M13" s="20">
        <f t="shared" si="14"/>
        <v>-49</v>
      </c>
      <c r="N13" s="255"/>
      <c r="O13" s="239">
        <v>4750</v>
      </c>
      <c r="P13" s="18">
        <f t="shared" si="15"/>
        <v>90</v>
      </c>
      <c r="Q13" s="14">
        <f t="shared" si="2"/>
        <v>-280</v>
      </c>
      <c r="R13" s="244">
        <f t="shared" si="16"/>
        <v>-120</v>
      </c>
      <c r="S13" s="243">
        <f>'青岛 - 螺纹'!S13</f>
        <v>4219</v>
      </c>
      <c r="T13" s="38">
        <f t="shared" si="17"/>
        <v>4290</v>
      </c>
      <c r="U13" s="20">
        <f t="shared" si="3"/>
        <v>-71</v>
      </c>
      <c r="V13" s="30"/>
      <c r="W13" s="30"/>
      <c r="X13" s="30"/>
      <c r="Y13" s="30"/>
      <c r="Z13" s="30"/>
      <c r="AA13" s="30"/>
      <c r="AB13" s="30"/>
      <c r="AC13" s="30"/>
      <c r="AD13" s="30"/>
      <c r="AE13" s="247"/>
      <c r="AF13" s="248"/>
      <c r="AG13" s="248"/>
      <c r="AH13" s="250"/>
    </row>
    <row r="14" spans="1:34">
      <c r="A14" s="16">
        <f t="shared" si="7"/>
        <v>44512</v>
      </c>
      <c r="B14" s="239">
        <f>4910-180</f>
        <v>4730</v>
      </c>
      <c r="C14" s="18">
        <f t="shared" si="8"/>
        <v>-3231.3499999999995</v>
      </c>
      <c r="D14" s="18">
        <f t="shared" si="9"/>
        <v>1448.6500000000005</v>
      </c>
      <c r="E14" s="18">
        <f t="shared" si="1"/>
        <v>4648.55</v>
      </c>
      <c r="F14" s="19" t="e">
        <f t="shared" si="18"/>
        <v>#DIV/0!</v>
      </c>
      <c r="G14" s="14">
        <f t="shared" si="10"/>
        <v>-4704.5</v>
      </c>
      <c r="H14" s="20">
        <f t="shared" si="11"/>
        <v>0.7</v>
      </c>
      <c r="I14" s="20">
        <f t="shared" si="12"/>
        <v>206</v>
      </c>
      <c r="J14" s="28">
        <f t="shared" si="13"/>
        <v>0.3</v>
      </c>
      <c r="K14" s="241" t="e">
        <f t="shared" ref="K14:K15" si="19">MIN(-(AF14-AE13)/AH14,100)</f>
        <v>#DIV/0!</v>
      </c>
      <c r="L14" s="20">
        <f t="shared" si="14"/>
        <v>-69</v>
      </c>
      <c r="M14" s="20">
        <f t="shared" si="14"/>
        <v>-49</v>
      </c>
      <c r="N14" s="255"/>
      <c r="O14" s="239"/>
      <c r="P14" s="18">
        <f t="shared" si="15"/>
        <v>90</v>
      </c>
      <c r="Q14" s="14">
        <f t="shared" si="2"/>
        <v>-160</v>
      </c>
      <c r="R14" s="244">
        <f t="shared" si="16"/>
        <v>-4750</v>
      </c>
      <c r="S14" s="243">
        <f>'青岛 - 螺纹'!S14</f>
        <v>4425</v>
      </c>
      <c r="T14" s="38">
        <f t="shared" si="17"/>
        <v>4219</v>
      </c>
      <c r="U14" s="20">
        <f t="shared" si="3"/>
        <v>206</v>
      </c>
      <c r="V14" s="30"/>
      <c r="W14" s="30"/>
      <c r="X14" s="30"/>
      <c r="Y14" s="30"/>
      <c r="Z14" s="30"/>
      <c r="AA14" s="30"/>
      <c r="AB14" s="30"/>
      <c r="AC14" s="30"/>
      <c r="AD14" s="30"/>
      <c r="AE14" s="247"/>
      <c r="AF14" s="248"/>
      <c r="AG14" s="248"/>
      <c r="AH14" s="250"/>
    </row>
    <row r="15" spans="1:34">
      <c r="A15" s="16">
        <f t="shared" si="7"/>
        <v>44513</v>
      </c>
      <c r="B15" s="239"/>
      <c r="C15" s="18">
        <f t="shared" si="8"/>
        <v>-2968.6499999999996</v>
      </c>
      <c r="D15" s="18">
        <f t="shared" si="9"/>
        <v>1761.3500000000004</v>
      </c>
      <c r="E15" s="18">
        <f t="shared" si="1"/>
        <v>1448.6500000000005</v>
      </c>
      <c r="F15" s="19" t="e">
        <f t="shared" si="18"/>
        <v>#DIV/0!</v>
      </c>
      <c r="G15" s="14">
        <f t="shared" si="10"/>
        <v>-2344.5</v>
      </c>
      <c r="H15" s="20">
        <f t="shared" si="11"/>
        <v>0.7</v>
      </c>
      <c r="I15" s="20">
        <f t="shared" si="12"/>
        <v>-4425</v>
      </c>
      <c r="J15" s="28">
        <f t="shared" si="13"/>
        <v>0.3</v>
      </c>
      <c r="K15" s="241" t="e">
        <f t="shared" si="19"/>
        <v>#DIV/0!</v>
      </c>
      <c r="L15" s="20">
        <f t="shared" si="14"/>
        <v>-69</v>
      </c>
      <c r="M15" s="20">
        <f t="shared" si="14"/>
        <v>-49</v>
      </c>
      <c r="N15" s="255"/>
      <c r="O15" s="239"/>
      <c r="P15" s="18">
        <f t="shared" si="15"/>
        <v>90</v>
      </c>
      <c r="Q15" s="14">
        <f t="shared" si="2"/>
        <v>4640</v>
      </c>
      <c r="R15" s="244">
        <f t="shared" si="16"/>
        <v>0</v>
      </c>
      <c r="S15" s="243">
        <f>'青岛 - 螺纹'!S15</f>
        <v>0</v>
      </c>
      <c r="T15" s="38">
        <f t="shared" si="17"/>
        <v>4425</v>
      </c>
      <c r="U15" s="20">
        <f t="shared" si="3"/>
        <v>-4425</v>
      </c>
      <c r="V15" s="30"/>
      <c r="W15" s="30"/>
      <c r="X15" s="30"/>
      <c r="Y15" s="30"/>
      <c r="Z15" s="30"/>
      <c r="AA15" s="30"/>
      <c r="AB15" s="30"/>
      <c r="AC15" s="30"/>
      <c r="AD15" s="30"/>
      <c r="AE15" s="247"/>
      <c r="AF15" s="248"/>
      <c r="AG15" s="251"/>
      <c r="AH15" s="250"/>
    </row>
    <row r="16" spans="1:34">
      <c r="A16" s="16">
        <f t="shared" si="7"/>
        <v>44514</v>
      </c>
      <c r="B16" s="239">
        <v>4800</v>
      </c>
      <c r="C16" s="18">
        <f t="shared" ref="C16:C41" si="20">H16*G16+J16*I16+K16</f>
        <v>4574.8500000000004</v>
      </c>
      <c r="D16" s="18">
        <f t="shared" si="9"/>
        <v>4574.8500000000004</v>
      </c>
      <c r="E16" s="18">
        <f t="shared" si="1"/>
        <v>1761.3500000000004</v>
      </c>
      <c r="F16" s="19" t="e">
        <f t="shared" si="18"/>
        <v>#DIV/0!</v>
      </c>
      <c r="G16" s="14">
        <f t="shared" si="10"/>
        <v>4710.5</v>
      </c>
      <c r="H16" s="20">
        <f t="shared" si="11"/>
        <v>0.7</v>
      </c>
      <c r="I16" s="20">
        <f t="shared" si="12"/>
        <v>4425</v>
      </c>
      <c r="J16" s="28">
        <f t="shared" si="13"/>
        <v>0.3</v>
      </c>
      <c r="K16" s="241">
        <f t="shared" ref="K16:K30" si="21">MIN(MAX((AG15-100%)*50,-50),50)</f>
        <v>-50</v>
      </c>
      <c r="L16" s="20">
        <f t="shared" si="14"/>
        <v>-69</v>
      </c>
      <c r="M16" s="20">
        <f t="shared" si="14"/>
        <v>-49</v>
      </c>
      <c r="N16" s="255"/>
      <c r="O16" s="239">
        <v>4700</v>
      </c>
      <c r="P16" s="18">
        <f t="shared" si="15"/>
        <v>90</v>
      </c>
      <c r="Q16" s="14">
        <f t="shared" si="2"/>
        <v>-90</v>
      </c>
      <c r="R16" s="244">
        <f t="shared" si="16"/>
        <v>4700</v>
      </c>
      <c r="S16" s="243">
        <f>'青岛 - 螺纹'!S16</f>
        <v>4425</v>
      </c>
      <c r="T16" s="38">
        <f t="shared" si="17"/>
        <v>0</v>
      </c>
      <c r="U16" s="20">
        <f t="shared" si="3"/>
        <v>4425</v>
      </c>
      <c r="V16" s="30"/>
      <c r="W16" s="30"/>
      <c r="X16" s="30"/>
      <c r="Y16" s="30"/>
      <c r="Z16" s="30"/>
      <c r="AA16" s="30"/>
      <c r="AB16" s="30"/>
      <c r="AC16" s="30"/>
      <c r="AD16" s="30"/>
      <c r="AE16" s="247"/>
      <c r="AF16" s="248"/>
      <c r="AG16" s="251"/>
      <c r="AH16" s="243">
        <v>75</v>
      </c>
    </row>
    <row r="17" spans="1:34">
      <c r="A17" s="16">
        <f t="shared" si="7"/>
        <v>44515</v>
      </c>
      <c r="B17" s="239">
        <v>4620</v>
      </c>
      <c r="C17" s="18">
        <f t="shared" si="20"/>
        <v>-167.65</v>
      </c>
      <c r="D17" s="18">
        <f t="shared" si="9"/>
        <v>4632.3500000000004</v>
      </c>
      <c r="E17" s="18">
        <f t="shared" si="1"/>
        <v>4574.8500000000004</v>
      </c>
      <c r="F17" s="19" t="e">
        <f t="shared" si="18"/>
        <v>#DIV/0!</v>
      </c>
      <c r="G17" s="14">
        <f t="shared" si="10"/>
        <v>-69.5</v>
      </c>
      <c r="H17" s="20">
        <f t="shared" si="11"/>
        <v>0.7</v>
      </c>
      <c r="I17" s="20">
        <f t="shared" si="12"/>
        <v>-230</v>
      </c>
      <c r="J17" s="28">
        <f t="shared" si="13"/>
        <v>0.3</v>
      </c>
      <c r="K17" s="241">
        <f t="shared" si="21"/>
        <v>-50</v>
      </c>
      <c r="L17" s="20">
        <f t="shared" si="14"/>
        <v>-69</v>
      </c>
      <c r="M17" s="20">
        <f t="shared" si="14"/>
        <v>-49</v>
      </c>
      <c r="N17" s="255"/>
      <c r="O17" s="239">
        <v>4660</v>
      </c>
      <c r="P17" s="18">
        <f t="shared" si="15"/>
        <v>90</v>
      </c>
      <c r="Q17" s="14">
        <f t="shared" si="2"/>
        <v>10</v>
      </c>
      <c r="R17" s="244">
        <f t="shared" si="16"/>
        <v>-40</v>
      </c>
      <c r="S17" s="243">
        <f>'青岛 - 螺纹'!S17</f>
        <v>4195</v>
      </c>
      <c r="T17" s="38">
        <f t="shared" si="17"/>
        <v>4425</v>
      </c>
      <c r="U17" s="20">
        <f t="shared" si="3"/>
        <v>-230</v>
      </c>
      <c r="V17" s="30"/>
      <c r="W17" s="30"/>
      <c r="X17" s="30"/>
      <c r="Y17" s="30"/>
      <c r="Z17" s="30"/>
      <c r="AA17" s="30"/>
      <c r="AB17" s="30"/>
      <c r="AC17" s="30"/>
      <c r="AD17" s="30"/>
      <c r="AE17" s="248">
        <f>VLOOKUP($A17,每日销量追踪!$A$3:$CM$75,5,0)</f>
        <v>1279.9110000000001</v>
      </c>
      <c r="AF17" s="248">
        <f>VLOOKUP($A17,每日销量追踪!$A$3:$CM$75,32,0)</f>
        <v>2076.9000000000037</v>
      </c>
      <c r="AG17" s="251">
        <f>VLOOKUP($A17,每日销量追踪!$A$3:$CM$75,44,0)</f>
        <v>0.61626029178101871</v>
      </c>
      <c r="AH17" s="243">
        <v>75</v>
      </c>
    </row>
    <row r="18" spans="1:34">
      <c r="A18" s="16">
        <f t="shared" si="7"/>
        <v>44516</v>
      </c>
      <c r="B18" s="239">
        <f>4800-180</f>
        <v>4620</v>
      </c>
      <c r="C18" s="18">
        <f t="shared" si="20"/>
        <v>-10.436985410949065</v>
      </c>
      <c r="D18" s="18">
        <f t="shared" si="9"/>
        <v>4609.5630145890509</v>
      </c>
      <c r="E18" s="18">
        <f t="shared" si="1"/>
        <v>4632.3500000000004</v>
      </c>
      <c r="F18" s="19">
        <f t="shared" si="18"/>
        <v>3.6111512350137161E-2</v>
      </c>
      <c r="G18" s="14">
        <f t="shared" si="10"/>
        <v>30.5</v>
      </c>
      <c r="H18" s="20">
        <f t="shared" si="11"/>
        <v>0.7</v>
      </c>
      <c r="I18" s="20">
        <f t="shared" si="12"/>
        <v>-42</v>
      </c>
      <c r="J18" s="28">
        <f t="shared" si="13"/>
        <v>0.3</v>
      </c>
      <c r="K18" s="241">
        <f t="shared" si="21"/>
        <v>-19.186985410949063</v>
      </c>
      <c r="L18" s="20">
        <f t="shared" si="14"/>
        <v>-69</v>
      </c>
      <c r="M18" s="20">
        <f t="shared" si="14"/>
        <v>-49</v>
      </c>
      <c r="N18" s="255"/>
      <c r="O18" s="239">
        <v>4660</v>
      </c>
      <c r="P18" s="18">
        <f t="shared" si="15"/>
        <v>90</v>
      </c>
      <c r="Q18" s="14">
        <f t="shared" si="2"/>
        <v>-130</v>
      </c>
      <c r="R18" s="244">
        <f t="shared" si="16"/>
        <v>0</v>
      </c>
      <c r="S18" s="243">
        <f>'青岛 - 螺纹'!S18</f>
        <v>4153</v>
      </c>
      <c r="T18" s="38">
        <f t="shared" si="17"/>
        <v>4195</v>
      </c>
      <c r="U18" s="20">
        <f t="shared" si="3"/>
        <v>-42</v>
      </c>
      <c r="V18" s="30"/>
      <c r="W18" s="30"/>
      <c r="X18" s="30"/>
      <c r="Y18" s="30"/>
      <c r="Z18" s="30"/>
      <c r="AA18" s="30"/>
      <c r="AB18" s="30"/>
      <c r="AC18" s="30"/>
      <c r="AD18" s="30"/>
      <c r="AE18" s="248">
        <f>VLOOKUP($A18,每日销量追踪!$A$3:$CM$75,5,0)</f>
        <v>4743.4110000000001</v>
      </c>
      <c r="AF18" s="248">
        <f>VLOOKUP($A18,每日销量追踪!$A$3:$CM$75,32,0)</f>
        <v>2076.9000000000037</v>
      </c>
      <c r="AG18" s="251">
        <f>VLOOKUP($A18,每日销量追踪!$A$3:$CM$75,44,0)</f>
        <v>1.4500751119456856</v>
      </c>
      <c r="AH18" s="243">
        <v>75</v>
      </c>
    </row>
    <row r="19" spans="1:34">
      <c r="A19" s="16">
        <f t="shared" si="7"/>
        <v>44517</v>
      </c>
      <c r="B19" s="239">
        <v>4620</v>
      </c>
      <c r="C19" s="18">
        <f t="shared" si="20"/>
        <v>42.353755597284277</v>
      </c>
      <c r="D19" s="18">
        <f t="shared" si="9"/>
        <v>4662.3537555972844</v>
      </c>
      <c r="E19" s="18">
        <f t="shared" si="1"/>
        <v>4609.5630145890509</v>
      </c>
      <c r="F19" s="19">
        <f t="shared" si="18"/>
        <v>3.6111512350137161E-2</v>
      </c>
      <c r="G19" s="14">
        <f t="shared" si="10"/>
        <v>30.5</v>
      </c>
      <c r="H19" s="20">
        <f t="shared" si="11"/>
        <v>0.7</v>
      </c>
      <c r="I19" s="20">
        <f t="shared" si="12"/>
        <v>-5</v>
      </c>
      <c r="J19" s="28">
        <f t="shared" si="13"/>
        <v>0.3</v>
      </c>
      <c r="K19" s="241">
        <f t="shared" si="21"/>
        <v>22.503755597284282</v>
      </c>
      <c r="L19" s="20">
        <f t="shared" si="14"/>
        <v>-69</v>
      </c>
      <c r="M19" s="20">
        <f t="shared" si="14"/>
        <v>-49</v>
      </c>
      <c r="N19" s="255"/>
      <c r="O19" s="239">
        <v>4660</v>
      </c>
      <c r="P19" s="18">
        <f t="shared" si="15"/>
        <v>90</v>
      </c>
      <c r="Q19" s="14">
        <f t="shared" si="2"/>
        <v>-130</v>
      </c>
      <c r="R19" s="244">
        <f t="shared" si="16"/>
        <v>0</v>
      </c>
      <c r="S19" s="243">
        <f>'青岛 - 螺纹'!S19</f>
        <v>4148</v>
      </c>
      <c r="T19" s="38">
        <f t="shared" si="17"/>
        <v>4153</v>
      </c>
      <c r="U19" s="20">
        <f t="shared" si="3"/>
        <v>-5</v>
      </c>
      <c r="V19" s="30"/>
      <c r="W19" s="30"/>
      <c r="X19" s="30"/>
      <c r="Y19" s="30"/>
      <c r="Z19" s="30"/>
      <c r="AA19" s="30"/>
      <c r="AB19" s="30"/>
      <c r="AC19" s="30"/>
      <c r="AD19" s="30"/>
      <c r="AE19" s="248">
        <f>VLOOKUP($A19,每日销量追踪!$A$3:$CM$75,5,0)</f>
        <v>1057.327</v>
      </c>
      <c r="AF19" s="248">
        <f>VLOOKUP($A19,每日销量追踪!$A$3:$CM$75,32,0)</f>
        <v>2076.9000000000037</v>
      </c>
      <c r="AG19" s="251">
        <f>VLOOKUP($A19,每日销量追踪!$A$3:$CM$75,44,0)</f>
        <v>1.1364130836021613</v>
      </c>
      <c r="AH19" s="243">
        <v>75</v>
      </c>
    </row>
    <row r="20" spans="1:34">
      <c r="A20" s="16">
        <f t="shared" si="7"/>
        <v>44518</v>
      </c>
      <c r="B20" s="239">
        <v>4590</v>
      </c>
      <c r="C20" s="18">
        <f t="shared" si="20"/>
        <v>48.570654180108065</v>
      </c>
      <c r="D20" s="18">
        <f t="shared" si="9"/>
        <v>4668.5706541801082</v>
      </c>
      <c r="E20" s="18">
        <f t="shared" si="1"/>
        <v>4662.3537555972844</v>
      </c>
      <c r="F20" s="19">
        <f t="shared" si="18"/>
        <v>3.6111512350137161E-2</v>
      </c>
      <c r="G20" s="14">
        <f t="shared" si="10"/>
        <v>30.5</v>
      </c>
      <c r="H20" s="20">
        <f t="shared" si="11"/>
        <v>0.7</v>
      </c>
      <c r="I20" s="20">
        <f t="shared" si="12"/>
        <v>68</v>
      </c>
      <c r="J20" s="28">
        <f t="shared" si="13"/>
        <v>0.3</v>
      </c>
      <c r="K20" s="241">
        <f t="shared" si="21"/>
        <v>6.8206541801080656</v>
      </c>
      <c r="L20" s="20">
        <f t="shared" si="14"/>
        <v>-69</v>
      </c>
      <c r="M20" s="20">
        <f t="shared" si="14"/>
        <v>-49</v>
      </c>
      <c r="N20" s="255"/>
      <c r="O20" s="239">
        <v>4660</v>
      </c>
      <c r="P20" s="18">
        <f t="shared" si="15"/>
        <v>90</v>
      </c>
      <c r="Q20" s="14">
        <f t="shared" si="2"/>
        <v>-130</v>
      </c>
      <c r="R20" s="244">
        <f t="shared" si="16"/>
        <v>0</v>
      </c>
      <c r="S20" s="243">
        <f>'青岛 - 螺纹'!S20</f>
        <v>4216</v>
      </c>
      <c r="T20" s="38">
        <f t="shared" si="17"/>
        <v>4148</v>
      </c>
      <c r="U20" s="20">
        <f t="shared" si="3"/>
        <v>68</v>
      </c>
      <c r="V20" s="30"/>
      <c r="W20" s="30"/>
      <c r="X20" s="30"/>
      <c r="Y20" s="30"/>
      <c r="Z20" s="30"/>
      <c r="AA20" s="30"/>
      <c r="AB20" s="30"/>
      <c r="AC20" s="30"/>
      <c r="AD20" s="30"/>
      <c r="AE20" s="248">
        <f>VLOOKUP($A20,每日销量追踪!$A$3:$CM$75,5,0)</f>
        <v>2320.6869999999999</v>
      </c>
      <c r="AF20" s="248">
        <f>VLOOKUP($A20,每日销量追踪!$A$3:$CM$75,32,0)</f>
        <v>2076.9000000000037</v>
      </c>
      <c r="AG20" s="251">
        <f>VLOOKUP($A20,每日销量追踪!$A$3:$CM$75,44,0)</f>
        <v>1.1316548702392968</v>
      </c>
      <c r="AH20" s="243">
        <v>75</v>
      </c>
    </row>
    <row r="21" spans="1:34">
      <c r="A21" s="16">
        <f t="shared" si="7"/>
        <v>44519</v>
      </c>
      <c r="B21" s="239">
        <v>4590</v>
      </c>
      <c r="C21" s="18">
        <f t="shared" si="20"/>
        <v>21.632743511964836</v>
      </c>
      <c r="D21" s="18">
        <f t="shared" si="9"/>
        <v>4611.6327435119647</v>
      </c>
      <c r="E21" s="18">
        <f t="shared" si="1"/>
        <v>4668.5706541801082</v>
      </c>
      <c r="F21" s="19">
        <f t="shared" si="18"/>
        <v>3.6111512350137161E-2</v>
      </c>
      <c r="G21" s="14">
        <f t="shared" si="10"/>
        <v>45.5</v>
      </c>
      <c r="H21" s="20">
        <f t="shared" si="11"/>
        <v>0.7</v>
      </c>
      <c r="I21" s="20">
        <f t="shared" si="12"/>
        <v>-56</v>
      </c>
      <c r="J21" s="28">
        <f t="shared" si="13"/>
        <v>0.3</v>
      </c>
      <c r="K21" s="241">
        <f t="shared" si="21"/>
        <v>6.5827435119648392</v>
      </c>
      <c r="L21" s="20">
        <f t="shared" ref="L21:M27" si="22">L20</f>
        <v>-69</v>
      </c>
      <c r="M21" s="20">
        <f t="shared" si="22"/>
        <v>-49</v>
      </c>
      <c r="N21" s="255"/>
      <c r="O21" s="239">
        <v>4660</v>
      </c>
      <c r="P21" s="18">
        <f t="shared" si="15"/>
        <v>90</v>
      </c>
      <c r="Q21" s="14">
        <f t="shared" si="2"/>
        <v>-160</v>
      </c>
      <c r="R21" s="244">
        <f t="shared" si="16"/>
        <v>0</v>
      </c>
      <c r="S21" s="243">
        <f>'青岛 - 螺纹'!S21</f>
        <v>4160</v>
      </c>
      <c r="T21" s="38">
        <f t="shared" si="17"/>
        <v>4216</v>
      </c>
      <c r="U21" s="20">
        <f t="shared" si="3"/>
        <v>-56</v>
      </c>
      <c r="V21" s="30"/>
      <c r="W21" s="30"/>
      <c r="X21" s="30"/>
      <c r="Y21" s="30"/>
      <c r="Z21" s="30"/>
      <c r="AA21" s="30"/>
      <c r="AB21" s="30"/>
      <c r="AC21" s="30"/>
      <c r="AD21" s="30"/>
      <c r="AE21" s="248">
        <f>VLOOKUP($A21,每日销量追踪!$A$3:$CM$75,5,0)</f>
        <v>5960.8860000000004</v>
      </c>
      <c r="AF21" s="248">
        <f>VLOOKUP($A21,每日销量追踪!$A$3:$CM$75,32,0)</f>
        <v>2076.9000000000037</v>
      </c>
      <c r="AG21" s="251">
        <f>VLOOKUP($A21,每日销量追踪!$A$3:$CM$75,44,0)</f>
        <v>1.4793415186094634</v>
      </c>
      <c r="AH21" s="243">
        <v>75</v>
      </c>
    </row>
    <row r="22" spans="1:34">
      <c r="A22" s="16">
        <f t="shared" si="7"/>
        <v>44520</v>
      </c>
      <c r="B22" s="239">
        <v>4620</v>
      </c>
      <c r="C22" s="18">
        <f t="shared" si="20"/>
        <v>55.817075930473166</v>
      </c>
      <c r="D22" s="18">
        <f t="shared" si="9"/>
        <v>4645.817075930473</v>
      </c>
      <c r="E22" s="18">
        <f t="shared" si="1"/>
        <v>4611.6327435119647</v>
      </c>
      <c r="F22" s="19">
        <f t="shared" si="18"/>
        <v>3.6111512350137161E-2</v>
      </c>
      <c r="G22" s="14">
        <f t="shared" si="10"/>
        <v>45.5</v>
      </c>
      <c r="H22" s="20">
        <f t="shared" si="11"/>
        <v>0.7</v>
      </c>
      <c r="I22" s="20">
        <f t="shared" si="12"/>
        <v>0</v>
      </c>
      <c r="J22" s="28">
        <f t="shared" si="13"/>
        <v>0.3</v>
      </c>
      <c r="K22" s="241">
        <f t="shared" si="21"/>
        <v>23.967075930473168</v>
      </c>
      <c r="L22" s="20">
        <f t="shared" si="22"/>
        <v>-69</v>
      </c>
      <c r="M22" s="20">
        <f t="shared" si="22"/>
        <v>-49</v>
      </c>
      <c r="N22" s="255"/>
      <c r="O22" s="239">
        <v>4660</v>
      </c>
      <c r="P22" s="18">
        <f t="shared" si="15"/>
        <v>90</v>
      </c>
      <c r="Q22" s="14">
        <f t="shared" si="2"/>
        <v>-160</v>
      </c>
      <c r="R22" s="244">
        <f t="shared" si="16"/>
        <v>0</v>
      </c>
      <c r="S22" s="243">
        <f>'青岛 - 螺纹'!S22</f>
        <v>4160</v>
      </c>
      <c r="T22" s="38">
        <f t="shared" si="17"/>
        <v>4160</v>
      </c>
      <c r="U22" s="20">
        <f t="shared" si="3"/>
        <v>0</v>
      </c>
      <c r="V22" s="30"/>
      <c r="W22" s="30"/>
      <c r="X22" s="30"/>
      <c r="Y22" s="30"/>
      <c r="Z22" s="30"/>
      <c r="AA22" s="30"/>
      <c r="AB22" s="30"/>
      <c r="AC22" s="30"/>
      <c r="AD22" s="30"/>
      <c r="AE22" s="248">
        <f>VLOOKUP($A22,每日销量追踪!$A$3:$CM$75,5,0)</f>
        <v>1590.827</v>
      </c>
      <c r="AF22" s="248">
        <f>VLOOKUP($A22,每日销量追踪!$A$3:$CM$75,32,0)</f>
        <v>1038.4499999999996</v>
      </c>
      <c r="AG22" s="251">
        <f>VLOOKUP($A22,每日销量追踪!$A$3:$CM$75,44,0)</f>
        <v>1.4841217899054073</v>
      </c>
      <c r="AH22" s="243">
        <v>75</v>
      </c>
    </row>
    <row r="23" spans="1:34">
      <c r="A23" s="16">
        <f t="shared" si="7"/>
        <v>44521</v>
      </c>
      <c r="B23" s="239">
        <v>4620</v>
      </c>
      <c r="C23" s="18">
        <f t="shared" si="20"/>
        <v>143.55608949527036</v>
      </c>
      <c r="D23" s="18">
        <f t="shared" si="9"/>
        <v>4763.5560894952705</v>
      </c>
      <c r="E23" s="18">
        <f t="shared" si="1"/>
        <v>4645.817075930473</v>
      </c>
      <c r="F23" s="19">
        <f t="shared" si="18"/>
        <v>7.2223024700274474E-2</v>
      </c>
      <c r="G23" s="14">
        <f t="shared" si="10"/>
        <v>170.5</v>
      </c>
      <c r="H23" s="20">
        <f t="shared" si="11"/>
        <v>0.7</v>
      </c>
      <c r="I23" s="20">
        <f t="shared" si="12"/>
        <v>0</v>
      </c>
      <c r="J23" s="28">
        <f t="shared" si="13"/>
        <v>0.3</v>
      </c>
      <c r="K23" s="241">
        <f t="shared" si="21"/>
        <v>24.206089495270366</v>
      </c>
      <c r="L23" s="20">
        <f t="shared" si="22"/>
        <v>-69</v>
      </c>
      <c r="M23" s="20">
        <f t="shared" si="22"/>
        <v>-49</v>
      </c>
      <c r="N23" s="255"/>
      <c r="O23" s="239">
        <v>4800</v>
      </c>
      <c r="P23" s="18">
        <f t="shared" si="15"/>
        <v>90</v>
      </c>
      <c r="Q23" s="14">
        <f t="shared" si="2"/>
        <v>-130</v>
      </c>
      <c r="R23" s="244">
        <f t="shared" si="16"/>
        <v>140</v>
      </c>
      <c r="S23" s="243">
        <f>'青岛 - 螺纹'!S23</f>
        <v>4160</v>
      </c>
      <c r="T23" s="38">
        <f t="shared" si="17"/>
        <v>4160</v>
      </c>
      <c r="U23" s="20">
        <f t="shared" si="3"/>
        <v>0</v>
      </c>
      <c r="V23" s="30"/>
      <c r="W23" s="30"/>
      <c r="X23" s="30"/>
      <c r="Y23" s="30"/>
      <c r="Z23" s="30"/>
      <c r="AA23" s="30"/>
      <c r="AB23" s="30"/>
      <c r="AC23" s="30"/>
      <c r="AD23" s="30"/>
      <c r="AE23" s="248">
        <f>VLOOKUP($A23,每日销量追踪!$A$3:$CM$75,5,0)</f>
        <v>275.38200000000001</v>
      </c>
      <c r="AF23" s="248">
        <f>VLOOKUP($A23,每日销量追踪!$A$3:$CM$75,32,0)</f>
        <v>1038.4499999999996</v>
      </c>
      <c r="AG23" s="251">
        <f>VLOOKUP($A23,每日销量追踪!$A$3:$CM$75,44,0)</f>
        <v>1.3825437751777472</v>
      </c>
      <c r="AH23" s="243">
        <v>75</v>
      </c>
    </row>
    <row r="24" spans="1:34">
      <c r="A24" s="16">
        <f t="shared" si="7"/>
        <v>44522</v>
      </c>
      <c r="B24" s="239">
        <v>4620</v>
      </c>
      <c r="C24" s="18">
        <f t="shared" si="20"/>
        <v>116.47718875888735</v>
      </c>
      <c r="D24" s="18">
        <f t="shared" si="9"/>
        <v>4736.4771887588877</v>
      </c>
      <c r="E24" s="18">
        <f t="shared" si="1"/>
        <v>4763.5560894952705</v>
      </c>
      <c r="F24" s="19">
        <f t="shared" si="18"/>
        <v>7.2223024700274474E-2</v>
      </c>
      <c r="G24" s="14">
        <f t="shared" si="10"/>
        <v>100.5</v>
      </c>
      <c r="H24" s="20">
        <f t="shared" si="11"/>
        <v>0.7</v>
      </c>
      <c r="I24" s="20">
        <f t="shared" si="12"/>
        <v>90</v>
      </c>
      <c r="J24" s="28">
        <f t="shared" si="13"/>
        <v>0.3</v>
      </c>
      <c r="K24" s="241">
        <f t="shared" si="21"/>
        <v>19.12718875888736</v>
      </c>
      <c r="L24" s="20">
        <f t="shared" si="22"/>
        <v>-69</v>
      </c>
      <c r="M24" s="20">
        <f t="shared" si="22"/>
        <v>-49</v>
      </c>
      <c r="N24" s="255"/>
      <c r="O24" s="239">
        <v>4800</v>
      </c>
      <c r="P24" s="18">
        <f t="shared" si="15"/>
        <v>90</v>
      </c>
      <c r="Q24" s="14">
        <f t="shared" si="2"/>
        <v>-270</v>
      </c>
      <c r="R24" s="244">
        <f t="shared" si="16"/>
        <v>0</v>
      </c>
      <c r="S24" s="243">
        <f>'青岛 - 螺纹'!S24</f>
        <v>4250</v>
      </c>
      <c r="T24" s="38">
        <f t="shared" si="17"/>
        <v>4160</v>
      </c>
      <c r="U24" s="20">
        <f t="shared" si="3"/>
        <v>90</v>
      </c>
      <c r="V24" s="30"/>
      <c r="W24" s="30"/>
      <c r="X24" s="30"/>
      <c r="Y24" s="30"/>
      <c r="Z24" s="30"/>
      <c r="AA24" s="30"/>
      <c r="AB24" s="30"/>
      <c r="AC24" s="30"/>
      <c r="AD24" s="30"/>
      <c r="AE24" s="248">
        <f>VLOOKUP($A24,每日销量追踪!$A$3:$CM$75,5,0)</f>
        <v>1054.835</v>
      </c>
      <c r="AF24" s="248">
        <f>VLOOKUP($A24,每日销量追踪!$A$3:$CM$75,32,0)</f>
        <v>2492.2800000000047</v>
      </c>
      <c r="AG24" s="251">
        <f>VLOOKUP($A24,每日销量追踪!$A$3:$CM$75,44,0)</f>
        <v>0.42324096810952139</v>
      </c>
      <c r="AH24" s="243">
        <v>75</v>
      </c>
    </row>
    <row r="25" spans="1:34">
      <c r="A25" s="16">
        <f t="shared" si="7"/>
        <v>44523</v>
      </c>
      <c r="B25" s="239">
        <v>4590</v>
      </c>
      <c r="C25" s="18">
        <f t="shared" si="20"/>
        <v>56.512048405476065</v>
      </c>
      <c r="D25" s="18">
        <f t="shared" si="9"/>
        <v>4676.512048405476</v>
      </c>
      <c r="E25" s="18">
        <f t="shared" si="1"/>
        <v>4736.4771887588877</v>
      </c>
      <c r="F25" s="19">
        <f t="shared" si="18"/>
        <v>3.0092926958447629E-2</v>
      </c>
      <c r="G25" s="14">
        <f t="shared" si="10"/>
        <v>100.5</v>
      </c>
      <c r="H25" s="20">
        <f t="shared" si="11"/>
        <v>0.7</v>
      </c>
      <c r="I25" s="20">
        <f t="shared" si="12"/>
        <v>50</v>
      </c>
      <c r="J25" s="28">
        <f t="shared" si="13"/>
        <v>0.3</v>
      </c>
      <c r="K25" s="241">
        <f t="shared" si="21"/>
        <v>-28.837951594523929</v>
      </c>
      <c r="L25" s="20">
        <f t="shared" si="22"/>
        <v>-69</v>
      </c>
      <c r="M25" s="20">
        <f t="shared" si="22"/>
        <v>-49</v>
      </c>
      <c r="N25" s="255"/>
      <c r="O25" s="239">
        <v>4800</v>
      </c>
      <c r="P25" s="18">
        <f t="shared" si="15"/>
        <v>90</v>
      </c>
      <c r="Q25" s="14">
        <f t="shared" si="2"/>
        <v>-270</v>
      </c>
      <c r="R25" s="244">
        <f t="shared" si="16"/>
        <v>0</v>
      </c>
      <c r="S25" s="243">
        <f>'青岛 - 螺纹'!S25</f>
        <v>4300</v>
      </c>
      <c r="T25" s="38">
        <f t="shared" si="17"/>
        <v>4250</v>
      </c>
      <c r="U25" s="20">
        <f t="shared" si="3"/>
        <v>50</v>
      </c>
      <c r="V25" s="30"/>
      <c r="W25" s="30"/>
      <c r="X25" s="30"/>
      <c r="Y25" s="30"/>
      <c r="Z25" s="30"/>
      <c r="AA25" s="30"/>
      <c r="AB25" s="30"/>
      <c r="AC25" s="30"/>
      <c r="AD25" s="30"/>
      <c r="AE25" s="248">
        <f>VLOOKUP($A25,每日销量追踪!$A$3:$CM$75,5,0)</f>
        <v>5779.4660000000003</v>
      </c>
      <c r="AF25" s="248">
        <f>VLOOKUP($A25,每日销量追踪!$A$3:$CM$75,32,0)</f>
        <v>2492.2800000000047</v>
      </c>
      <c r="AG25" s="251">
        <f>VLOOKUP($A25,每日销量追踪!$A$3:$CM$75,44,0)</f>
        <v>1.3710941387003039</v>
      </c>
      <c r="AH25" s="243">
        <v>75</v>
      </c>
    </row>
    <row r="26" spans="1:34">
      <c r="A26" s="16">
        <f t="shared" si="7"/>
        <v>44524</v>
      </c>
      <c r="B26" s="239">
        <v>4590</v>
      </c>
      <c r="C26" s="18">
        <f t="shared" si="20"/>
        <v>103.90470693501518</v>
      </c>
      <c r="D26" s="18">
        <f t="shared" si="9"/>
        <v>4693.9047069350154</v>
      </c>
      <c r="E26" s="18">
        <f t="shared" si="1"/>
        <v>4676.512048405476</v>
      </c>
      <c r="F26" s="19">
        <f t="shared" si="18"/>
        <v>3.0092926958447629E-2</v>
      </c>
      <c r="G26" s="14">
        <f t="shared" si="10"/>
        <v>115.5</v>
      </c>
      <c r="H26" s="20">
        <f t="shared" si="11"/>
        <v>0.7</v>
      </c>
      <c r="I26" s="20">
        <f t="shared" si="12"/>
        <v>15</v>
      </c>
      <c r="J26" s="28">
        <f t="shared" si="13"/>
        <v>0.3</v>
      </c>
      <c r="K26" s="241">
        <f t="shared" si="21"/>
        <v>18.554706935015197</v>
      </c>
      <c r="L26" s="20">
        <f t="shared" si="22"/>
        <v>-69</v>
      </c>
      <c r="M26" s="20">
        <f t="shared" si="22"/>
        <v>-49</v>
      </c>
      <c r="N26" s="255"/>
      <c r="O26" s="239">
        <v>4800</v>
      </c>
      <c r="P26" s="18">
        <f t="shared" si="15"/>
        <v>90</v>
      </c>
      <c r="Q26" s="14">
        <f t="shared" si="2"/>
        <v>-300</v>
      </c>
      <c r="R26" s="244">
        <f t="shared" si="16"/>
        <v>0</v>
      </c>
      <c r="S26" s="243">
        <f>'青岛 - 螺纹'!S26</f>
        <v>4315</v>
      </c>
      <c r="T26" s="38">
        <f t="shared" si="17"/>
        <v>4300</v>
      </c>
      <c r="U26" s="20">
        <f t="shared" si="3"/>
        <v>15</v>
      </c>
      <c r="V26" s="30"/>
      <c r="W26" s="30"/>
      <c r="X26" s="30"/>
      <c r="Y26" s="30"/>
      <c r="Z26" s="30"/>
      <c r="AA26" s="30"/>
      <c r="AB26" s="30"/>
      <c r="AC26" s="30"/>
      <c r="AD26" s="30"/>
      <c r="AE26" s="248">
        <f>VLOOKUP($A26,每日销量追踪!$A$3:$CM$75,5,0)</f>
        <v>7435.9560000000001</v>
      </c>
      <c r="AF26" s="248">
        <f>VLOOKUP($A26,每日销量追踪!$A$3:$CM$75,32,0)</f>
        <v>2492.2800000000047</v>
      </c>
      <c r="AG26" s="251">
        <f>VLOOKUP($A26,每日销量追踪!$A$3:$CM$75,44,0)</f>
        <v>1.9085946736856712</v>
      </c>
      <c r="AH26" s="243">
        <v>75</v>
      </c>
    </row>
    <row r="27" spans="1:34">
      <c r="A27" s="16">
        <f t="shared" si="7"/>
        <v>44525</v>
      </c>
      <c r="B27" s="239">
        <v>4610</v>
      </c>
      <c r="C27" s="18">
        <f t="shared" si="20"/>
        <v>174.27973368428354</v>
      </c>
      <c r="D27" s="18">
        <f t="shared" si="9"/>
        <v>4764.2797336842832</v>
      </c>
      <c r="E27" s="18">
        <f t="shared" si="1"/>
        <v>4693.9047069350154</v>
      </c>
      <c r="F27" s="19">
        <f t="shared" si="18"/>
        <v>3.0092926958447629E-2</v>
      </c>
      <c r="G27" s="14">
        <f t="shared" si="10"/>
        <v>115.5</v>
      </c>
      <c r="H27" s="20">
        <f t="shared" si="11"/>
        <v>0.7</v>
      </c>
      <c r="I27" s="20">
        <f t="shared" si="12"/>
        <v>160</v>
      </c>
      <c r="J27" s="28">
        <f t="shared" si="13"/>
        <v>0.3</v>
      </c>
      <c r="K27" s="241">
        <f t="shared" si="21"/>
        <v>45.429733684283555</v>
      </c>
      <c r="L27" s="20">
        <f t="shared" si="22"/>
        <v>-69</v>
      </c>
      <c r="M27" s="20">
        <f t="shared" si="22"/>
        <v>-49</v>
      </c>
      <c r="N27" s="255"/>
      <c r="O27" s="239">
        <v>4800</v>
      </c>
      <c r="P27" s="18">
        <f t="shared" si="15"/>
        <v>90</v>
      </c>
      <c r="Q27" s="14">
        <f t="shared" si="2"/>
        <v>-300</v>
      </c>
      <c r="R27" s="244">
        <f t="shared" si="16"/>
        <v>0</v>
      </c>
      <c r="S27" s="243">
        <f>'青岛 - 螺纹'!S27</f>
        <v>4475</v>
      </c>
      <c r="T27" s="38">
        <f t="shared" si="17"/>
        <v>4315</v>
      </c>
      <c r="U27" s="20">
        <f t="shared" si="3"/>
        <v>160</v>
      </c>
      <c r="V27" s="30"/>
      <c r="W27" s="30"/>
      <c r="X27" s="30"/>
      <c r="Y27" s="30"/>
      <c r="Z27" s="30"/>
      <c r="AA27" s="30"/>
      <c r="AB27" s="30"/>
      <c r="AC27" s="30"/>
      <c r="AD27" s="30"/>
      <c r="AE27" s="248">
        <f>VLOOKUP($A27,每日销量追踪!$A$3:$CM$75,5,0)</f>
        <v>994.654</v>
      </c>
      <c r="AF27" s="248">
        <f>VLOOKUP($A27,每日销量追踪!$A$3:$CM$75,32,0)</f>
        <v>2492.2800000000047</v>
      </c>
      <c r="AG27" s="251">
        <f>VLOOKUP($A27,每日销量追踪!$A$3:$CM$75,44,0)</f>
        <v>1.5312195058340128</v>
      </c>
      <c r="AH27" s="243">
        <v>75</v>
      </c>
    </row>
    <row r="28" spans="1:34">
      <c r="A28" s="16">
        <f t="shared" si="7"/>
        <v>44526</v>
      </c>
      <c r="B28" s="239">
        <v>4590</v>
      </c>
      <c r="C28" s="18">
        <f t="shared" si="20"/>
        <v>32.310975291700643</v>
      </c>
      <c r="D28" s="18">
        <f t="shared" ref="D28:D41" si="23">B27+C28</f>
        <v>4642.3109752917007</v>
      </c>
      <c r="E28" s="18">
        <f t="shared" ref="E28:E41" si="24">D27</f>
        <v>4764.2797336842832</v>
      </c>
      <c r="F28" s="19">
        <f t="shared" ref="F28:F41" si="25">AG28</f>
        <v>1.3277017028584244</v>
      </c>
      <c r="G28" s="14">
        <f t="shared" ref="G28:G41" si="26">IF((Q28-L28)&lt;0,-(Q28-L28)/2,IF((Q28-L28)&gt;0,-(Q28-M28)/2,0))+R28</f>
        <v>105.5</v>
      </c>
      <c r="H28" s="20">
        <f t="shared" ref="H28:H41" si="27">H27</f>
        <v>0.7</v>
      </c>
      <c r="I28" s="20">
        <f t="shared" ref="I28:I41" si="28">U28</f>
        <v>-227</v>
      </c>
      <c r="J28" s="28">
        <f t="shared" ref="J28:J41" si="29">J27</f>
        <v>0.3</v>
      </c>
      <c r="K28" s="241">
        <f t="shared" si="21"/>
        <v>26.56097529170064</v>
      </c>
      <c r="L28" s="20">
        <f t="shared" ref="L28:M36" si="30">L27</f>
        <v>-69</v>
      </c>
      <c r="M28" s="20">
        <f t="shared" si="30"/>
        <v>-49</v>
      </c>
      <c r="N28" s="29"/>
      <c r="O28" s="239">
        <v>4800</v>
      </c>
      <c r="P28" s="18">
        <f t="shared" si="15"/>
        <v>90</v>
      </c>
      <c r="Q28" s="14">
        <f t="shared" si="2"/>
        <v>-280</v>
      </c>
      <c r="R28" s="244">
        <f t="shared" si="16"/>
        <v>0</v>
      </c>
      <c r="S28" s="243">
        <f>'青岛 - 螺纹'!S28</f>
        <v>4248</v>
      </c>
      <c r="T28" s="38">
        <f t="shared" si="17"/>
        <v>4475</v>
      </c>
      <c r="U28" s="20">
        <f t="shared" si="3"/>
        <v>-227</v>
      </c>
      <c r="V28" s="30"/>
      <c r="W28" s="30"/>
      <c r="X28" s="30"/>
      <c r="Y28" s="30"/>
      <c r="Z28" s="30"/>
      <c r="AA28" s="30"/>
      <c r="AB28" s="30"/>
      <c r="AC28" s="30"/>
      <c r="AD28" s="30"/>
      <c r="AE28" s="248">
        <f>VLOOKUP($A28,每日销量追踪!$A$3:$CM$75,5,0)</f>
        <v>1280.1110000000001</v>
      </c>
      <c r="AF28" s="248">
        <f>VLOOKUP($A28,每日销量追踪!$A$3:$CM$75,32,0)</f>
        <v>2492.2800000000047</v>
      </c>
      <c r="AG28" s="251">
        <f>VLOOKUP($A28,每日销量追踪!$A$3:$CM$75,44,0)</f>
        <v>1.3277017028584244</v>
      </c>
      <c r="AH28" s="243">
        <v>75</v>
      </c>
    </row>
    <row r="29" spans="1:34">
      <c r="A29" s="16">
        <f t="shared" si="7"/>
        <v>44527</v>
      </c>
      <c r="B29" s="239">
        <v>4540</v>
      </c>
      <c r="C29" s="18">
        <f t="shared" si="20"/>
        <v>52.835085142921216</v>
      </c>
      <c r="D29" s="18">
        <f t="shared" si="23"/>
        <v>4642.8350851429213</v>
      </c>
      <c r="E29" s="18">
        <f t="shared" si="24"/>
        <v>4642.3109752917007</v>
      </c>
      <c r="F29" s="19">
        <f t="shared" si="25"/>
        <v>1.2628302379566263</v>
      </c>
      <c r="G29" s="14">
        <f t="shared" si="26"/>
        <v>115.5</v>
      </c>
      <c r="H29" s="20">
        <f t="shared" si="27"/>
        <v>0.7</v>
      </c>
      <c r="I29" s="20">
        <f t="shared" si="28"/>
        <v>-148</v>
      </c>
      <c r="J29" s="28">
        <f t="shared" si="29"/>
        <v>0.3</v>
      </c>
      <c r="K29" s="241">
        <f t="shared" si="21"/>
        <v>16.38508514292122</v>
      </c>
      <c r="L29" s="20">
        <f t="shared" si="30"/>
        <v>-69</v>
      </c>
      <c r="M29" s="20">
        <f t="shared" si="30"/>
        <v>-49</v>
      </c>
      <c r="N29" s="29"/>
      <c r="O29" s="239">
        <v>4800</v>
      </c>
      <c r="P29" s="18">
        <f t="shared" si="15"/>
        <v>90</v>
      </c>
      <c r="Q29" s="14">
        <f t="shared" si="2"/>
        <v>-300</v>
      </c>
      <c r="R29" s="244">
        <f t="shared" si="16"/>
        <v>0</v>
      </c>
      <c r="S29" s="243">
        <f>'青岛 - 螺纹'!S29</f>
        <v>4100</v>
      </c>
      <c r="T29" s="38">
        <f t="shared" si="17"/>
        <v>4248</v>
      </c>
      <c r="U29" s="20">
        <f t="shared" si="3"/>
        <v>-148</v>
      </c>
      <c r="V29" s="30"/>
      <c r="W29" s="30"/>
      <c r="X29" s="30"/>
      <c r="Y29" s="30"/>
      <c r="Z29" s="30"/>
      <c r="AA29" s="30"/>
      <c r="AB29" s="30"/>
      <c r="AC29" s="30"/>
      <c r="AD29" s="30"/>
      <c r="AE29" s="248">
        <f>VLOOKUP($A29,每日销量追踪!$A$3:$CM$75,5,0)</f>
        <v>765.274</v>
      </c>
      <c r="AF29" s="248">
        <f>VLOOKUP($A29,每日销量追踪!$A$3:$CM$75,32,0)</f>
        <v>1246.1399999999996</v>
      </c>
      <c r="AG29" s="251">
        <f>VLOOKUP($A29,每日销量追踪!$A$3:$CM$75,44,0)</f>
        <v>1.2628302379566263</v>
      </c>
      <c r="AH29" s="243">
        <v>75</v>
      </c>
    </row>
    <row r="30" spans="1:34">
      <c r="A30" s="16">
        <f t="shared" si="7"/>
        <v>44528</v>
      </c>
      <c r="B30" s="239">
        <v>4540</v>
      </c>
      <c r="C30" s="18">
        <f t="shared" si="20"/>
        <v>111.49151189783132</v>
      </c>
      <c r="D30" s="18">
        <f t="shared" si="23"/>
        <v>4651.4915118978315</v>
      </c>
      <c r="E30" s="18">
        <f t="shared" si="24"/>
        <v>4642.8350851429213</v>
      </c>
      <c r="F30" s="19">
        <f t="shared" si="25"/>
        <v>1.215270354855793</v>
      </c>
      <c r="G30" s="14">
        <f t="shared" si="26"/>
        <v>140.5</v>
      </c>
      <c r="H30" s="20">
        <f t="shared" si="27"/>
        <v>0.7</v>
      </c>
      <c r="I30" s="20">
        <f t="shared" si="28"/>
        <v>0</v>
      </c>
      <c r="J30" s="28">
        <f t="shared" si="29"/>
        <v>0.3</v>
      </c>
      <c r="K30" s="241">
        <f t="shared" si="21"/>
        <v>13.141511897831315</v>
      </c>
      <c r="L30" s="20">
        <f>L29</f>
        <v>-69</v>
      </c>
      <c r="M30" s="20">
        <f>M29</f>
        <v>-49</v>
      </c>
      <c r="N30" s="29"/>
      <c r="O30" s="239">
        <v>4800</v>
      </c>
      <c r="P30" s="18">
        <f t="shared" si="15"/>
        <v>90</v>
      </c>
      <c r="Q30" s="14">
        <f t="shared" si="2"/>
        <v>-350</v>
      </c>
      <c r="R30" s="244">
        <f t="shared" si="16"/>
        <v>0</v>
      </c>
      <c r="S30" s="243">
        <f>'青岛 - 螺纹'!S30</f>
        <v>4100</v>
      </c>
      <c r="T30" s="38">
        <f t="shared" si="17"/>
        <v>4100</v>
      </c>
      <c r="U30" s="20">
        <f t="shared" si="3"/>
        <v>0</v>
      </c>
      <c r="V30" s="30"/>
      <c r="W30" s="30"/>
      <c r="X30" s="30"/>
      <c r="Y30" s="30"/>
      <c r="Z30" s="30"/>
      <c r="AA30" s="30"/>
      <c r="AB30" s="30"/>
      <c r="AC30" s="30"/>
      <c r="AD30" s="30"/>
      <c r="AE30" s="248">
        <f>VLOOKUP($A30,每日销量追踪!$A$3:$CM$75,5,0)</f>
        <v>862.46799999999996</v>
      </c>
      <c r="AF30" s="248">
        <f>VLOOKUP($A30,每日销量追踪!$A$3:$CM$75,32,0)</f>
        <v>1246.1399999999996</v>
      </c>
      <c r="AG30" s="251">
        <f>VLOOKUP($A30,每日销量追踪!$A$3:$CM$75,44,0)</f>
        <v>1.215270354855793</v>
      </c>
      <c r="AH30" s="243">
        <v>75</v>
      </c>
    </row>
    <row r="31" spans="1:34">
      <c r="A31" s="16">
        <f t="shared" si="7"/>
        <v>44529</v>
      </c>
      <c r="B31" s="239">
        <v>4510</v>
      </c>
      <c r="C31" s="18">
        <f t="shared" si="20"/>
        <v>95.613517742789639</v>
      </c>
      <c r="D31" s="18">
        <f t="shared" si="23"/>
        <v>4635.6135177427896</v>
      </c>
      <c r="E31" s="18">
        <f t="shared" si="24"/>
        <v>4651.4915118978315</v>
      </c>
      <c r="F31" s="19">
        <f t="shared" si="25"/>
        <v>1.1978951000690128</v>
      </c>
      <c r="G31" s="14">
        <f t="shared" si="26"/>
        <v>140.5</v>
      </c>
      <c r="H31" s="20">
        <f t="shared" si="27"/>
        <v>0.7</v>
      </c>
      <c r="I31" s="20">
        <f t="shared" si="28"/>
        <v>-45</v>
      </c>
      <c r="J31" s="28">
        <f t="shared" si="29"/>
        <v>0.3</v>
      </c>
      <c r="K31" s="241">
        <f t="shared" ref="K31:K41" si="31">MIN(MAX((AG30-100%)*50,-50),50)</f>
        <v>10.763517742789652</v>
      </c>
      <c r="L31" s="20">
        <f t="shared" si="30"/>
        <v>-69</v>
      </c>
      <c r="M31" s="20">
        <f t="shared" si="30"/>
        <v>-49</v>
      </c>
      <c r="N31" s="29"/>
      <c r="O31" s="239">
        <v>4800</v>
      </c>
      <c r="P31" s="18">
        <f t="shared" si="15"/>
        <v>90</v>
      </c>
      <c r="Q31" s="14">
        <f t="shared" si="2"/>
        <v>-350</v>
      </c>
      <c r="R31" s="244">
        <f t="shared" si="16"/>
        <v>0</v>
      </c>
      <c r="S31" s="243">
        <f>'青岛 - 螺纹'!S31</f>
        <v>4055</v>
      </c>
      <c r="T31" s="38">
        <f t="shared" si="17"/>
        <v>4100</v>
      </c>
      <c r="U31" s="20">
        <f t="shared" si="3"/>
        <v>-45</v>
      </c>
      <c r="V31" s="30"/>
      <c r="W31" s="30"/>
      <c r="X31" s="30"/>
      <c r="Y31" s="30"/>
      <c r="Z31" s="30"/>
      <c r="AA31" s="30"/>
      <c r="AB31" s="30"/>
      <c r="AC31" s="30"/>
      <c r="AD31" s="30"/>
      <c r="AE31" s="248">
        <f>VLOOKUP($A31,每日销量追踪!$A$3:$CM$75,5,0)</f>
        <v>3582.5879999999997</v>
      </c>
      <c r="AF31" s="248">
        <f>VLOOKUP($A31,每日销量追踪!$A$3:$CM$75,32,0)</f>
        <v>2990.7360000000003</v>
      </c>
      <c r="AG31" s="251">
        <f>VLOOKUP($A31,每日销量追踪!$A$3:$CM$75,44,0)</f>
        <v>1.1978951000690128</v>
      </c>
      <c r="AH31" s="243">
        <v>75</v>
      </c>
    </row>
    <row r="32" spans="1:34">
      <c r="A32" s="16">
        <f t="shared" si="7"/>
        <v>44530</v>
      </c>
      <c r="B32" s="239">
        <v>4510</v>
      </c>
      <c r="C32" s="18">
        <f t="shared" si="20"/>
        <v>150.24475500345062</v>
      </c>
      <c r="D32" s="18">
        <f t="shared" si="23"/>
        <v>4660.2447550034503</v>
      </c>
      <c r="E32" s="18">
        <f t="shared" si="24"/>
        <v>4635.6135177427896</v>
      </c>
      <c r="F32" s="19">
        <f t="shared" si="25"/>
        <v>0.93579439977316603</v>
      </c>
      <c r="G32" s="14">
        <f t="shared" si="26"/>
        <v>155.5</v>
      </c>
      <c r="H32" s="20">
        <f t="shared" si="27"/>
        <v>0.7</v>
      </c>
      <c r="I32" s="20">
        <f t="shared" si="28"/>
        <v>105</v>
      </c>
      <c r="J32" s="28">
        <f t="shared" si="29"/>
        <v>0.3</v>
      </c>
      <c r="K32" s="241">
        <f t="shared" si="31"/>
        <v>9.8947550034506389</v>
      </c>
      <c r="L32" s="20">
        <f t="shared" si="30"/>
        <v>-69</v>
      </c>
      <c r="M32" s="20">
        <f t="shared" si="30"/>
        <v>-49</v>
      </c>
      <c r="N32" s="29"/>
      <c r="O32" s="239">
        <v>4800</v>
      </c>
      <c r="P32" s="18">
        <f t="shared" si="15"/>
        <v>90</v>
      </c>
      <c r="Q32" s="14">
        <f t="shared" si="2"/>
        <v>-380</v>
      </c>
      <c r="R32" s="244">
        <f t="shared" si="16"/>
        <v>0</v>
      </c>
      <c r="S32" s="243">
        <f>'青岛 - 螺纹'!S32</f>
        <v>4160</v>
      </c>
      <c r="T32" s="38">
        <f t="shared" si="17"/>
        <v>4055</v>
      </c>
      <c r="U32" s="20">
        <f t="shared" si="3"/>
        <v>105</v>
      </c>
      <c r="V32" s="30"/>
      <c r="W32" s="30"/>
      <c r="X32" s="30"/>
      <c r="Y32" s="30"/>
      <c r="Z32" s="30"/>
      <c r="AA32" s="30"/>
      <c r="AB32" s="30"/>
      <c r="AC32" s="30"/>
      <c r="AD32" s="30"/>
      <c r="AE32" s="248">
        <f>VLOOKUP($A32,每日销量追踪!$A$3:$CM$75,5,0)</f>
        <v>2014.8400000000001</v>
      </c>
      <c r="AF32" s="248">
        <f>VLOOKUP($A32,每日销量追踪!$A$3:$CM$75,32,0)</f>
        <v>2990.7360000000003</v>
      </c>
      <c r="AG32" s="251">
        <f>VLOOKUP($A32,每日销量追踪!$A$3:$CM$75,44,0)</f>
        <v>0.93579439977316603</v>
      </c>
      <c r="AH32" s="243">
        <v>75</v>
      </c>
    </row>
    <row r="33" spans="1:34">
      <c r="A33" s="16">
        <f t="shared" si="7"/>
        <v>44531</v>
      </c>
      <c r="B33" s="239">
        <v>4560</v>
      </c>
      <c r="C33" s="18">
        <f t="shared" si="20"/>
        <v>138.03971998865831</v>
      </c>
      <c r="D33" s="18">
        <f t="shared" si="23"/>
        <v>4648.0397199886584</v>
      </c>
      <c r="E33" s="18">
        <f t="shared" si="24"/>
        <v>4660.2447550034503</v>
      </c>
      <c r="F33" s="19">
        <f t="shared" si="25"/>
        <v>1.1881905769460539</v>
      </c>
      <c r="G33" s="14">
        <f t="shared" si="26"/>
        <v>185.5</v>
      </c>
      <c r="H33" s="20">
        <f t="shared" si="27"/>
        <v>0.7</v>
      </c>
      <c r="I33" s="20">
        <f t="shared" si="28"/>
        <v>38</v>
      </c>
      <c r="J33" s="28">
        <f t="shared" si="29"/>
        <v>0.3</v>
      </c>
      <c r="K33" s="241">
        <f t="shared" si="31"/>
        <v>-3.2102800113416983</v>
      </c>
      <c r="L33" s="20">
        <f t="shared" si="30"/>
        <v>-69</v>
      </c>
      <c r="M33" s="20">
        <f t="shared" si="30"/>
        <v>-49</v>
      </c>
      <c r="N33" s="29"/>
      <c r="O33" s="239">
        <v>4830</v>
      </c>
      <c r="P33" s="18">
        <f t="shared" si="15"/>
        <v>90</v>
      </c>
      <c r="Q33" s="14">
        <f t="shared" si="2"/>
        <v>-380</v>
      </c>
      <c r="R33" s="244">
        <f t="shared" si="16"/>
        <v>30</v>
      </c>
      <c r="S33" s="243">
        <f>'青岛 - 螺纹'!S33</f>
        <v>4198</v>
      </c>
      <c r="T33" s="38">
        <f t="shared" si="17"/>
        <v>4160</v>
      </c>
      <c r="U33" s="20">
        <f t="shared" si="3"/>
        <v>38</v>
      </c>
      <c r="V33" s="30"/>
      <c r="W33" s="30"/>
      <c r="X33" s="30"/>
      <c r="Y33" s="30"/>
      <c r="Z33" s="30"/>
      <c r="AA33" s="30"/>
      <c r="AB33" s="30"/>
      <c r="AC33" s="30"/>
      <c r="AD33" s="30"/>
      <c r="AE33" s="248">
        <f>VLOOKUP($A33,每日销量追踪!$A$3:$CM$75,5,0)</f>
        <v>5063.2650000000012</v>
      </c>
      <c r="AF33" s="248">
        <f>VLOOKUP($A33,每日销量追踪!$A$3:$CM$75,32,0)</f>
        <v>2990.7360000000003</v>
      </c>
      <c r="AG33" s="251">
        <f>VLOOKUP($A33,每日销量追踪!$A$3:$CM$75,44,0)</f>
        <v>1.1881905769460539</v>
      </c>
      <c r="AH33" s="243">
        <v>75</v>
      </c>
    </row>
    <row r="34" spans="1:34">
      <c r="A34" s="16">
        <f t="shared" si="7"/>
        <v>44532</v>
      </c>
      <c r="B34" s="239">
        <v>4560</v>
      </c>
      <c r="C34" s="18">
        <f t="shared" si="20"/>
        <v>146.35952884730267</v>
      </c>
      <c r="D34" s="18">
        <f t="shared" si="23"/>
        <v>4706.3595288473025</v>
      </c>
      <c r="E34" s="18">
        <f t="shared" si="24"/>
        <v>4648.0397199886584</v>
      </c>
      <c r="F34" s="19">
        <f t="shared" si="25"/>
        <v>1.014697111954443</v>
      </c>
      <c r="G34" s="14">
        <f t="shared" si="26"/>
        <v>145.5</v>
      </c>
      <c r="H34" s="20">
        <f t="shared" si="27"/>
        <v>0.7</v>
      </c>
      <c r="I34" s="20">
        <f t="shared" si="28"/>
        <v>117</v>
      </c>
      <c r="J34" s="28">
        <f t="shared" si="29"/>
        <v>0.3</v>
      </c>
      <c r="K34" s="241">
        <f t="shared" si="31"/>
        <v>9.4095288473026955</v>
      </c>
      <c r="L34" s="20">
        <f t="shared" si="30"/>
        <v>-69</v>
      </c>
      <c r="M34" s="20">
        <f t="shared" si="30"/>
        <v>-49</v>
      </c>
      <c r="N34" s="29"/>
      <c r="O34" s="239">
        <v>4830</v>
      </c>
      <c r="P34" s="18">
        <f t="shared" si="15"/>
        <v>90</v>
      </c>
      <c r="Q34" s="14">
        <f t="shared" si="2"/>
        <v>-360</v>
      </c>
      <c r="R34" s="244">
        <f t="shared" si="16"/>
        <v>0</v>
      </c>
      <c r="S34" s="243">
        <f>'青岛 - 螺纹'!S34</f>
        <v>4315</v>
      </c>
      <c r="T34" s="38">
        <f t="shared" si="17"/>
        <v>4198</v>
      </c>
      <c r="U34" s="20">
        <f t="shared" si="3"/>
        <v>117</v>
      </c>
      <c r="V34" s="30"/>
      <c r="W34" s="30"/>
      <c r="X34" s="30"/>
      <c r="Y34" s="30"/>
      <c r="Z34" s="30"/>
      <c r="AA34" s="30"/>
      <c r="AB34" s="30"/>
      <c r="AC34" s="30"/>
      <c r="AD34" s="30"/>
      <c r="AE34" s="248">
        <f>VLOOKUP($A34,每日销量追踪!$A$3:$CM$75,5,0)</f>
        <v>466.50799999999998</v>
      </c>
      <c r="AF34" s="248">
        <f>VLOOKUP($A34,每日销量追踪!$A$3:$CM$75,32,0)</f>
        <v>1993.8239999999951</v>
      </c>
      <c r="AG34" s="251">
        <f>VLOOKUP($A34,每日销量追踪!$A$3:$CM$75,44,0)</f>
        <v>1.014697111954443</v>
      </c>
      <c r="AH34" s="243">
        <v>75</v>
      </c>
    </row>
    <row r="35" spans="1:34">
      <c r="A35" s="16">
        <f t="shared" si="7"/>
        <v>44533</v>
      </c>
      <c r="B35" s="239">
        <v>4590</v>
      </c>
      <c r="C35" s="18">
        <f t="shared" si="20"/>
        <v>95.084855597722139</v>
      </c>
      <c r="D35" s="18">
        <f t="shared" si="23"/>
        <v>4655.0848555977218</v>
      </c>
      <c r="E35" s="18">
        <f t="shared" si="24"/>
        <v>4706.3595288473025</v>
      </c>
      <c r="F35" s="19">
        <f t="shared" si="25"/>
        <v>1.2563366444812361</v>
      </c>
      <c r="G35" s="14">
        <f t="shared" si="26"/>
        <v>145.5</v>
      </c>
      <c r="H35" s="20">
        <f t="shared" si="27"/>
        <v>0.7</v>
      </c>
      <c r="I35" s="20">
        <f t="shared" si="28"/>
        <v>-25</v>
      </c>
      <c r="J35" s="28">
        <f t="shared" si="29"/>
        <v>0.3</v>
      </c>
      <c r="K35" s="241">
        <f t="shared" si="31"/>
        <v>0.73485559772215048</v>
      </c>
      <c r="L35" s="20">
        <f t="shared" si="30"/>
        <v>-69</v>
      </c>
      <c r="M35" s="20">
        <f t="shared" si="30"/>
        <v>-49</v>
      </c>
      <c r="N35" s="29"/>
      <c r="O35" s="239">
        <v>4830</v>
      </c>
      <c r="P35" s="18">
        <f t="shared" si="15"/>
        <v>90</v>
      </c>
      <c r="Q35" s="14">
        <f t="shared" si="2"/>
        <v>-360</v>
      </c>
      <c r="R35" s="244">
        <f t="shared" si="16"/>
        <v>0</v>
      </c>
      <c r="S35" s="243">
        <f>'青岛 - 螺纹'!S35</f>
        <v>4290</v>
      </c>
      <c r="T35" s="38">
        <f t="shared" si="17"/>
        <v>4315</v>
      </c>
      <c r="U35" s="20">
        <f t="shared" si="3"/>
        <v>-25</v>
      </c>
      <c r="V35" s="30"/>
      <c r="W35" s="30"/>
      <c r="X35" s="30"/>
      <c r="Y35" s="30"/>
      <c r="Z35" s="30"/>
      <c r="AA35" s="30"/>
      <c r="AB35" s="30"/>
      <c r="AC35" s="30"/>
      <c r="AD35" s="30"/>
      <c r="AE35" s="248">
        <f>VLOOKUP($A35,每日销量追踪!$A$3:$CM$75,5,0)</f>
        <v>5154.741</v>
      </c>
      <c r="AF35" s="248">
        <f>VLOOKUP($A35,每日销量追踪!$A$3:$CM$75,32,0)</f>
        <v>1993.8239999999951</v>
      </c>
      <c r="AG35" s="251">
        <f>VLOOKUP($A35,每日销量追踪!$A$3:$CM$75,44,0)</f>
        <v>1.2563366444812361</v>
      </c>
      <c r="AH35" s="243">
        <v>75</v>
      </c>
    </row>
    <row r="36" spans="1:34">
      <c r="A36" s="16">
        <f t="shared" si="7"/>
        <v>44534</v>
      </c>
      <c r="B36" s="239">
        <v>4620</v>
      </c>
      <c r="C36" s="18">
        <f t="shared" si="20"/>
        <v>145.2668322240618</v>
      </c>
      <c r="D36" s="18">
        <f t="shared" si="23"/>
        <v>4735.2668322240615</v>
      </c>
      <c r="E36" s="18">
        <f t="shared" si="24"/>
        <v>4655.0848555977218</v>
      </c>
      <c r="F36" s="19">
        <f t="shared" si="25"/>
        <v>1.2100580879470098</v>
      </c>
      <c r="G36" s="14">
        <f t="shared" si="26"/>
        <v>130.5</v>
      </c>
      <c r="H36" s="20">
        <f t="shared" si="27"/>
        <v>0.7</v>
      </c>
      <c r="I36" s="20">
        <f t="shared" si="28"/>
        <v>137</v>
      </c>
      <c r="J36" s="28">
        <f t="shared" si="29"/>
        <v>0.3</v>
      </c>
      <c r="K36" s="241">
        <f t="shared" si="31"/>
        <v>12.816832224061802</v>
      </c>
      <c r="L36" s="20">
        <f t="shared" si="30"/>
        <v>-69</v>
      </c>
      <c r="M36" s="20">
        <f t="shared" si="30"/>
        <v>-49</v>
      </c>
      <c r="N36" s="29"/>
      <c r="O36" s="239">
        <v>4830</v>
      </c>
      <c r="P36" s="18">
        <f t="shared" si="15"/>
        <v>90</v>
      </c>
      <c r="Q36" s="14">
        <f t="shared" si="2"/>
        <v>-330</v>
      </c>
      <c r="R36" s="244">
        <f t="shared" si="16"/>
        <v>0</v>
      </c>
      <c r="S36" s="243">
        <f>'青岛 - 螺纹'!S36</f>
        <v>4427</v>
      </c>
      <c r="T36" s="38">
        <f t="shared" si="17"/>
        <v>4290</v>
      </c>
      <c r="U36" s="20">
        <f t="shared" si="3"/>
        <v>137</v>
      </c>
      <c r="V36" s="30"/>
      <c r="W36" s="30"/>
      <c r="X36" s="30"/>
      <c r="Y36" s="30"/>
      <c r="Z36" s="30"/>
      <c r="AA36" s="30"/>
      <c r="AB36" s="30"/>
      <c r="AC36" s="30"/>
      <c r="AD36" s="30"/>
      <c r="AE36" s="248">
        <f>VLOOKUP($A36,每日销量追踪!$A$3:$CM$75,5,0)</f>
        <v>606.55799999999999</v>
      </c>
      <c r="AF36" s="248">
        <f>VLOOKUP($A36,每日销量追踪!$A$3:$CM$75,32,0)</f>
        <v>996.91200000000038</v>
      </c>
      <c r="AG36" s="251">
        <f>VLOOKUP($A36,每日销量追踪!$A$3:$CM$75,44,0)</f>
        <v>1.2100580879470098</v>
      </c>
      <c r="AH36" s="243">
        <v>75</v>
      </c>
    </row>
    <row r="37" spans="1:34">
      <c r="A37" s="16">
        <f t="shared" si="7"/>
        <v>44535</v>
      </c>
      <c r="B37" s="239">
        <v>4640</v>
      </c>
      <c r="C37" s="18">
        <f t="shared" si="20"/>
        <v>120.65290439735048</v>
      </c>
      <c r="D37" s="18">
        <f t="shared" si="23"/>
        <v>4740.6529043973505</v>
      </c>
      <c r="E37" s="18">
        <f t="shared" si="24"/>
        <v>4735.2668322240615</v>
      </c>
      <c r="F37" s="19">
        <f t="shared" si="25"/>
        <v>1.1363109281461159</v>
      </c>
      <c r="G37" s="14">
        <f t="shared" si="26"/>
        <v>165.5</v>
      </c>
      <c r="H37" s="20">
        <f t="shared" si="27"/>
        <v>0.7</v>
      </c>
      <c r="I37" s="20">
        <f t="shared" si="28"/>
        <v>-19</v>
      </c>
      <c r="J37" s="28">
        <f t="shared" si="29"/>
        <v>0.3</v>
      </c>
      <c r="K37" s="241">
        <f t="shared" si="31"/>
        <v>10.502904397350488</v>
      </c>
      <c r="L37" s="20">
        <f>L36</f>
        <v>-69</v>
      </c>
      <c r="M37" s="20">
        <f>M36</f>
        <v>-49</v>
      </c>
      <c r="N37" s="29"/>
      <c r="O37" s="239">
        <v>4880</v>
      </c>
      <c r="P37" s="18">
        <f t="shared" si="15"/>
        <v>90</v>
      </c>
      <c r="Q37" s="14">
        <f t="shared" si="2"/>
        <v>-300</v>
      </c>
      <c r="R37" s="244">
        <f t="shared" si="16"/>
        <v>50</v>
      </c>
      <c r="S37" s="243">
        <f>'青岛 - 螺纹'!S37</f>
        <v>4408</v>
      </c>
      <c r="T37" s="38">
        <f t="shared" si="17"/>
        <v>4427</v>
      </c>
      <c r="U37" s="20">
        <f t="shared" si="3"/>
        <v>-19</v>
      </c>
      <c r="V37" s="30"/>
      <c r="W37" s="30"/>
      <c r="X37" s="30"/>
      <c r="Y37" s="30"/>
      <c r="Z37" s="30"/>
      <c r="AA37" s="30"/>
      <c r="AB37" s="30"/>
      <c r="AC37" s="30"/>
      <c r="AD37" s="30"/>
      <c r="AE37" s="248">
        <f>VLOOKUP($A37,每日销量追踪!$A$3:$CM$75,5,0)</f>
        <v>103.53</v>
      </c>
      <c r="AF37" s="248">
        <f>VLOOKUP($A37,每日销量追踪!$A$3:$CM$75,32,0)</f>
        <v>996.91200000000038</v>
      </c>
      <c r="AG37" s="251">
        <f>VLOOKUP($A37,每日销量追踪!$A$3:$CM$75,44,0)</f>
        <v>1.1363109281461159</v>
      </c>
      <c r="AH37" s="243">
        <v>75</v>
      </c>
    </row>
    <row r="38" spans="1:34">
      <c r="A38" s="16">
        <f t="shared" si="7"/>
        <v>44536</v>
      </c>
      <c r="B38" s="239">
        <v>4640</v>
      </c>
      <c r="C38" s="18">
        <f t="shared" si="20"/>
        <v>98.165546407305783</v>
      </c>
      <c r="D38" s="18">
        <f t="shared" si="23"/>
        <v>4738.1655464073056</v>
      </c>
      <c r="E38" s="18">
        <f t="shared" si="24"/>
        <v>4740.6529043973505</v>
      </c>
      <c r="F38" s="19">
        <f t="shared" si="25"/>
        <v>0</v>
      </c>
      <c r="G38" s="14">
        <f t="shared" si="26"/>
        <v>130.5</v>
      </c>
      <c r="H38" s="20">
        <f t="shared" si="27"/>
        <v>0.7</v>
      </c>
      <c r="I38" s="20">
        <f t="shared" si="28"/>
        <v>0</v>
      </c>
      <c r="J38" s="28">
        <f t="shared" si="29"/>
        <v>0.3</v>
      </c>
      <c r="K38" s="241">
        <f t="shared" si="31"/>
        <v>6.8155464073057948</v>
      </c>
      <c r="L38" s="20">
        <f>L37</f>
        <v>-69</v>
      </c>
      <c r="M38" s="20">
        <f>M37</f>
        <v>-49</v>
      </c>
      <c r="N38" s="29"/>
      <c r="O38" s="239">
        <v>4880</v>
      </c>
      <c r="P38" s="18">
        <f t="shared" si="15"/>
        <v>90</v>
      </c>
      <c r="Q38" s="14">
        <f t="shared" si="2"/>
        <v>-330</v>
      </c>
      <c r="R38" s="244">
        <f t="shared" si="16"/>
        <v>0</v>
      </c>
      <c r="S38" s="243">
        <f>'青岛 - 螺纹'!S38</f>
        <v>4408</v>
      </c>
      <c r="T38" s="38">
        <f t="shared" si="17"/>
        <v>4408</v>
      </c>
      <c r="U38" s="20">
        <f t="shared" si="3"/>
        <v>0</v>
      </c>
      <c r="V38" s="30"/>
      <c r="W38" s="30"/>
      <c r="X38" s="30"/>
      <c r="Y38" s="30"/>
      <c r="Z38" s="30"/>
      <c r="AA38" s="30"/>
      <c r="AB38" s="30"/>
      <c r="AC38" s="30"/>
      <c r="AD38" s="30"/>
      <c r="AE38" s="248">
        <f>VLOOKUP($A38,每日销量追踪!$A$3:$CM$75,5,0)</f>
        <v>0</v>
      </c>
      <c r="AF38" s="248">
        <f>VLOOKUP($A38,每日销量追踪!$A$3:$CM$75,32,0)</f>
        <v>2990.7360000000003</v>
      </c>
      <c r="AG38" s="251">
        <f>VLOOKUP($A38,每日销量追踪!$A$3:$CM$75,44,0)</f>
        <v>0</v>
      </c>
      <c r="AH38" s="243">
        <v>75</v>
      </c>
    </row>
    <row r="39" spans="1:34">
      <c r="A39" s="16">
        <f t="shared" si="7"/>
        <v>44537</v>
      </c>
      <c r="B39" s="239"/>
      <c r="C39" s="18">
        <f t="shared" si="20"/>
        <v>-4697.0499999999993</v>
      </c>
      <c r="D39" s="18">
        <f t="shared" si="23"/>
        <v>-57.049999999999272</v>
      </c>
      <c r="E39" s="18">
        <f t="shared" si="24"/>
        <v>4738.1655464073056</v>
      </c>
      <c r="F39" s="19">
        <f t="shared" si="25"/>
        <v>0</v>
      </c>
      <c r="G39" s="14">
        <f t="shared" si="26"/>
        <v>-4749.5</v>
      </c>
      <c r="H39" s="20">
        <f t="shared" si="27"/>
        <v>0.7</v>
      </c>
      <c r="I39" s="20">
        <f t="shared" si="28"/>
        <v>-4408</v>
      </c>
      <c r="J39" s="28">
        <f t="shared" si="29"/>
        <v>0.3</v>
      </c>
      <c r="K39" s="241">
        <f t="shared" si="31"/>
        <v>-50</v>
      </c>
      <c r="L39" s="20">
        <f t="shared" ref="L39:M41" si="32">L38</f>
        <v>-69</v>
      </c>
      <c r="M39" s="20">
        <f t="shared" si="32"/>
        <v>-49</v>
      </c>
      <c r="N39" s="29"/>
      <c r="O39" s="239"/>
      <c r="P39" s="18">
        <f t="shared" si="15"/>
        <v>90</v>
      </c>
      <c r="Q39" s="14">
        <f t="shared" si="2"/>
        <v>-330</v>
      </c>
      <c r="R39" s="244">
        <f t="shared" si="16"/>
        <v>-4880</v>
      </c>
      <c r="S39" s="243">
        <f>'青岛 - 螺纹'!S39</f>
        <v>0</v>
      </c>
      <c r="T39" s="38">
        <f t="shared" si="17"/>
        <v>4408</v>
      </c>
      <c r="U39" s="20">
        <f t="shared" si="3"/>
        <v>-4408</v>
      </c>
      <c r="V39" s="30"/>
      <c r="W39" s="30"/>
      <c r="X39" s="30"/>
      <c r="Y39" s="30"/>
      <c r="Z39" s="30"/>
      <c r="AA39" s="30"/>
      <c r="AB39" s="30"/>
      <c r="AC39" s="30"/>
      <c r="AD39" s="30"/>
      <c r="AE39" s="248">
        <f>VLOOKUP($A39,每日销量追踪!$A$3:$CM$75,5,0)</f>
        <v>0</v>
      </c>
      <c r="AF39" s="248">
        <f>VLOOKUP($A39,每日销量追踪!$A$3:$CM$75,32,0)</f>
        <v>2990.7360000000003</v>
      </c>
      <c r="AG39" s="251">
        <f>VLOOKUP($A39,每日销量追踪!$A$3:$CM$75,44,0)</f>
        <v>0</v>
      </c>
      <c r="AH39" s="243">
        <v>75</v>
      </c>
    </row>
    <row r="40" spans="1:34">
      <c r="A40" s="16">
        <f t="shared" si="7"/>
        <v>44538</v>
      </c>
      <c r="B40" s="239"/>
      <c r="C40" s="18">
        <f t="shared" si="20"/>
        <v>-42.65</v>
      </c>
      <c r="D40" s="18">
        <f t="shared" si="23"/>
        <v>-42.65</v>
      </c>
      <c r="E40" s="18">
        <f t="shared" si="24"/>
        <v>-57.049999999999272</v>
      </c>
      <c r="F40" s="19">
        <f t="shared" si="25"/>
        <v>0</v>
      </c>
      <c r="G40" s="14">
        <f t="shared" si="26"/>
        <v>10.5</v>
      </c>
      <c r="H40" s="20">
        <f t="shared" si="27"/>
        <v>0.7</v>
      </c>
      <c r="I40" s="20">
        <f t="shared" si="28"/>
        <v>0</v>
      </c>
      <c r="J40" s="28">
        <f t="shared" si="29"/>
        <v>0.3</v>
      </c>
      <c r="K40" s="241">
        <f t="shared" si="31"/>
        <v>-50</v>
      </c>
      <c r="L40" s="20">
        <f t="shared" si="32"/>
        <v>-69</v>
      </c>
      <c r="M40" s="20">
        <f t="shared" si="32"/>
        <v>-49</v>
      </c>
      <c r="N40" s="29"/>
      <c r="O40" s="239"/>
      <c r="P40" s="18">
        <f t="shared" si="15"/>
        <v>90</v>
      </c>
      <c r="Q40" s="14">
        <f t="shared" si="2"/>
        <v>-90</v>
      </c>
      <c r="R40" s="244">
        <f t="shared" si="16"/>
        <v>0</v>
      </c>
      <c r="S40" s="243">
        <f>'青岛 - 螺纹'!S40</f>
        <v>0</v>
      </c>
      <c r="T40" s="38">
        <f t="shared" si="17"/>
        <v>0</v>
      </c>
      <c r="U40" s="20">
        <f t="shared" si="3"/>
        <v>0</v>
      </c>
      <c r="V40" s="30"/>
      <c r="W40" s="30"/>
      <c r="X40" s="30"/>
      <c r="Y40" s="30"/>
      <c r="Z40" s="30"/>
      <c r="AA40" s="30"/>
      <c r="AB40" s="30"/>
      <c r="AC40" s="30"/>
      <c r="AD40" s="30"/>
      <c r="AE40" s="248">
        <f>VLOOKUP($A40,每日销量追踪!$A$3:$CM$75,5,0)</f>
        <v>0</v>
      </c>
      <c r="AF40" s="248">
        <f>VLOOKUP($A40,每日销量追踪!$A$3:$CM$75,32,0)</f>
        <v>2990.7360000000003</v>
      </c>
      <c r="AG40" s="251">
        <f>VLOOKUP($A40,每日销量追踪!$A$3:$CM$75,44,0)</f>
        <v>0</v>
      </c>
      <c r="AH40" s="243">
        <v>75</v>
      </c>
    </row>
    <row r="41" spans="1:34">
      <c r="A41" s="16">
        <f t="shared" si="7"/>
        <v>44539</v>
      </c>
      <c r="B41" s="239"/>
      <c r="C41" s="18">
        <f t="shared" si="20"/>
        <v>-42.65</v>
      </c>
      <c r="D41" s="18">
        <f t="shared" si="23"/>
        <v>-42.65</v>
      </c>
      <c r="E41" s="18">
        <f t="shared" si="24"/>
        <v>-42.65</v>
      </c>
      <c r="F41" s="19">
        <f t="shared" si="25"/>
        <v>0</v>
      </c>
      <c r="G41" s="14">
        <f t="shared" si="26"/>
        <v>10.5</v>
      </c>
      <c r="H41" s="20">
        <f t="shared" si="27"/>
        <v>0.7</v>
      </c>
      <c r="I41" s="20">
        <f t="shared" si="28"/>
        <v>0</v>
      </c>
      <c r="J41" s="28">
        <f t="shared" si="29"/>
        <v>0.3</v>
      </c>
      <c r="K41" s="241">
        <f t="shared" si="31"/>
        <v>-50</v>
      </c>
      <c r="L41" s="20">
        <f t="shared" si="32"/>
        <v>-69</v>
      </c>
      <c r="M41" s="20">
        <f t="shared" si="32"/>
        <v>-49</v>
      </c>
      <c r="N41" s="29"/>
      <c r="O41" s="239"/>
      <c r="P41" s="18">
        <f t="shared" si="15"/>
        <v>90</v>
      </c>
      <c r="Q41" s="14">
        <f t="shared" si="2"/>
        <v>-90</v>
      </c>
      <c r="R41" s="244">
        <f t="shared" si="16"/>
        <v>0</v>
      </c>
      <c r="S41" s="243">
        <f>'青岛 - 螺纹'!S41</f>
        <v>0</v>
      </c>
      <c r="T41" s="38">
        <f t="shared" si="17"/>
        <v>0</v>
      </c>
      <c r="U41" s="20">
        <f t="shared" si="3"/>
        <v>0</v>
      </c>
      <c r="V41" s="30"/>
      <c r="W41" s="30"/>
      <c r="X41" s="30"/>
      <c r="Y41" s="30"/>
      <c r="Z41" s="30"/>
      <c r="AA41" s="30"/>
      <c r="AB41" s="30"/>
      <c r="AC41" s="30"/>
      <c r="AD41" s="30"/>
      <c r="AE41" s="248">
        <f>VLOOKUP($A41,每日销量追踪!$A$3:$CM$75,5,0)</f>
        <v>0</v>
      </c>
      <c r="AF41" s="248">
        <f>VLOOKUP($A41,每日销量追踪!$A$3:$CM$75,32,0)</f>
        <v>1993.8239999999951</v>
      </c>
      <c r="AG41" s="251">
        <f>VLOOKUP($A41,每日销量追踪!$A$3:$CM$75,44,0)</f>
        <v>0</v>
      </c>
      <c r="AH41" s="243">
        <v>75</v>
      </c>
    </row>
  </sheetData>
  <phoneticPr fontId="16" type="noConversion"/>
  <conditionalFormatting sqref="A5:A900">
    <cfRule type="cellIs" dxfId="18" priority="1" operator="equal">
      <formula>$A$1</formula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"/>
  <sheetViews>
    <sheetView workbookViewId="0">
      <selection activeCell="J18" sqref="J18"/>
    </sheetView>
  </sheetViews>
  <sheetFormatPr defaultColWidth="9" defaultRowHeight="14.25"/>
  <sheetData/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workbookViewId="0">
      <pane xSplit="1" ySplit="2" topLeftCell="B18" activePane="bottomRight" state="frozen"/>
      <selection pane="topRight"/>
      <selection pane="bottomLeft"/>
      <selection pane="bottomRight" activeCell="B37" sqref="B37:O38"/>
    </sheetView>
  </sheetViews>
  <sheetFormatPr defaultColWidth="9" defaultRowHeight="14.25" outlineLevelCol="1"/>
  <cols>
    <col min="1" max="1" width="12.25" customWidth="1"/>
    <col min="2" max="2" width="10.125" customWidth="1"/>
    <col min="3" max="3" width="8.875" hidden="1" customWidth="1" outlineLevel="1"/>
    <col min="4" max="4" width="8.875" style="1" hidden="1" customWidth="1" outlineLevel="1"/>
    <col min="5" max="5" width="9.5" hidden="1" customWidth="1" outlineLevel="1"/>
    <col min="6" max="6" width="10.5" hidden="1" customWidth="1" outlineLevel="1"/>
    <col min="7" max="7" width="13.125" hidden="1" customWidth="1" outlineLevel="1"/>
    <col min="8" max="8" width="9.125" hidden="1" customWidth="1" outlineLevel="1"/>
    <col min="9" max="9" width="13.125" style="1" hidden="1" customWidth="1" outlineLevel="1"/>
    <col min="10" max="10" width="9.125" hidden="1" customWidth="1" outlineLevel="1"/>
    <col min="11" max="11" width="14.75" hidden="1" customWidth="1" outlineLevel="1"/>
    <col min="12" max="14" width="9.875" hidden="1" customWidth="1" outlineLevel="1"/>
    <col min="15" max="15" width="8.875" customWidth="1" collapsed="1"/>
    <col min="16" max="16" width="4.875" hidden="1" customWidth="1" outlineLevel="1"/>
    <col min="17" max="17" width="13.5" hidden="1" customWidth="1" outlineLevel="1"/>
    <col min="18" max="18" width="11" hidden="1" customWidth="1" outlineLevel="1"/>
    <col min="19" max="21" width="11.125" hidden="1" customWidth="1" outlineLevel="1"/>
    <col min="22" max="22" width="11.125" hidden="1" customWidth="1" collapsed="1"/>
    <col min="23" max="30" width="11.125" hidden="1" customWidth="1"/>
    <col min="31" max="31" width="11.125" hidden="1" customWidth="1" outlineLevel="1"/>
    <col min="32" max="33" width="10.125" hidden="1" customWidth="1" outlineLevel="1"/>
    <col min="34" max="34" width="11.125" hidden="1" customWidth="1" outlineLevel="1"/>
    <col min="35" max="35" width="9" collapsed="1"/>
  </cols>
  <sheetData>
    <row r="1" spans="1:34">
      <c r="A1" s="2">
        <f ca="1">TODAY()</f>
        <v>44536</v>
      </c>
      <c r="B1" s="3"/>
      <c r="O1" s="3"/>
      <c r="R1" s="3"/>
      <c r="S1" s="3"/>
      <c r="T1" s="3"/>
      <c r="U1" s="3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"/>
      <c r="AG1" s="3"/>
      <c r="AH1" s="3"/>
    </row>
    <row r="2" spans="1:34" ht="42" customHeight="1">
      <c r="A2" s="4" t="s">
        <v>41</v>
      </c>
      <c r="B2" s="4" t="s">
        <v>74</v>
      </c>
      <c r="C2" s="5" t="s">
        <v>75</v>
      </c>
      <c r="D2" s="6" t="s">
        <v>5</v>
      </c>
      <c r="E2" s="7" t="s">
        <v>76</v>
      </c>
      <c r="F2" s="7" t="s">
        <v>77</v>
      </c>
      <c r="G2" s="8" t="s">
        <v>78</v>
      </c>
      <c r="H2" s="9" t="s">
        <v>79</v>
      </c>
      <c r="I2" s="22" t="s">
        <v>80</v>
      </c>
      <c r="J2" s="23" t="s">
        <v>81</v>
      </c>
      <c r="K2" s="24" t="s">
        <v>82</v>
      </c>
      <c r="L2" s="8" t="s">
        <v>10</v>
      </c>
      <c r="M2" s="9" t="s">
        <v>11</v>
      </c>
      <c r="N2" s="9" t="s">
        <v>83</v>
      </c>
      <c r="O2" s="9" t="s">
        <v>84</v>
      </c>
      <c r="P2" s="9" t="s">
        <v>85</v>
      </c>
      <c r="Q2" s="9" t="s">
        <v>86</v>
      </c>
      <c r="R2" s="9" t="s">
        <v>87</v>
      </c>
      <c r="S2" s="32" t="s">
        <v>61</v>
      </c>
      <c r="T2" s="32" t="s">
        <v>62</v>
      </c>
      <c r="U2" s="32" t="s">
        <v>88</v>
      </c>
      <c r="V2" s="32" t="s">
        <v>89</v>
      </c>
      <c r="W2" s="32" t="s">
        <v>90</v>
      </c>
      <c r="X2" s="32" t="s">
        <v>91</v>
      </c>
      <c r="Y2" s="32" t="s">
        <v>92</v>
      </c>
      <c r="Z2" s="32" t="s">
        <v>93</v>
      </c>
      <c r="AA2" s="32" t="s">
        <v>94</v>
      </c>
      <c r="AB2" s="32" t="s">
        <v>95</v>
      </c>
      <c r="AC2" s="32" t="s">
        <v>96</v>
      </c>
      <c r="AD2" s="32" t="s">
        <v>97</v>
      </c>
      <c r="AE2" s="245" t="s">
        <v>106</v>
      </c>
      <c r="AF2" s="39" t="s">
        <v>103</v>
      </c>
      <c r="AG2" s="245" t="s">
        <v>100</v>
      </c>
      <c r="AH2" s="39" t="s">
        <v>104</v>
      </c>
    </row>
    <row r="3" spans="1:34">
      <c r="A3" s="10">
        <v>44501</v>
      </c>
      <c r="B3" s="252">
        <v>5440</v>
      </c>
      <c r="C3" s="12">
        <f t="shared" ref="C3:C7" si="0">H3*G3+J3*I3+K3</f>
        <v>-1869.0999999999997</v>
      </c>
      <c r="D3" s="12">
        <f>5190+C3+K3</f>
        <v>3320.9000000000005</v>
      </c>
      <c r="E3" s="12"/>
      <c r="F3" s="13">
        <v>0</v>
      </c>
      <c r="G3" s="14">
        <f>IF((Q3-L3)&lt;0,-(Q3-L3)/2,IF((Q3-L3)&gt;0,-(Q3-M3)/2,0))+R3</f>
        <v>-2635</v>
      </c>
      <c r="H3" s="15">
        <v>0.7</v>
      </c>
      <c r="I3" s="15">
        <f>U3</f>
        <v>-82</v>
      </c>
      <c r="J3" s="25">
        <v>0.3</v>
      </c>
      <c r="K3" s="25"/>
      <c r="L3" s="253">
        <v>-80</v>
      </c>
      <c r="M3" s="253">
        <v>-50</v>
      </c>
      <c r="N3" s="254"/>
      <c r="O3" s="252"/>
      <c r="P3" s="11">
        <v>-30</v>
      </c>
      <c r="Q3" s="33">
        <f>5190-(P3+O3)</f>
        <v>5220</v>
      </c>
      <c r="R3" s="35">
        <v>0</v>
      </c>
      <c r="S3" s="242">
        <f>'青岛 - 螺纹'!S3</f>
        <v>4630</v>
      </c>
      <c r="T3" s="36">
        <v>4712</v>
      </c>
      <c r="U3" s="15">
        <f>S3-T3</f>
        <v>-82</v>
      </c>
      <c r="V3" s="26">
        <v>565</v>
      </c>
      <c r="W3" s="26">
        <v>577.5</v>
      </c>
      <c r="X3" s="26">
        <f>V3-W3</f>
        <v>-12.5</v>
      </c>
      <c r="Y3" s="26">
        <v>3040</v>
      </c>
      <c r="Z3" s="26">
        <v>3041</v>
      </c>
      <c r="AA3" s="26">
        <f>Y3-Z3</f>
        <v>-1</v>
      </c>
      <c r="AB3" s="26"/>
      <c r="AC3" s="26"/>
      <c r="AD3" s="26">
        <f>AB3-AC3</f>
        <v>0</v>
      </c>
      <c r="AE3" s="246"/>
      <c r="AF3" s="246"/>
      <c r="AG3" s="246"/>
      <c r="AH3" s="256">
        <v>75</v>
      </c>
    </row>
    <row r="4" spans="1:34">
      <c r="A4" s="16">
        <f>A3+1</f>
        <v>44502</v>
      </c>
      <c r="B4" s="239">
        <v>5320</v>
      </c>
      <c r="C4" s="18">
        <f t="shared" si="0"/>
        <v>-1971.2999999999997</v>
      </c>
      <c r="D4" s="18">
        <f>B3+C4+K4</f>
        <v>3468.7000000000003</v>
      </c>
      <c r="E4" s="18">
        <f t="shared" ref="E4:E27" si="1">D3</f>
        <v>3320.9000000000005</v>
      </c>
      <c r="F4" s="19">
        <v>0</v>
      </c>
      <c r="G4" s="14">
        <f>IF((Q4-L4)&lt;0,-(Q4-L4)/2,IF((Q4-L4)&gt;0,-(Q4-M4)/2,0))+R4</f>
        <v>-2760</v>
      </c>
      <c r="H4" s="20">
        <f>H3</f>
        <v>0.7</v>
      </c>
      <c r="I4" s="20">
        <f>U4</f>
        <v>-131</v>
      </c>
      <c r="J4" s="28">
        <f>J3</f>
        <v>0.3</v>
      </c>
      <c r="K4" s="28"/>
      <c r="L4" s="20">
        <f>L3</f>
        <v>-80</v>
      </c>
      <c r="M4" s="20">
        <f>M3</f>
        <v>-50</v>
      </c>
      <c r="N4" s="255"/>
      <c r="O4" s="239"/>
      <c r="P4" s="18">
        <f>P3</f>
        <v>-30</v>
      </c>
      <c r="Q4" s="14">
        <f t="shared" ref="Q4:Q41" si="2">B3-(O3+P3)</f>
        <v>5470</v>
      </c>
      <c r="R4" s="37">
        <f>O4-O3</f>
        <v>0</v>
      </c>
      <c r="S4" s="243">
        <f>'青岛 - 螺纹'!S4</f>
        <v>4499</v>
      </c>
      <c r="T4" s="38">
        <f>S3</f>
        <v>4630</v>
      </c>
      <c r="U4" s="20">
        <f t="shared" ref="U4:U41" si="3">S4-T4</f>
        <v>-131</v>
      </c>
      <c r="V4" s="30"/>
      <c r="W4" s="30"/>
      <c r="X4" s="30">
        <f t="shared" ref="X4" si="4">V4-W4</f>
        <v>0</v>
      </c>
      <c r="Y4" s="30"/>
      <c r="Z4" s="30"/>
      <c r="AA4" s="30">
        <f t="shared" ref="AA4" si="5">Y4-Z4</f>
        <v>0</v>
      </c>
      <c r="AB4" s="30"/>
      <c r="AC4" s="30"/>
      <c r="AD4" s="30">
        <f t="shared" ref="AD4" si="6">AB4-AC4</f>
        <v>0</v>
      </c>
      <c r="AE4" s="247"/>
      <c r="AF4" s="247"/>
      <c r="AG4" s="247"/>
      <c r="AH4" s="250">
        <f>AH3</f>
        <v>75</v>
      </c>
    </row>
    <row r="5" spans="1:34">
      <c r="A5" s="16">
        <f t="shared" ref="A5:A41" si="7">A4+1</f>
        <v>44503</v>
      </c>
      <c r="B5" s="239">
        <v>5200</v>
      </c>
      <c r="C5" s="18">
        <f t="shared" si="0"/>
        <v>-1964.6999999999998</v>
      </c>
      <c r="D5" s="18">
        <f t="shared" ref="D5:D6" si="8">B4+C5+K5</f>
        <v>3355.3</v>
      </c>
      <c r="E5" s="18">
        <f t="shared" si="1"/>
        <v>3468.7000000000003</v>
      </c>
      <c r="F5" s="19" t="e">
        <f>AH4/AF4</f>
        <v>#DIV/0!</v>
      </c>
      <c r="G5" s="14">
        <f t="shared" ref="G5:G27" si="9">IF((Q5-L5)&lt;0,-(Q5-L5)/2,IF((Q5-L5)&gt;0,-(Q5-M5)/2,0))+R5</f>
        <v>-2700</v>
      </c>
      <c r="H5" s="20">
        <f t="shared" ref="H5:H27" si="10">H4</f>
        <v>0.7</v>
      </c>
      <c r="I5" s="20">
        <f t="shared" ref="I5:I27" si="11">U5</f>
        <v>-249</v>
      </c>
      <c r="J5" s="28">
        <f t="shared" ref="J5:J27" si="12">J4</f>
        <v>0.3</v>
      </c>
      <c r="K5" s="28"/>
      <c r="L5" s="20">
        <f t="shared" ref="L5:M20" si="13">L4</f>
        <v>-80</v>
      </c>
      <c r="M5" s="20">
        <f t="shared" si="13"/>
        <v>-50</v>
      </c>
      <c r="N5" s="255"/>
      <c r="O5" s="239"/>
      <c r="P5" s="18">
        <f t="shared" ref="P5:P41" si="14">P4</f>
        <v>-30</v>
      </c>
      <c r="Q5" s="14">
        <f t="shared" si="2"/>
        <v>5350</v>
      </c>
      <c r="R5" s="37">
        <f t="shared" ref="R5:R41" si="15">O5-O4</f>
        <v>0</v>
      </c>
      <c r="S5" s="243">
        <f>'青岛 - 螺纹'!S5</f>
        <v>4250</v>
      </c>
      <c r="T5" s="38">
        <f t="shared" ref="T5:T41" si="16">S4</f>
        <v>4499</v>
      </c>
      <c r="U5" s="20">
        <f t="shared" si="3"/>
        <v>-249</v>
      </c>
      <c r="V5" s="30"/>
      <c r="W5" s="30"/>
      <c r="X5" s="30"/>
      <c r="Y5" s="30"/>
      <c r="Z5" s="30"/>
      <c r="AA5" s="30"/>
      <c r="AB5" s="30"/>
      <c r="AC5" s="30"/>
      <c r="AD5" s="30"/>
      <c r="AE5" s="247"/>
      <c r="AF5" s="247"/>
      <c r="AG5" s="247"/>
      <c r="AH5" s="250">
        <f t="shared" ref="AH5:AH41" si="17">AH4</f>
        <v>75</v>
      </c>
    </row>
    <row r="6" spans="1:34">
      <c r="A6" s="16">
        <f t="shared" si="7"/>
        <v>44504</v>
      </c>
      <c r="B6" s="239">
        <v>5200</v>
      </c>
      <c r="C6" s="18">
        <f t="shared" si="0"/>
        <v>-1803.5999999999997</v>
      </c>
      <c r="D6" s="18">
        <f t="shared" si="8"/>
        <v>3396.4000000000005</v>
      </c>
      <c r="E6" s="18">
        <f t="shared" si="1"/>
        <v>3355.3</v>
      </c>
      <c r="F6" s="19" t="e">
        <f>AH5/AF5</f>
        <v>#DIV/0!</v>
      </c>
      <c r="G6" s="14">
        <f t="shared" si="9"/>
        <v>-2640</v>
      </c>
      <c r="H6" s="20">
        <f t="shared" si="10"/>
        <v>0.7</v>
      </c>
      <c r="I6" s="20">
        <f t="shared" si="11"/>
        <v>148</v>
      </c>
      <c r="J6" s="28">
        <f t="shared" si="12"/>
        <v>0.3</v>
      </c>
      <c r="K6" s="28"/>
      <c r="L6" s="20">
        <f t="shared" si="13"/>
        <v>-80</v>
      </c>
      <c r="M6" s="20">
        <f t="shared" si="13"/>
        <v>-50</v>
      </c>
      <c r="N6" s="255"/>
      <c r="O6" s="239"/>
      <c r="P6" s="18">
        <f t="shared" si="14"/>
        <v>-30</v>
      </c>
      <c r="Q6" s="14">
        <f t="shared" si="2"/>
        <v>5230</v>
      </c>
      <c r="R6" s="37">
        <f t="shared" si="15"/>
        <v>0</v>
      </c>
      <c r="S6" s="243">
        <f>'青岛 - 螺纹'!S6</f>
        <v>4398</v>
      </c>
      <c r="T6" s="38">
        <f t="shared" si="16"/>
        <v>4250</v>
      </c>
      <c r="U6" s="20">
        <f t="shared" si="3"/>
        <v>148</v>
      </c>
      <c r="V6" s="30"/>
      <c r="W6" s="30"/>
      <c r="X6" s="30"/>
      <c r="Y6" s="30"/>
      <c r="Z6" s="30"/>
      <c r="AA6" s="30"/>
      <c r="AB6" s="30"/>
      <c r="AC6" s="30"/>
      <c r="AD6" s="30"/>
      <c r="AE6" s="247"/>
      <c r="AF6" s="247"/>
      <c r="AG6" s="247"/>
      <c r="AH6" s="250">
        <f t="shared" si="17"/>
        <v>75</v>
      </c>
    </row>
    <row r="7" spans="1:34">
      <c r="A7" s="16">
        <f t="shared" si="7"/>
        <v>44505</v>
      </c>
      <c r="B7" s="239">
        <v>5130</v>
      </c>
      <c r="C7" s="18">
        <f t="shared" si="0"/>
        <v>-1895.9999999999998</v>
      </c>
      <c r="D7" s="18">
        <f>B6+C7</f>
        <v>3304</v>
      </c>
      <c r="E7" s="18">
        <f t="shared" si="1"/>
        <v>3396.4000000000005</v>
      </c>
      <c r="F7" s="19" t="e">
        <f>AH6/AF6</f>
        <v>#DIV/0!</v>
      </c>
      <c r="G7" s="14">
        <f t="shared" si="9"/>
        <v>-2640</v>
      </c>
      <c r="H7" s="20">
        <f t="shared" si="10"/>
        <v>0.7</v>
      </c>
      <c r="I7" s="20">
        <f t="shared" si="11"/>
        <v>-160</v>
      </c>
      <c r="J7" s="28">
        <f t="shared" si="12"/>
        <v>0.3</v>
      </c>
      <c r="K7" s="28"/>
      <c r="L7" s="20">
        <f t="shared" si="13"/>
        <v>-80</v>
      </c>
      <c r="M7" s="20">
        <f t="shared" si="13"/>
        <v>-50</v>
      </c>
      <c r="N7" s="255"/>
      <c r="O7" s="239"/>
      <c r="P7" s="18">
        <f t="shared" si="14"/>
        <v>-30</v>
      </c>
      <c r="Q7" s="14">
        <f t="shared" si="2"/>
        <v>5230</v>
      </c>
      <c r="R7" s="37">
        <f t="shared" si="15"/>
        <v>0</v>
      </c>
      <c r="S7" s="243">
        <f>'青岛 - 螺纹'!S7</f>
        <v>4238</v>
      </c>
      <c r="T7" s="38">
        <f t="shared" si="16"/>
        <v>4398</v>
      </c>
      <c r="U7" s="20">
        <f t="shared" si="3"/>
        <v>-160</v>
      </c>
      <c r="V7" s="30"/>
      <c r="W7" s="30"/>
      <c r="X7" s="30"/>
      <c r="Y7" s="30"/>
      <c r="Z7" s="30"/>
      <c r="AA7" s="30"/>
      <c r="AB7" s="30"/>
      <c r="AC7" s="30"/>
      <c r="AD7" s="30"/>
      <c r="AE7" s="247"/>
      <c r="AF7" s="247"/>
      <c r="AG7" s="247"/>
      <c r="AH7" s="250">
        <f t="shared" si="17"/>
        <v>75</v>
      </c>
    </row>
    <row r="8" spans="1:34">
      <c r="A8" s="16">
        <f t="shared" si="7"/>
        <v>44506</v>
      </c>
      <c r="B8" s="239">
        <v>5130</v>
      </c>
      <c r="C8" s="18">
        <f>H8*G8+J8*I8</f>
        <v>-1823.4999999999998</v>
      </c>
      <c r="D8" s="18">
        <f>B7+C8</f>
        <v>3306.5</v>
      </c>
      <c r="E8" s="18">
        <f t="shared" si="1"/>
        <v>3304</v>
      </c>
      <c r="F8" s="19" t="e">
        <f>AH7/AF7</f>
        <v>#DIV/0!</v>
      </c>
      <c r="G8" s="14">
        <f t="shared" si="9"/>
        <v>-2605</v>
      </c>
      <c r="H8" s="20">
        <f t="shared" si="10"/>
        <v>0.7</v>
      </c>
      <c r="I8" s="20">
        <f t="shared" si="11"/>
        <v>0</v>
      </c>
      <c r="J8" s="28">
        <f t="shared" si="12"/>
        <v>0.3</v>
      </c>
      <c r="K8" s="28"/>
      <c r="L8" s="20">
        <f t="shared" si="13"/>
        <v>-80</v>
      </c>
      <c r="M8" s="20">
        <f t="shared" si="13"/>
        <v>-50</v>
      </c>
      <c r="N8" s="255"/>
      <c r="O8" s="239"/>
      <c r="P8" s="18">
        <f t="shared" si="14"/>
        <v>-30</v>
      </c>
      <c r="Q8" s="14">
        <f t="shared" si="2"/>
        <v>5160</v>
      </c>
      <c r="R8" s="37">
        <f t="shared" si="15"/>
        <v>0</v>
      </c>
      <c r="S8" s="243">
        <f>'青岛 - 螺纹'!S8</f>
        <v>4238</v>
      </c>
      <c r="T8" s="38">
        <f t="shared" si="16"/>
        <v>4238</v>
      </c>
      <c r="U8" s="20">
        <f t="shared" si="3"/>
        <v>0</v>
      </c>
      <c r="V8" s="30"/>
      <c r="W8" s="30"/>
      <c r="X8" s="30"/>
      <c r="Y8" s="30"/>
      <c r="Z8" s="30"/>
      <c r="AA8" s="30"/>
      <c r="AB8" s="30"/>
      <c r="AC8" s="30"/>
      <c r="AD8" s="30"/>
      <c r="AE8" s="247"/>
      <c r="AF8" s="247"/>
      <c r="AG8" s="247"/>
      <c r="AH8" s="250">
        <f t="shared" si="17"/>
        <v>75</v>
      </c>
    </row>
    <row r="9" spans="1:34">
      <c r="A9" s="16">
        <f t="shared" si="7"/>
        <v>44507</v>
      </c>
      <c r="B9" s="239">
        <v>5150</v>
      </c>
      <c r="C9" s="18">
        <f t="shared" ref="C9:C15" si="18">H9*G9+J9*I9</f>
        <v>-1823.4999999999998</v>
      </c>
      <c r="D9" s="18">
        <f t="shared" ref="D9:D27" si="19">B8+C9</f>
        <v>3306.5</v>
      </c>
      <c r="E9" s="18">
        <f t="shared" si="1"/>
        <v>3306.5</v>
      </c>
      <c r="F9" s="19">
        <v>1</v>
      </c>
      <c r="G9" s="14">
        <f t="shared" si="9"/>
        <v>-2605</v>
      </c>
      <c r="H9" s="20">
        <f t="shared" si="10"/>
        <v>0.7</v>
      </c>
      <c r="I9" s="20">
        <f t="shared" si="11"/>
        <v>0</v>
      </c>
      <c r="J9" s="28">
        <f t="shared" si="12"/>
        <v>0.3</v>
      </c>
      <c r="K9" s="28"/>
      <c r="L9" s="20">
        <f t="shared" si="13"/>
        <v>-80</v>
      </c>
      <c r="M9" s="20">
        <f t="shared" si="13"/>
        <v>-50</v>
      </c>
      <c r="N9" s="255"/>
      <c r="O9" s="239"/>
      <c r="P9" s="18">
        <f t="shared" si="14"/>
        <v>-30</v>
      </c>
      <c r="Q9" s="14">
        <f t="shared" si="2"/>
        <v>5160</v>
      </c>
      <c r="R9" s="244">
        <f t="shared" si="15"/>
        <v>0</v>
      </c>
      <c r="S9" s="243">
        <f>'青岛 - 螺纹'!S9</f>
        <v>4238</v>
      </c>
      <c r="T9" s="38">
        <f t="shared" si="16"/>
        <v>4238</v>
      </c>
      <c r="U9" s="20">
        <f t="shared" si="3"/>
        <v>0</v>
      </c>
      <c r="V9" s="30"/>
      <c r="W9" s="30"/>
      <c r="X9" s="30"/>
      <c r="Y9" s="30"/>
      <c r="Z9" s="30"/>
      <c r="AA9" s="30"/>
      <c r="AB9" s="30"/>
      <c r="AC9" s="30"/>
      <c r="AD9" s="30"/>
      <c r="AE9" s="247"/>
      <c r="AF9" s="247"/>
      <c r="AG9" s="247"/>
      <c r="AH9" s="250">
        <f t="shared" si="17"/>
        <v>75</v>
      </c>
    </row>
    <row r="10" spans="1:34">
      <c r="A10" s="16">
        <f t="shared" si="7"/>
        <v>44508</v>
      </c>
      <c r="B10" s="239">
        <v>5100</v>
      </c>
      <c r="C10" s="18">
        <f t="shared" si="18"/>
        <v>-1825.3999999999999</v>
      </c>
      <c r="D10" s="18">
        <f t="shared" si="19"/>
        <v>3324.6000000000004</v>
      </c>
      <c r="E10" s="18">
        <f t="shared" si="1"/>
        <v>3306.5</v>
      </c>
      <c r="F10" s="19" t="e">
        <f t="shared" ref="F10:F27" si="20">AH9/AF9</f>
        <v>#DIV/0!</v>
      </c>
      <c r="G10" s="14">
        <f t="shared" si="9"/>
        <v>-2615</v>
      </c>
      <c r="H10" s="20">
        <f t="shared" si="10"/>
        <v>0.7</v>
      </c>
      <c r="I10" s="20">
        <f t="shared" si="11"/>
        <v>17</v>
      </c>
      <c r="J10" s="28">
        <f t="shared" si="12"/>
        <v>0.3</v>
      </c>
      <c r="K10" s="28"/>
      <c r="L10" s="20">
        <f t="shared" si="13"/>
        <v>-80</v>
      </c>
      <c r="M10" s="20">
        <f t="shared" si="13"/>
        <v>-50</v>
      </c>
      <c r="N10" s="255"/>
      <c r="O10" s="239"/>
      <c r="P10" s="18">
        <f t="shared" si="14"/>
        <v>-30</v>
      </c>
      <c r="Q10" s="14">
        <f t="shared" si="2"/>
        <v>5180</v>
      </c>
      <c r="R10" s="244">
        <f t="shared" si="15"/>
        <v>0</v>
      </c>
      <c r="S10" s="243">
        <f>'青岛 - 螺纹'!S10</f>
        <v>4255</v>
      </c>
      <c r="T10" s="38">
        <f t="shared" si="16"/>
        <v>4238</v>
      </c>
      <c r="U10" s="20">
        <f t="shared" si="3"/>
        <v>17</v>
      </c>
      <c r="V10" s="30"/>
      <c r="W10" s="30"/>
      <c r="X10" s="30"/>
      <c r="Y10" s="30"/>
      <c r="Z10" s="30"/>
      <c r="AA10" s="30"/>
      <c r="AB10" s="30"/>
      <c r="AC10" s="30"/>
      <c r="AD10" s="30"/>
      <c r="AE10" s="247"/>
      <c r="AF10" s="248"/>
      <c r="AG10" s="248"/>
      <c r="AH10" s="250">
        <f t="shared" si="17"/>
        <v>75</v>
      </c>
    </row>
    <row r="11" spans="1:34">
      <c r="A11" s="16">
        <f t="shared" si="7"/>
        <v>44509</v>
      </c>
      <c r="B11" s="239"/>
      <c r="C11" s="18">
        <f t="shared" si="18"/>
        <v>-1812.9999999999998</v>
      </c>
      <c r="D11" s="18">
        <f t="shared" si="19"/>
        <v>3287</v>
      </c>
      <c r="E11" s="18">
        <f t="shared" si="1"/>
        <v>3324.6000000000004</v>
      </c>
      <c r="F11" s="19" t="e">
        <f t="shared" si="20"/>
        <v>#DIV/0!</v>
      </c>
      <c r="G11" s="14">
        <f t="shared" si="9"/>
        <v>-2590</v>
      </c>
      <c r="H11" s="20">
        <f t="shared" si="10"/>
        <v>0.7</v>
      </c>
      <c r="I11" s="20">
        <f t="shared" si="11"/>
        <v>0</v>
      </c>
      <c r="J11" s="28">
        <f t="shared" si="12"/>
        <v>0.3</v>
      </c>
      <c r="K11" s="28"/>
      <c r="L11" s="20">
        <f t="shared" si="13"/>
        <v>-80</v>
      </c>
      <c r="M11" s="20">
        <f t="shared" si="13"/>
        <v>-50</v>
      </c>
      <c r="N11" s="255"/>
      <c r="O11" s="239"/>
      <c r="P11" s="18">
        <f t="shared" si="14"/>
        <v>-30</v>
      </c>
      <c r="Q11" s="14">
        <f t="shared" si="2"/>
        <v>5130</v>
      </c>
      <c r="R11" s="244">
        <f t="shared" si="15"/>
        <v>0</v>
      </c>
      <c r="S11" s="243">
        <f>'青岛 - 螺纹'!S11</f>
        <v>4255</v>
      </c>
      <c r="T11" s="38">
        <f t="shared" si="16"/>
        <v>4255</v>
      </c>
      <c r="U11" s="20">
        <f t="shared" si="3"/>
        <v>0</v>
      </c>
      <c r="V11" s="30"/>
      <c r="W11" s="30"/>
      <c r="X11" s="30"/>
      <c r="Y11" s="30"/>
      <c r="Z11" s="30"/>
      <c r="AA11" s="30"/>
      <c r="AB11" s="30"/>
      <c r="AC11" s="30"/>
      <c r="AD11" s="30"/>
      <c r="AE11" s="247"/>
      <c r="AF11" s="248"/>
      <c r="AG11" s="248"/>
      <c r="AH11" s="250">
        <f t="shared" si="17"/>
        <v>75</v>
      </c>
    </row>
    <row r="12" spans="1:34">
      <c r="A12" s="16">
        <f t="shared" si="7"/>
        <v>44510</v>
      </c>
      <c r="B12" s="239"/>
      <c r="C12" s="18">
        <f t="shared" si="18"/>
        <v>-17.5</v>
      </c>
      <c r="D12" s="18">
        <f t="shared" si="19"/>
        <v>-17.5</v>
      </c>
      <c r="E12" s="18">
        <f t="shared" si="1"/>
        <v>3287</v>
      </c>
      <c r="F12" s="19" t="e">
        <f t="shared" si="20"/>
        <v>#DIV/0!</v>
      </c>
      <c r="G12" s="14">
        <f t="shared" si="9"/>
        <v>-40</v>
      </c>
      <c r="H12" s="20">
        <f t="shared" si="10"/>
        <v>0.7</v>
      </c>
      <c r="I12" s="20">
        <f t="shared" si="11"/>
        <v>35</v>
      </c>
      <c r="J12" s="28">
        <f t="shared" si="12"/>
        <v>0.3</v>
      </c>
      <c r="K12" s="28"/>
      <c r="L12" s="20">
        <f t="shared" si="13"/>
        <v>-80</v>
      </c>
      <c r="M12" s="20">
        <f t="shared" si="13"/>
        <v>-50</v>
      </c>
      <c r="N12" s="255"/>
      <c r="O12" s="239"/>
      <c r="P12" s="18">
        <f t="shared" si="14"/>
        <v>-30</v>
      </c>
      <c r="Q12" s="14">
        <f t="shared" si="2"/>
        <v>30</v>
      </c>
      <c r="R12" s="244">
        <f t="shared" si="15"/>
        <v>0</v>
      </c>
      <c r="S12" s="243">
        <f>'青岛 - 螺纹'!S12</f>
        <v>4290</v>
      </c>
      <c r="T12" s="38">
        <f t="shared" si="16"/>
        <v>4255</v>
      </c>
      <c r="U12" s="20">
        <f t="shared" si="3"/>
        <v>35</v>
      </c>
      <c r="V12" s="30"/>
      <c r="W12" s="30"/>
      <c r="X12" s="30"/>
      <c r="Y12" s="30"/>
      <c r="Z12" s="30"/>
      <c r="AA12" s="30"/>
      <c r="AB12" s="30"/>
      <c r="AC12" s="30"/>
      <c r="AD12" s="30"/>
      <c r="AE12" s="247"/>
      <c r="AF12" s="248"/>
      <c r="AG12" s="248"/>
      <c r="AH12" s="250">
        <f t="shared" si="17"/>
        <v>75</v>
      </c>
    </row>
    <row r="13" spans="1:34">
      <c r="A13" s="16">
        <f t="shared" si="7"/>
        <v>44511</v>
      </c>
      <c r="B13" s="239"/>
      <c r="C13" s="18">
        <f t="shared" si="18"/>
        <v>-49.3</v>
      </c>
      <c r="D13" s="18">
        <f t="shared" si="19"/>
        <v>-49.3</v>
      </c>
      <c r="E13" s="18">
        <f t="shared" si="1"/>
        <v>-17.5</v>
      </c>
      <c r="F13" s="19" t="e">
        <f t="shared" si="20"/>
        <v>#DIV/0!</v>
      </c>
      <c r="G13" s="14">
        <f t="shared" si="9"/>
        <v>-40</v>
      </c>
      <c r="H13" s="20">
        <f t="shared" si="10"/>
        <v>0.7</v>
      </c>
      <c r="I13" s="20">
        <f t="shared" si="11"/>
        <v>-71</v>
      </c>
      <c r="J13" s="28">
        <f t="shared" si="12"/>
        <v>0.3</v>
      </c>
      <c r="K13" s="28"/>
      <c r="L13" s="20">
        <f t="shared" si="13"/>
        <v>-80</v>
      </c>
      <c r="M13" s="20">
        <f t="shared" si="13"/>
        <v>-50</v>
      </c>
      <c r="N13" s="255"/>
      <c r="O13" s="239"/>
      <c r="P13" s="18">
        <f t="shared" si="14"/>
        <v>-30</v>
      </c>
      <c r="Q13" s="14">
        <f t="shared" si="2"/>
        <v>30</v>
      </c>
      <c r="R13" s="244">
        <f t="shared" si="15"/>
        <v>0</v>
      </c>
      <c r="S13" s="243">
        <f>'青岛 - 螺纹'!S13</f>
        <v>4219</v>
      </c>
      <c r="T13" s="38">
        <f t="shared" si="16"/>
        <v>4290</v>
      </c>
      <c r="U13" s="20">
        <f t="shared" si="3"/>
        <v>-71</v>
      </c>
      <c r="V13" s="30"/>
      <c r="W13" s="30"/>
      <c r="X13" s="30"/>
      <c r="Y13" s="30"/>
      <c r="Z13" s="30"/>
      <c r="AA13" s="30"/>
      <c r="AB13" s="30"/>
      <c r="AC13" s="30"/>
      <c r="AD13" s="30"/>
      <c r="AE13" s="247"/>
      <c r="AF13" s="248"/>
      <c r="AG13" s="248"/>
      <c r="AH13" s="250">
        <f t="shared" si="17"/>
        <v>75</v>
      </c>
    </row>
    <row r="14" spans="1:34">
      <c r="A14" s="16">
        <f t="shared" si="7"/>
        <v>44512</v>
      </c>
      <c r="B14" s="239"/>
      <c r="C14" s="18">
        <f t="shared" si="18"/>
        <v>33.799999999999997</v>
      </c>
      <c r="D14" s="18">
        <f t="shared" si="19"/>
        <v>33.799999999999997</v>
      </c>
      <c r="E14" s="18">
        <f t="shared" si="1"/>
        <v>-49.3</v>
      </c>
      <c r="F14" s="19" t="e">
        <f t="shared" si="20"/>
        <v>#DIV/0!</v>
      </c>
      <c r="G14" s="14">
        <f t="shared" si="9"/>
        <v>-40</v>
      </c>
      <c r="H14" s="20">
        <f t="shared" si="10"/>
        <v>0.7</v>
      </c>
      <c r="I14" s="20">
        <f t="shared" si="11"/>
        <v>206</v>
      </c>
      <c r="J14" s="28">
        <f t="shared" si="12"/>
        <v>0.3</v>
      </c>
      <c r="K14" s="28"/>
      <c r="L14" s="20">
        <f t="shared" si="13"/>
        <v>-80</v>
      </c>
      <c r="M14" s="20">
        <f t="shared" si="13"/>
        <v>-50</v>
      </c>
      <c r="N14" s="255"/>
      <c r="O14" s="239"/>
      <c r="P14" s="18">
        <f t="shared" si="14"/>
        <v>-30</v>
      </c>
      <c r="Q14" s="14">
        <f t="shared" si="2"/>
        <v>30</v>
      </c>
      <c r="R14" s="244">
        <f t="shared" si="15"/>
        <v>0</v>
      </c>
      <c r="S14" s="243">
        <f>'青岛 - 螺纹'!S14</f>
        <v>4425</v>
      </c>
      <c r="T14" s="38">
        <f t="shared" si="16"/>
        <v>4219</v>
      </c>
      <c r="U14" s="20">
        <f t="shared" si="3"/>
        <v>206</v>
      </c>
      <c r="V14" s="30"/>
      <c r="W14" s="30"/>
      <c r="X14" s="30"/>
      <c r="Y14" s="30"/>
      <c r="Z14" s="30"/>
      <c r="AA14" s="30"/>
      <c r="AB14" s="30"/>
      <c r="AC14" s="30"/>
      <c r="AD14" s="30"/>
      <c r="AE14" s="247"/>
      <c r="AF14" s="248"/>
      <c r="AG14" s="248"/>
      <c r="AH14" s="250">
        <f t="shared" si="17"/>
        <v>75</v>
      </c>
    </row>
    <row r="15" spans="1:34">
      <c r="A15" s="16">
        <f t="shared" si="7"/>
        <v>44513</v>
      </c>
      <c r="B15" s="239"/>
      <c r="C15" s="18">
        <f t="shared" si="18"/>
        <v>-1355.5</v>
      </c>
      <c r="D15" s="18">
        <f t="shared" si="19"/>
        <v>-1355.5</v>
      </c>
      <c r="E15" s="18">
        <f t="shared" si="1"/>
        <v>33.799999999999997</v>
      </c>
      <c r="F15" s="19" t="e">
        <f t="shared" si="20"/>
        <v>#DIV/0!</v>
      </c>
      <c r="G15" s="14">
        <f t="shared" si="9"/>
        <v>-40</v>
      </c>
      <c r="H15" s="20">
        <f t="shared" si="10"/>
        <v>0.7</v>
      </c>
      <c r="I15" s="20">
        <f t="shared" si="11"/>
        <v>-4425</v>
      </c>
      <c r="J15" s="28">
        <f t="shared" si="12"/>
        <v>0.3</v>
      </c>
      <c r="K15" s="28"/>
      <c r="L15" s="20">
        <f t="shared" si="13"/>
        <v>-80</v>
      </c>
      <c r="M15" s="20">
        <f t="shared" si="13"/>
        <v>-50</v>
      </c>
      <c r="N15" s="255"/>
      <c r="O15" s="239"/>
      <c r="P15" s="18">
        <f t="shared" si="14"/>
        <v>-30</v>
      </c>
      <c r="Q15" s="14">
        <f t="shared" si="2"/>
        <v>30</v>
      </c>
      <c r="R15" s="244">
        <f t="shared" si="15"/>
        <v>0</v>
      </c>
      <c r="S15" s="243">
        <f>'青岛 - 螺纹'!S15</f>
        <v>0</v>
      </c>
      <c r="T15" s="38">
        <f t="shared" si="16"/>
        <v>4425</v>
      </c>
      <c r="U15" s="20">
        <f t="shared" si="3"/>
        <v>-4425</v>
      </c>
      <c r="V15" s="30"/>
      <c r="W15" s="30"/>
      <c r="X15" s="30"/>
      <c r="Y15" s="30"/>
      <c r="Z15" s="30"/>
      <c r="AA15" s="30"/>
      <c r="AB15" s="30"/>
      <c r="AC15" s="30"/>
      <c r="AD15" s="30"/>
      <c r="AE15" s="247"/>
      <c r="AF15" s="248"/>
      <c r="AG15" s="251"/>
      <c r="AH15" s="250">
        <f t="shared" si="17"/>
        <v>75</v>
      </c>
    </row>
    <row r="16" spans="1:34">
      <c r="A16" s="16">
        <f t="shared" si="7"/>
        <v>44514</v>
      </c>
      <c r="B16" s="239">
        <v>4620</v>
      </c>
      <c r="C16" s="18">
        <f t="shared" ref="C16:C41" si="21">H16*G16+J16*I16+K16</f>
        <v>4820.5</v>
      </c>
      <c r="D16" s="18">
        <f t="shared" si="19"/>
        <v>4820.5</v>
      </c>
      <c r="E16" s="18">
        <f t="shared" si="1"/>
        <v>-1355.5</v>
      </c>
      <c r="F16" s="19" t="e">
        <f t="shared" si="20"/>
        <v>#DIV/0!</v>
      </c>
      <c r="G16" s="14">
        <f t="shared" si="9"/>
        <v>4990</v>
      </c>
      <c r="H16" s="20">
        <f t="shared" si="10"/>
        <v>0.7</v>
      </c>
      <c r="I16" s="20">
        <f t="shared" si="11"/>
        <v>4425</v>
      </c>
      <c r="J16" s="28">
        <f t="shared" si="12"/>
        <v>0.3</v>
      </c>
      <c r="K16" s="28"/>
      <c r="L16" s="20">
        <f t="shared" si="13"/>
        <v>-80</v>
      </c>
      <c r="M16" s="20">
        <f t="shared" si="13"/>
        <v>-50</v>
      </c>
      <c r="N16" s="255"/>
      <c r="O16" s="239">
        <v>5030</v>
      </c>
      <c r="P16" s="18">
        <f t="shared" si="14"/>
        <v>-30</v>
      </c>
      <c r="Q16" s="14">
        <f t="shared" si="2"/>
        <v>30</v>
      </c>
      <c r="R16" s="244">
        <f t="shared" si="15"/>
        <v>5030</v>
      </c>
      <c r="S16" s="243">
        <f>'青岛 - 螺纹'!S16</f>
        <v>4425</v>
      </c>
      <c r="T16" s="38">
        <f t="shared" si="16"/>
        <v>0</v>
      </c>
      <c r="U16" s="20">
        <f t="shared" si="3"/>
        <v>4425</v>
      </c>
      <c r="V16" s="30"/>
      <c r="W16" s="30"/>
      <c r="X16" s="30"/>
      <c r="Y16" s="30"/>
      <c r="Z16" s="30"/>
      <c r="AA16" s="30"/>
      <c r="AB16" s="30"/>
      <c r="AC16" s="30"/>
      <c r="AD16" s="30"/>
      <c r="AE16" s="247"/>
      <c r="AF16" s="248"/>
      <c r="AG16" s="251"/>
      <c r="AH16" s="250">
        <f t="shared" si="17"/>
        <v>75</v>
      </c>
    </row>
    <row r="17" spans="1:34">
      <c r="A17" s="16">
        <f t="shared" si="7"/>
        <v>44515</v>
      </c>
      <c r="B17" s="239">
        <f>5020-180</f>
        <v>4840</v>
      </c>
      <c r="C17" s="18">
        <f t="shared" si="21"/>
        <v>18.611999999999966</v>
      </c>
      <c r="D17" s="18">
        <f t="shared" si="19"/>
        <v>4638.6120000000001</v>
      </c>
      <c r="E17" s="18">
        <f t="shared" si="1"/>
        <v>4820.5</v>
      </c>
      <c r="F17" s="19" t="e">
        <f t="shared" si="20"/>
        <v>#DIV/0!</v>
      </c>
      <c r="G17" s="14">
        <f t="shared" si="9"/>
        <v>150</v>
      </c>
      <c r="H17" s="20">
        <f t="shared" si="10"/>
        <v>0.7</v>
      </c>
      <c r="I17" s="20">
        <f t="shared" si="11"/>
        <v>-230</v>
      </c>
      <c r="J17" s="28">
        <f t="shared" si="12"/>
        <v>0.3</v>
      </c>
      <c r="K17" s="241">
        <f t="shared" ref="K17:K25" si="22">MIN(-(AF17-AE16)/AH17,100)</f>
        <v>-17.388000000000034</v>
      </c>
      <c r="L17" s="20">
        <f t="shared" si="13"/>
        <v>-80</v>
      </c>
      <c r="M17" s="20">
        <f t="shared" si="13"/>
        <v>-50</v>
      </c>
      <c r="N17" s="255"/>
      <c r="O17" s="239">
        <v>5030</v>
      </c>
      <c r="P17" s="18">
        <f t="shared" si="14"/>
        <v>-30</v>
      </c>
      <c r="Q17" s="14">
        <f t="shared" si="2"/>
        <v>-380</v>
      </c>
      <c r="R17" s="244">
        <f t="shared" si="15"/>
        <v>0</v>
      </c>
      <c r="S17" s="243">
        <f>'青岛 - 螺纹'!S17</f>
        <v>4195</v>
      </c>
      <c r="T17" s="38">
        <f t="shared" si="16"/>
        <v>4425</v>
      </c>
      <c r="U17" s="20">
        <f t="shared" si="3"/>
        <v>-230</v>
      </c>
      <c r="V17" s="30"/>
      <c r="W17" s="30"/>
      <c r="X17" s="30"/>
      <c r="Y17" s="30"/>
      <c r="Z17" s="30"/>
      <c r="AA17" s="30"/>
      <c r="AB17" s="30"/>
      <c r="AC17" s="30"/>
      <c r="AD17" s="30"/>
      <c r="AE17" s="248">
        <f>VLOOKUP($A17,每日销量追踪!$A$3:$CM$75,9,0)</f>
        <v>252.96</v>
      </c>
      <c r="AF17" s="248">
        <f>VLOOKUP($A17,每日销量追踪!$A$3:$CM$75,55,0)</f>
        <v>1304.1000000000026</v>
      </c>
      <c r="AG17" s="251">
        <f>VLOOKUP($A17,每日销量追踪!$A$3:$CM$75,67,0)</f>
        <v>0.19397285484241966</v>
      </c>
      <c r="AH17" s="250">
        <f t="shared" si="17"/>
        <v>75</v>
      </c>
    </row>
    <row r="18" spans="1:34">
      <c r="A18" s="16">
        <f t="shared" si="7"/>
        <v>44516</v>
      </c>
      <c r="B18" s="239">
        <f>5020-180</f>
        <v>4840</v>
      </c>
      <c r="C18" s="18">
        <f t="shared" si="21"/>
        <v>-33.615200000000037</v>
      </c>
      <c r="D18" s="18">
        <f t="shared" si="19"/>
        <v>4806.3847999999998</v>
      </c>
      <c r="E18" s="18">
        <f t="shared" si="1"/>
        <v>4638.6120000000001</v>
      </c>
      <c r="F18" s="19">
        <f t="shared" si="20"/>
        <v>5.7510927076144351E-2</v>
      </c>
      <c r="G18" s="14">
        <f t="shared" si="9"/>
        <v>-10</v>
      </c>
      <c r="H18" s="20">
        <f t="shared" si="10"/>
        <v>0.7</v>
      </c>
      <c r="I18" s="20">
        <f t="shared" si="11"/>
        <v>-42</v>
      </c>
      <c r="J18" s="28">
        <f t="shared" si="12"/>
        <v>0.3</v>
      </c>
      <c r="K18" s="241">
        <f t="shared" si="22"/>
        <v>-14.015200000000034</v>
      </c>
      <c r="L18" s="20">
        <f t="shared" si="13"/>
        <v>-80</v>
      </c>
      <c r="M18" s="20">
        <f t="shared" si="13"/>
        <v>-50</v>
      </c>
      <c r="N18" s="255"/>
      <c r="O18" s="239">
        <v>4980</v>
      </c>
      <c r="P18" s="18">
        <f t="shared" si="14"/>
        <v>-30</v>
      </c>
      <c r="Q18" s="14">
        <f t="shared" si="2"/>
        <v>-160</v>
      </c>
      <c r="R18" s="244">
        <f t="shared" si="15"/>
        <v>-50</v>
      </c>
      <c r="S18" s="243">
        <f>'青岛 - 螺纹'!S18</f>
        <v>4153</v>
      </c>
      <c r="T18" s="38">
        <f t="shared" si="16"/>
        <v>4195</v>
      </c>
      <c r="U18" s="20">
        <f t="shared" si="3"/>
        <v>-42</v>
      </c>
      <c r="V18" s="30"/>
      <c r="W18" s="30"/>
      <c r="X18" s="30"/>
      <c r="Y18" s="30"/>
      <c r="Z18" s="30"/>
      <c r="AA18" s="30"/>
      <c r="AB18" s="30"/>
      <c r="AC18" s="30"/>
      <c r="AD18" s="30"/>
      <c r="AE18" s="248">
        <f>VLOOKUP($A18,每日销量追踪!$A$3:$CM$75,9,0)</f>
        <v>1636.96</v>
      </c>
      <c r="AF18" s="248">
        <f>VLOOKUP($A18,每日销量追踪!$A$3:$CM$75,55,0)</f>
        <v>1304.1000000000026</v>
      </c>
      <c r="AG18" s="251">
        <f>VLOOKUP($A18,每日销量追踪!$A$3:$CM$75,67,0)</f>
        <v>0.72460700866497829</v>
      </c>
      <c r="AH18" s="250">
        <f t="shared" si="17"/>
        <v>75</v>
      </c>
    </row>
    <row r="19" spans="1:34">
      <c r="A19" s="16">
        <f t="shared" si="7"/>
        <v>44517</v>
      </c>
      <c r="B19" s="239">
        <v>4840</v>
      </c>
      <c r="C19" s="18">
        <f t="shared" si="21"/>
        <v>41.438133333333298</v>
      </c>
      <c r="D19" s="18">
        <f t="shared" si="19"/>
        <v>4881.4381333333331</v>
      </c>
      <c r="E19" s="18">
        <f t="shared" si="1"/>
        <v>4806.3847999999998</v>
      </c>
      <c r="F19" s="19">
        <f t="shared" si="20"/>
        <v>5.7510927076144351E-2</v>
      </c>
      <c r="G19" s="14">
        <f t="shared" si="9"/>
        <v>55</v>
      </c>
      <c r="H19" s="20">
        <f t="shared" si="10"/>
        <v>0.7</v>
      </c>
      <c r="I19" s="20">
        <f t="shared" si="11"/>
        <v>-5</v>
      </c>
      <c r="J19" s="28">
        <f t="shared" si="12"/>
        <v>0.3</v>
      </c>
      <c r="K19" s="241">
        <f t="shared" si="22"/>
        <v>4.4381333333332984</v>
      </c>
      <c r="L19" s="20">
        <f t="shared" si="13"/>
        <v>-80</v>
      </c>
      <c r="M19" s="20">
        <f t="shared" si="13"/>
        <v>-50</v>
      </c>
      <c r="N19" s="255"/>
      <c r="O19" s="239">
        <v>5020</v>
      </c>
      <c r="P19" s="18">
        <f t="shared" si="14"/>
        <v>-30</v>
      </c>
      <c r="Q19" s="14">
        <f t="shared" si="2"/>
        <v>-110</v>
      </c>
      <c r="R19" s="244">
        <f t="shared" si="15"/>
        <v>40</v>
      </c>
      <c r="S19" s="243">
        <f>'青岛 - 螺纹'!S19</f>
        <v>4148</v>
      </c>
      <c r="T19" s="38">
        <f t="shared" si="16"/>
        <v>4153</v>
      </c>
      <c r="U19" s="20">
        <f t="shared" si="3"/>
        <v>-5</v>
      </c>
      <c r="V19" s="30"/>
      <c r="W19" s="30"/>
      <c r="X19" s="30"/>
      <c r="Y19" s="30"/>
      <c r="Z19" s="30"/>
      <c r="AA19" s="30"/>
      <c r="AB19" s="30"/>
      <c r="AC19" s="30"/>
      <c r="AD19" s="30"/>
      <c r="AE19" s="248">
        <f>VLOOKUP($A19,每日销量追踪!$A$3:$CM$75,9,0)</f>
        <v>788.32</v>
      </c>
      <c r="AF19" s="248">
        <f>VLOOKUP($A19,每日销量追踪!$A$3:$CM$75,55,0)</f>
        <v>1304.1000000000026</v>
      </c>
      <c r="AG19" s="251">
        <f>VLOOKUP($A19,每日销量追踪!$A$3:$CM$75,67,0)</f>
        <v>0.68456917925516825</v>
      </c>
      <c r="AH19" s="250">
        <f t="shared" si="17"/>
        <v>75</v>
      </c>
    </row>
    <row r="20" spans="1:34">
      <c r="A20" s="16">
        <f t="shared" si="7"/>
        <v>44518</v>
      </c>
      <c r="B20" s="239">
        <v>4810</v>
      </c>
      <c r="C20" s="18">
        <f t="shared" si="21"/>
        <v>10.022933333333297</v>
      </c>
      <c r="D20" s="18">
        <f t="shared" si="19"/>
        <v>4850.0229333333336</v>
      </c>
      <c r="E20" s="18">
        <f t="shared" si="1"/>
        <v>4881.4381333333331</v>
      </c>
      <c r="F20" s="19">
        <f t="shared" si="20"/>
        <v>5.7510927076144351E-2</v>
      </c>
      <c r="G20" s="14">
        <f t="shared" si="9"/>
        <v>-5</v>
      </c>
      <c r="H20" s="20">
        <f t="shared" si="10"/>
        <v>0.7</v>
      </c>
      <c r="I20" s="20">
        <f t="shared" si="11"/>
        <v>68</v>
      </c>
      <c r="J20" s="28">
        <f t="shared" si="12"/>
        <v>0.3</v>
      </c>
      <c r="K20" s="241">
        <f t="shared" si="22"/>
        <v>-6.8770666666667015</v>
      </c>
      <c r="L20" s="20">
        <f t="shared" si="13"/>
        <v>-80</v>
      </c>
      <c r="M20" s="20">
        <f t="shared" si="13"/>
        <v>-50</v>
      </c>
      <c r="N20" s="255"/>
      <c r="O20" s="239">
        <v>4980</v>
      </c>
      <c r="P20" s="18">
        <f t="shared" si="14"/>
        <v>-30</v>
      </c>
      <c r="Q20" s="14">
        <f t="shared" si="2"/>
        <v>-150</v>
      </c>
      <c r="R20" s="244">
        <f t="shared" si="15"/>
        <v>-40</v>
      </c>
      <c r="S20" s="243">
        <f>'青岛 - 螺纹'!S20</f>
        <v>4216</v>
      </c>
      <c r="T20" s="38">
        <f t="shared" si="16"/>
        <v>4148</v>
      </c>
      <c r="U20" s="20">
        <f t="shared" si="3"/>
        <v>68</v>
      </c>
      <c r="V20" s="30"/>
      <c r="W20" s="30"/>
      <c r="X20" s="30"/>
      <c r="Y20" s="30"/>
      <c r="Z20" s="30"/>
      <c r="AA20" s="30"/>
      <c r="AB20" s="30"/>
      <c r="AC20" s="30"/>
      <c r="AD20" s="30"/>
      <c r="AE20" s="248">
        <f>VLOOKUP($A20,每日销量追踪!$A$3:$CM$75,9,0)</f>
        <v>1297.92</v>
      </c>
      <c r="AF20" s="248">
        <f>VLOOKUP($A20,每日销量追踪!$A$3:$CM$75,55,0)</f>
        <v>1304.1000000000026</v>
      </c>
      <c r="AG20" s="251">
        <f>VLOOKUP($A20,每日销量追踪!$A$3:$CM$75,67,0)</f>
        <v>0.76224215934360717</v>
      </c>
      <c r="AH20" s="250">
        <f t="shared" si="17"/>
        <v>75</v>
      </c>
    </row>
    <row r="21" spans="1:34">
      <c r="A21" s="16">
        <f t="shared" si="7"/>
        <v>44519</v>
      </c>
      <c r="B21" s="17">
        <v>4810</v>
      </c>
      <c r="C21" s="18">
        <f t="shared" si="21"/>
        <v>4.1175999999999648</v>
      </c>
      <c r="D21" s="18">
        <f t="shared" si="19"/>
        <v>4814.1175999999996</v>
      </c>
      <c r="E21" s="18">
        <f t="shared" si="1"/>
        <v>4850.0229333333336</v>
      </c>
      <c r="F21" s="19">
        <f t="shared" si="20"/>
        <v>5.7510927076144351E-2</v>
      </c>
      <c r="G21" s="14">
        <f t="shared" si="9"/>
        <v>30</v>
      </c>
      <c r="H21" s="20">
        <f t="shared" si="10"/>
        <v>0.7</v>
      </c>
      <c r="I21" s="20">
        <f t="shared" si="11"/>
        <v>-56</v>
      </c>
      <c r="J21" s="28">
        <f t="shared" si="12"/>
        <v>0.3</v>
      </c>
      <c r="K21" s="241">
        <f t="shared" si="22"/>
        <v>-8.2400000000034196E-2</v>
      </c>
      <c r="L21" s="20">
        <f t="shared" ref="L21:M27" si="23">L20</f>
        <v>-80</v>
      </c>
      <c r="M21" s="20">
        <f t="shared" si="23"/>
        <v>-50</v>
      </c>
      <c r="N21" s="255"/>
      <c r="O21" s="239">
        <v>4980</v>
      </c>
      <c r="P21" s="18">
        <f t="shared" si="14"/>
        <v>-30</v>
      </c>
      <c r="Q21" s="14">
        <f t="shared" si="2"/>
        <v>-140</v>
      </c>
      <c r="R21" s="244">
        <f t="shared" si="15"/>
        <v>0</v>
      </c>
      <c r="S21" s="243">
        <f>'青岛 - 螺纹'!S21</f>
        <v>4160</v>
      </c>
      <c r="T21" s="38">
        <f t="shared" si="16"/>
        <v>4216</v>
      </c>
      <c r="U21" s="20">
        <f t="shared" si="3"/>
        <v>-56</v>
      </c>
      <c r="V21" s="30"/>
      <c r="W21" s="30"/>
      <c r="X21" s="30"/>
      <c r="Y21" s="30"/>
      <c r="Z21" s="30"/>
      <c r="AA21" s="30"/>
      <c r="AB21" s="30"/>
      <c r="AC21" s="30"/>
      <c r="AD21" s="30"/>
      <c r="AE21" s="248">
        <f>VLOOKUP($A21,每日销量追踪!$A$3:$CM$75,9,0)</f>
        <v>2855.64</v>
      </c>
      <c r="AF21" s="248">
        <f>VLOOKUP($A21,每日销量追踪!$A$3:$CM$75,55,0)</f>
        <v>1304.1000000000026</v>
      </c>
      <c r="AG21" s="251">
        <f>VLOOKUP($A21,每日销量追踪!$A$3:$CM$75,67,0)</f>
        <v>1.0477417375968081</v>
      </c>
      <c r="AH21" s="250">
        <f t="shared" si="17"/>
        <v>75</v>
      </c>
    </row>
    <row r="22" spans="1:34">
      <c r="A22" s="16">
        <f t="shared" si="7"/>
        <v>44520</v>
      </c>
      <c r="B22" s="17">
        <v>4840</v>
      </c>
      <c r="C22" s="18">
        <f t="shared" si="21"/>
        <v>71.381200000000007</v>
      </c>
      <c r="D22" s="18">
        <f t="shared" si="19"/>
        <v>4881.3811999999998</v>
      </c>
      <c r="E22" s="18">
        <f t="shared" si="1"/>
        <v>4814.1175999999996</v>
      </c>
      <c r="F22" s="19">
        <f t="shared" si="20"/>
        <v>5.7510927076144351E-2</v>
      </c>
      <c r="G22" s="14">
        <f t="shared" si="9"/>
        <v>60</v>
      </c>
      <c r="H22" s="20">
        <f t="shared" si="10"/>
        <v>0.7</v>
      </c>
      <c r="I22" s="20">
        <f t="shared" si="11"/>
        <v>0</v>
      </c>
      <c r="J22" s="28">
        <f t="shared" si="12"/>
        <v>0.3</v>
      </c>
      <c r="K22" s="241">
        <f t="shared" si="22"/>
        <v>29.381200000000003</v>
      </c>
      <c r="L22" s="20">
        <f t="shared" si="23"/>
        <v>-80</v>
      </c>
      <c r="M22" s="20">
        <f t="shared" si="23"/>
        <v>-50</v>
      </c>
      <c r="N22" s="255"/>
      <c r="O22" s="239">
        <v>5010</v>
      </c>
      <c r="P22" s="18">
        <f t="shared" si="14"/>
        <v>-30</v>
      </c>
      <c r="Q22" s="14">
        <f t="shared" si="2"/>
        <v>-140</v>
      </c>
      <c r="R22" s="244">
        <f t="shared" si="15"/>
        <v>30</v>
      </c>
      <c r="S22" s="243">
        <f>'青岛 - 螺纹'!S22</f>
        <v>4160</v>
      </c>
      <c r="T22" s="38">
        <f t="shared" si="16"/>
        <v>4160</v>
      </c>
      <c r="U22" s="20">
        <f t="shared" si="3"/>
        <v>0</v>
      </c>
      <c r="V22" s="30"/>
      <c r="W22" s="30"/>
      <c r="X22" s="30"/>
      <c r="Y22" s="30"/>
      <c r="Z22" s="30"/>
      <c r="AA22" s="30"/>
      <c r="AB22" s="30"/>
      <c r="AC22" s="30"/>
      <c r="AD22" s="30"/>
      <c r="AE22" s="248">
        <f>VLOOKUP($A22,每日销量追踪!$A$3:$CM$75,9,0)</f>
        <v>1466.32</v>
      </c>
      <c r="AF22" s="248">
        <f>VLOOKUP($A22,每日销量追踪!$A$3:$CM$75,55,0)</f>
        <v>652.04999999999984</v>
      </c>
      <c r="AG22" s="251">
        <f>VLOOKUP($A22,每日销量追踪!$A$3:$CM$75,67,0)</f>
        <v>1.1569274525796245</v>
      </c>
      <c r="AH22" s="250">
        <f t="shared" si="17"/>
        <v>75</v>
      </c>
    </row>
    <row r="23" spans="1:34">
      <c r="A23" s="16">
        <f t="shared" si="7"/>
        <v>44521</v>
      </c>
      <c r="B23" s="17">
        <v>4840</v>
      </c>
      <c r="C23" s="18">
        <f t="shared" si="21"/>
        <v>59.85693333333333</v>
      </c>
      <c r="D23" s="18">
        <f t="shared" si="19"/>
        <v>4899.8569333333335</v>
      </c>
      <c r="E23" s="18">
        <f t="shared" si="1"/>
        <v>4881.3811999999998</v>
      </c>
      <c r="F23" s="19">
        <f t="shared" si="20"/>
        <v>0.11502185415228897</v>
      </c>
      <c r="G23" s="14">
        <f t="shared" si="9"/>
        <v>70</v>
      </c>
      <c r="H23" s="20">
        <f t="shared" si="10"/>
        <v>0.7</v>
      </c>
      <c r="I23" s="20">
        <f t="shared" si="11"/>
        <v>0</v>
      </c>
      <c r="J23" s="28">
        <f t="shared" si="12"/>
        <v>0.3</v>
      </c>
      <c r="K23" s="241">
        <f t="shared" si="22"/>
        <v>10.856933333333334</v>
      </c>
      <c r="L23" s="20">
        <f t="shared" si="23"/>
        <v>-80</v>
      </c>
      <c r="M23" s="20">
        <f t="shared" si="23"/>
        <v>-50</v>
      </c>
      <c r="N23" s="255"/>
      <c r="O23" s="239">
        <v>5050</v>
      </c>
      <c r="P23" s="18">
        <f t="shared" si="14"/>
        <v>-30</v>
      </c>
      <c r="Q23" s="14">
        <f t="shared" si="2"/>
        <v>-140</v>
      </c>
      <c r="R23" s="244">
        <f t="shared" si="15"/>
        <v>40</v>
      </c>
      <c r="S23" s="243">
        <f>'青岛 - 螺纹'!S23</f>
        <v>4160</v>
      </c>
      <c r="T23" s="38">
        <f t="shared" si="16"/>
        <v>4160</v>
      </c>
      <c r="U23" s="20">
        <f t="shared" si="3"/>
        <v>0</v>
      </c>
      <c r="V23" s="30"/>
      <c r="W23" s="30"/>
      <c r="X23" s="30"/>
      <c r="Y23" s="30"/>
      <c r="Z23" s="30"/>
      <c r="AA23" s="30"/>
      <c r="AB23" s="30"/>
      <c r="AC23" s="30"/>
      <c r="AD23" s="30"/>
      <c r="AE23" s="248">
        <f>VLOOKUP($A23,每日销量追踪!$A$3:$CM$75,9,0)</f>
        <v>603.20000000000005</v>
      </c>
      <c r="AF23" s="248">
        <f>VLOOKUP($A23,每日销量追踪!$A$3:$CM$75,55,0)</f>
        <v>652.04999999999984</v>
      </c>
      <c r="AG23" s="251">
        <f>VLOOKUP($A23,每日销量追踪!$A$3:$CM$75,67,0)</f>
        <v>1.1376070342253901</v>
      </c>
      <c r="AH23" s="250">
        <f t="shared" si="17"/>
        <v>75</v>
      </c>
    </row>
    <row r="24" spans="1:34">
      <c r="A24" s="16">
        <f t="shared" si="7"/>
        <v>44522</v>
      </c>
      <c r="B24" s="239">
        <v>4840</v>
      </c>
      <c r="C24" s="18">
        <f t="shared" si="21"/>
        <v>49.177066666666626</v>
      </c>
      <c r="D24" s="18">
        <f t="shared" si="19"/>
        <v>4889.1770666666662</v>
      </c>
      <c r="E24" s="18">
        <f t="shared" si="1"/>
        <v>4899.8569333333335</v>
      </c>
      <c r="F24" s="19">
        <f t="shared" si="20"/>
        <v>0.11502185415228897</v>
      </c>
      <c r="G24" s="14">
        <f t="shared" si="9"/>
        <v>50</v>
      </c>
      <c r="H24" s="20">
        <f t="shared" si="10"/>
        <v>0.7</v>
      </c>
      <c r="I24" s="20">
        <f t="shared" si="11"/>
        <v>90</v>
      </c>
      <c r="J24" s="28">
        <f t="shared" si="12"/>
        <v>0.3</v>
      </c>
      <c r="K24" s="241">
        <f t="shared" si="22"/>
        <v>-12.822933333333372</v>
      </c>
      <c r="L24" s="20">
        <f t="shared" si="23"/>
        <v>-80</v>
      </c>
      <c r="M24" s="20">
        <f t="shared" si="23"/>
        <v>-50</v>
      </c>
      <c r="N24" s="255"/>
      <c r="O24" s="239">
        <v>5050</v>
      </c>
      <c r="P24" s="18">
        <f t="shared" si="14"/>
        <v>-30</v>
      </c>
      <c r="Q24" s="14">
        <f t="shared" si="2"/>
        <v>-180</v>
      </c>
      <c r="R24" s="244">
        <f t="shared" si="15"/>
        <v>0</v>
      </c>
      <c r="S24" s="243">
        <f>'青岛 - 螺纹'!S24</f>
        <v>4250</v>
      </c>
      <c r="T24" s="38">
        <f t="shared" si="16"/>
        <v>4160</v>
      </c>
      <c r="U24" s="20">
        <f t="shared" si="3"/>
        <v>90</v>
      </c>
      <c r="V24" s="30"/>
      <c r="W24" s="30"/>
      <c r="X24" s="30"/>
      <c r="Y24" s="30"/>
      <c r="Z24" s="30"/>
      <c r="AA24" s="30"/>
      <c r="AB24" s="30"/>
      <c r="AC24" s="30"/>
      <c r="AD24" s="30"/>
      <c r="AE24" s="248">
        <f>VLOOKUP($A24,每日销量追踪!$A$3:$CM$75,9,0)</f>
        <v>1980.16</v>
      </c>
      <c r="AF24" s="248">
        <f>VLOOKUP($A24,每日销量追踪!$A$3:$CM$75,55,0)</f>
        <v>1564.920000000003</v>
      </c>
      <c r="AG24" s="251">
        <f>VLOOKUP($A24,每日销量追踪!$A$3:$CM$75,67,0)</f>
        <v>1.2653426373233112</v>
      </c>
      <c r="AH24" s="250">
        <f t="shared" si="17"/>
        <v>75</v>
      </c>
    </row>
    <row r="25" spans="1:34">
      <c r="A25" s="16">
        <f t="shared" si="7"/>
        <v>44523</v>
      </c>
      <c r="B25" s="239">
        <v>4840</v>
      </c>
      <c r="C25" s="18">
        <f t="shared" si="21"/>
        <v>55.536533333333296</v>
      </c>
      <c r="D25" s="18">
        <f t="shared" si="19"/>
        <v>4895.536533333333</v>
      </c>
      <c r="E25" s="18">
        <f t="shared" si="1"/>
        <v>4889.1770666666662</v>
      </c>
      <c r="F25" s="19">
        <f t="shared" si="20"/>
        <v>4.7925772563453629E-2</v>
      </c>
      <c r="G25" s="14">
        <f t="shared" si="9"/>
        <v>50</v>
      </c>
      <c r="H25" s="20">
        <f t="shared" si="10"/>
        <v>0.7</v>
      </c>
      <c r="I25" s="20">
        <f t="shared" si="11"/>
        <v>50</v>
      </c>
      <c r="J25" s="28">
        <f t="shared" si="12"/>
        <v>0.3</v>
      </c>
      <c r="K25" s="241">
        <f t="shared" si="22"/>
        <v>5.5365333333332938</v>
      </c>
      <c r="L25" s="20">
        <f t="shared" si="23"/>
        <v>-80</v>
      </c>
      <c r="M25" s="20">
        <f t="shared" si="23"/>
        <v>-50</v>
      </c>
      <c r="N25" s="255"/>
      <c r="O25" s="239">
        <v>5050</v>
      </c>
      <c r="P25" s="18">
        <f t="shared" si="14"/>
        <v>-30</v>
      </c>
      <c r="Q25" s="14">
        <f t="shared" si="2"/>
        <v>-180</v>
      </c>
      <c r="R25" s="244">
        <f t="shared" si="15"/>
        <v>0</v>
      </c>
      <c r="S25" s="243">
        <f>'青岛 - 螺纹'!S25</f>
        <v>4300</v>
      </c>
      <c r="T25" s="38">
        <f t="shared" si="16"/>
        <v>4250</v>
      </c>
      <c r="U25" s="20">
        <f t="shared" si="3"/>
        <v>50</v>
      </c>
      <c r="V25" s="30"/>
      <c r="W25" s="30"/>
      <c r="X25" s="30"/>
      <c r="Y25" s="30"/>
      <c r="Z25" s="30"/>
      <c r="AA25" s="30"/>
      <c r="AB25" s="30"/>
      <c r="AC25" s="30"/>
      <c r="AD25" s="30"/>
      <c r="AE25" s="248">
        <f>VLOOKUP($A25,每日销量追踪!$A$3:$CM$75,9,0)</f>
        <v>2798.76</v>
      </c>
      <c r="AF25" s="248">
        <f>VLOOKUP($A25,每日销量追踪!$A$3:$CM$75,55,0)</f>
        <v>1564.920000000003</v>
      </c>
      <c r="AG25" s="251">
        <f>VLOOKUP($A25,每日销量追踪!$A$3:$CM$75,67,0)</f>
        <v>1.5268895534595988</v>
      </c>
      <c r="AH25" s="250">
        <f t="shared" si="17"/>
        <v>75</v>
      </c>
    </row>
    <row r="26" spans="1:34">
      <c r="A26" s="16">
        <f t="shared" si="7"/>
        <v>44524</v>
      </c>
      <c r="B26" s="239">
        <v>4840</v>
      </c>
      <c r="C26" s="18">
        <f t="shared" si="21"/>
        <v>55.951199999999957</v>
      </c>
      <c r="D26" s="18">
        <f t="shared" si="19"/>
        <v>4895.9511999999995</v>
      </c>
      <c r="E26" s="18">
        <f t="shared" si="1"/>
        <v>4895.536533333333</v>
      </c>
      <c r="F26" s="19">
        <f t="shared" si="20"/>
        <v>4.7925772563453629E-2</v>
      </c>
      <c r="G26" s="14">
        <f t="shared" si="9"/>
        <v>50</v>
      </c>
      <c r="H26" s="20">
        <f t="shared" si="10"/>
        <v>0.7</v>
      </c>
      <c r="I26" s="20">
        <f t="shared" si="11"/>
        <v>15</v>
      </c>
      <c r="J26" s="28">
        <f t="shared" si="12"/>
        <v>0.3</v>
      </c>
      <c r="K26" s="241">
        <f t="shared" ref="K26:K27" si="24">MIN(-(AF26-AE25)/AH26,100)</f>
        <v>16.451199999999961</v>
      </c>
      <c r="L26" s="20">
        <f t="shared" si="23"/>
        <v>-80</v>
      </c>
      <c r="M26" s="20">
        <f t="shared" si="23"/>
        <v>-50</v>
      </c>
      <c r="N26" s="255"/>
      <c r="O26" s="239">
        <v>5050</v>
      </c>
      <c r="P26" s="18">
        <f t="shared" si="14"/>
        <v>-30</v>
      </c>
      <c r="Q26" s="14">
        <f t="shared" si="2"/>
        <v>-180</v>
      </c>
      <c r="R26" s="244">
        <f t="shared" si="15"/>
        <v>0</v>
      </c>
      <c r="S26" s="243">
        <f>'青岛 - 螺纹'!S26</f>
        <v>4315</v>
      </c>
      <c r="T26" s="38">
        <f t="shared" si="16"/>
        <v>4300</v>
      </c>
      <c r="U26" s="20">
        <f t="shared" si="3"/>
        <v>15</v>
      </c>
      <c r="V26" s="30"/>
      <c r="W26" s="30"/>
      <c r="X26" s="30"/>
      <c r="Y26" s="30"/>
      <c r="Z26" s="30"/>
      <c r="AA26" s="30"/>
      <c r="AB26" s="30"/>
      <c r="AC26" s="30"/>
      <c r="AD26" s="30"/>
      <c r="AE26" s="248">
        <f>VLOOKUP($A26,每日销量追踪!$A$3:$CM$75,9,0)</f>
        <v>2383</v>
      </c>
      <c r="AF26" s="248">
        <f>VLOOKUP($A26,每日销量追踪!$A$3:$CM$75,55,0)</f>
        <v>1564.920000000003</v>
      </c>
      <c r="AG26" s="251">
        <f>VLOOKUP($A26,每日销量追踪!$A$3:$CM$75,67,0)</f>
        <v>1.5255135512784437</v>
      </c>
      <c r="AH26" s="250">
        <f t="shared" si="17"/>
        <v>75</v>
      </c>
    </row>
    <row r="27" spans="1:34">
      <c r="A27" s="16">
        <f t="shared" si="7"/>
        <v>44525</v>
      </c>
      <c r="B27" s="239">
        <v>4840</v>
      </c>
      <c r="C27" s="18">
        <f t="shared" si="21"/>
        <v>114.9077333333333</v>
      </c>
      <c r="D27" s="18">
        <f t="shared" si="19"/>
        <v>4954.9077333333335</v>
      </c>
      <c r="E27" s="18">
        <f t="shared" si="1"/>
        <v>4895.9511999999995</v>
      </c>
      <c r="F27" s="19">
        <f t="shared" si="20"/>
        <v>4.7925772563453629E-2</v>
      </c>
      <c r="G27" s="14">
        <f t="shared" si="9"/>
        <v>80</v>
      </c>
      <c r="H27" s="20">
        <f t="shared" si="10"/>
        <v>0.7</v>
      </c>
      <c r="I27" s="20">
        <f t="shared" si="11"/>
        <v>160</v>
      </c>
      <c r="J27" s="28">
        <f t="shared" si="12"/>
        <v>0.3</v>
      </c>
      <c r="K27" s="241">
        <f t="shared" si="24"/>
        <v>10.907733333333294</v>
      </c>
      <c r="L27" s="20">
        <f t="shared" si="23"/>
        <v>-80</v>
      </c>
      <c r="M27" s="20">
        <f t="shared" si="23"/>
        <v>-50</v>
      </c>
      <c r="N27" s="255"/>
      <c r="O27" s="239">
        <v>5080</v>
      </c>
      <c r="P27" s="18">
        <f t="shared" si="14"/>
        <v>-30</v>
      </c>
      <c r="Q27" s="14">
        <f t="shared" si="2"/>
        <v>-180</v>
      </c>
      <c r="R27" s="244">
        <f t="shared" si="15"/>
        <v>30</v>
      </c>
      <c r="S27" s="243">
        <f>'青岛 - 螺纹'!S27</f>
        <v>4475</v>
      </c>
      <c r="T27" s="38">
        <f t="shared" si="16"/>
        <v>4315</v>
      </c>
      <c r="U27" s="20">
        <f t="shared" si="3"/>
        <v>160</v>
      </c>
      <c r="V27" s="30"/>
      <c r="W27" s="30"/>
      <c r="X27" s="30"/>
      <c r="Y27" s="30"/>
      <c r="Z27" s="30"/>
      <c r="AA27" s="30"/>
      <c r="AB27" s="30"/>
      <c r="AC27" s="30"/>
      <c r="AD27" s="30"/>
      <c r="AE27" s="248">
        <f>VLOOKUP($A27,每日销量追踪!$A$3:$CM$75,9,0)</f>
        <v>3849.8399999999997</v>
      </c>
      <c r="AF27" s="248">
        <f>VLOOKUP($A27,每日销量追踪!$A$3:$CM$75,55,0)</f>
        <v>1564.920000000003</v>
      </c>
      <c r="AG27" s="251">
        <f>VLOOKUP($A27,每日销量追踪!$A$3:$CM$75,67,0)</f>
        <v>1.7591570176111204</v>
      </c>
      <c r="AH27" s="250">
        <f t="shared" si="17"/>
        <v>75</v>
      </c>
    </row>
    <row r="28" spans="1:34">
      <c r="A28" s="16">
        <f t="shared" si="7"/>
        <v>44526</v>
      </c>
      <c r="B28" s="17">
        <v>4820</v>
      </c>
      <c r="C28" s="18">
        <f t="shared" si="21"/>
        <v>15.357850880556029</v>
      </c>
      <c r="D28" s="18">
        <f t="shared" ref="D28:D41" si="25">B27+C28</f>
        <v>4855.3578508805558</v>
      </c>
      <c r="E28" s="18">
        <f t="shared" ref="E28:E41" si="26">D27</f>
        <v>4954.9077333333335</v>
      </c>
      <c r="F28" s="19">
        <f t="shared" ref="F28:F41" si="27">AH27/AF27</f>
        <v>4.7925772563453629E-2</v>
      </c>
      <c r="G28" s="14">
        <f t="shared" ref="G28:G41" si="28">IF((Q28-L28)&lt;0,-(Q28-L28)/2,IF((Q28-L28)&gt;0,-(Q28-M28)/2,0))+R28</f>
        <v>65</v>
      </c>
      <c r="H28" s="20">
        <f t="shared" ref="H28:H41" si="29">H27</f>
        <v>0.7</v>
      </c>
      <c r="I28" s="20">
        <f t="shared" ref="I28:I41" si="30">U28</f>
        <v>-227</v>
      </c>
      <c r="J28" s="28">
        <f t="shared" ref="J28:J41" si="31">J27</f>
        <v>0.3</v>
      </c>
      <c r="K28" s="241">
        <f t="shared" ref="K28:K41" si="32">MIN(MAX((AG27-100%)*50,-50),50)</f>
        <v>37.957850880556023</v>
      </c>
      <c r="L28" s="20">
        <f t="shared" ref="L28:M36" si="33">L27</f>
        <v>-80</v>
      </c>
      <c r="M28" s="20">
        <f t="shared" si="33"/>
        <v>-50</v>
      </c>
      <c r="N28" s="29"/>
      <c r="O28" s="17">
        <v>5080</v>
      </c>
      <c r="P28" s="18">
        <f t="shared" si="14"/>
        <v>-30</v>
      </c>
      <c r="Q28" s="14">
        <f t="shared" si="2"/>
        <v>-210</v>
      </c>
      <c r="R28" s="244">
        <f t="shared" si="15"/>
        <v>0</v>
      </c>
      <c r="S28" s="243">
        <f>'青岛 - 螺纹'!S28</f>
        <v>4248</v>
      </c>
      <c r="T28" s="38">
        <f t="shared" si="16"/>
        <v>4475</v>
      </c>
      <c r="U28" s="20">
        <f t="shared" si="3"/>
        <v>-227</v>
      </c>
      <c r="V28" s="30"/>
      <c r="W28" s="30"/>
      <c r="X28" s="30"/>
      <c r="Y28" s="30"/>
      <c r="Z28" s="30"/>
      <c r="AA28" s="30"/>
      <c r="AB28" s="30"/>
      <c r="AC28" s="30"/>
      <c r="AD28" s="30"/>
      <c r="AE28" s="248">
        <f>VLOOKUP($A28,每日销量追踪!$A$3:$CM$75,9,0)</f>
        <v>1029.5999999999999</v>
      </c>
      <c r="AF28" s="248">
        <f>VLOOKUP($A28,每日销量追踪!$A$3:$CM$75,55,0)</f>
        <v>1564.920000000003</v>
      </c>
      <c r="AG28" s="251">
        <f>VLOOKUP($A28,每日销量追踪!$A$3:$CM$75,67,0)</f>
        <v>1.5389106152391148</v>
      </c>
      <c r="AH28" s="250">
        <f t="shared" si="17"/>
        <v>75</v>
      </c>
    </row>
    <row r="29" spans="1:34">
      <c r="A29" s="16">
        <f t="shared" si="7"/>
        <v>44527</v>
      </c>
      <c r="B29" s="17">
        <v>4770</v>
      </c>
      <c r="C29" s="18">
        <f t="shared" si="21"/>
        <v>35.045530761955739</v>
      </c>
      <c r="D29" s="18">
        <f t="shared" si="25"/>
        <v>4855.0455307619559</v>
      </c>
      <c r="E29" s="18">
        <f t="shared" si="26"/>
        <v>4855.3578508805558</v>
      </c>
      <c r="F29" s="19">
        <f t="shared" si="27"/>
        <v>4.7925772563453629E-2</v>
      </c>
      <c r="G29" s="14">
        <f t="shared" si="28"/>
        <v>75</v>
      </c>
      <c r="H29" s="20">
        <f t="shared" si="29"/>
        <v>0.7</v>
      </c>
      <c r="I29" s="20">
        <f t="shared" si="30"/>
        <v>-148</v>
      </c>
      <c r="J29" s="28">
        <f t="shared" si="31"/>
        <v>0.3</v>
      </c>
      <c r="K29" s="241">
        <f t="shared" si="32"/>
        <v>26.945530761955737</v>
      </c>
      <c r="L29" s="20">
        <f t="shared" si="33"/>
        <v>-80</v>
      </c>
      <c r="M29" s="20">
        <f t="shared" si="33"/>
        <v>-50</v>
      </c>
      <c r="N29" s="29"/>
      <c r="O29" s="17">
        <v>5080</v>
      </c>
      <c r="P29" s="18">
        <f t="shared" si="14"/>
        <v>-30</v>
      </c>
      <c r="Q29" s="14">
        <f t="shared" si="2"/>
        <v>-230</v>
      </c>
      <c r="R29" s="244">
        <f t="shared" si="15"/>
        <v>0</v>
      </c>
      <c r="S29" s="243">
        <f>'青岛 - 螺纹'!S29</f>
        <v>4100</v>
      </c>
      <c r="T29" s="38">
        <f t="shared" si="16"/>
        <v>4248</v>
      </c>
      <c r="U29" s="20">
        <f t="shared" si="3"/>
        <v>-148</v>
      </c>
      <c r="V29" s="30"/>
      <c r="W29" s="30"/>
      <c r="X29" s="30"/>
      <c r="Y29" s="30"/>
      <c r="Z29" s="30"/>
      <c r="AA29" s="30"/>
      <c r="AB29" s="30"/>
      <c r="AC29" s="30"/>
      <c r="AD29" s="30"/>
      <c r="AE29" s="248">
        <f>VLOOKUP($A29,每日销量追踪!$A$3:$CM$75,9,0)</f>
        <v>1805.44</v>
      </c>
      <c r="AF29" s="248">
        <f>VLOOKUP($A29,每日销量追踪!$A$3:$CM$75,55,0)</f>
        <v>782.45999999999981</v>
      </c>
      <c r="AG29" s="251">
        <f>VLOOKUP($A29,每日销量追踪!$A$3:$CM$75,67,0)</f>
        <v>1.6087723334100121</v>
      </c>
      <c r="AH29" s="250">
        <f t="shared" si="17"/>
        <v>75</v>
      </c>
    </row>
    <row r="30" spans="1:34">
      <c r="A30" s="16">
        <f t="shared" si="7"/>
        <v>44528</v>
      </c>
      <c r="B30" s="17">
        <v>4770</v>
      </c>
      <c r="C30" s="18">
        <f t="shared" si="21"/>
        <v>100.43861667050061</v>
      </c>
      <c r="D30" s="18">
        <f t="shared" si="25"/>
        <v>4870.4386166705008</v>
      </c>
      <c r="E30" s="18">
        <f t="shared" si="26"/>
        <v>4855.0455307619559</v>
      </c>
      <c r="F30" s="19">
        <f t="shared" si="27"/>
        <v>9.5851545126907467E-2</v>
      </c>
      <c r="G30" s="14">
        <f t="shared" si="28"/>
        <v>100</v>
      </c>
      <c r="H30" s="20">
        <f t="shared" si="29"/>
        <v>0.7</v>
      </c>
      <c r="I30" s="20">
        <f t="shared" si="30"/>
        <v>0</v>
      </c>
      <c r="J30" s="28">
        <f t="shared" si="31"/>
        <v>0.3</v>
      </c>
      <c r="K30" s="241">
        <f t="shared" si="32"/>
        <v>30.438616670500608</v>
      </c>
      <c r="L30" s="20">
        <f>L29</f>
        <v>-80</v>
      </c>
      <c r="M30" s="20">
        <f>M29</f>
        <v>-50</v>
      </c>
      <c r="N30" s="29"/>
      <c r="O30" s="17">
        <v>5080</v>
      </c>
      <c r="P30" s="18">
        <f t="shared" si="14"/>
        <v>-30</v>
      </c>
      <c r="Q30" s="14">
        <f t="shared" si="2"/>
        <v>-280</v>
      </c>
      <c r="R30" s="244">
        <f t="shared" si="15"/>
        <v>0</v>
      </c>
      <c r="S30" s="243">
        <f>'青岛 - 螺纹'!S30</f>
        <v>4100</v>
      </c>
      <c r="T30" s="38">
        <f t="shared" si="16"/>
        <v>4100</v>
      </c>
      <c r="U30" s="20">
        <f t="shared" si="3"/>
        <v>0</v>
      </c>
      <c r="V30" s="30"/>
      <c r="W30" s="30"/>
      <c r="X30" s="30"/>
      <c r="Y30" s="30"/>
      <c r="Z30" s="30"/>
      <c r="AA30" s="30"/>
      <c r="AB30" s="30"/>
      <c r="AC30" s="30"/>
      <c r="AD30" s="30"/>
      <c r="AE30" s="248">
        <f>VLOOKUP($A30,每日销量追踪!$A$3:$CM$75,9,0)</f>
        <v>574.08000000000004</v>
      </c>
      <c r="AF30" s="248">
        <f>VLOOKUP($A30,每日销量追踪!$A$3:$CM$75,55,0)</f>
        <v>782.45999999999981</v>
      </c>
      <c r="AG30" s="251">
        <f>VLOOKUP($A30,每日销量追踪!$A$3:$CM$75,67,0)</f>
        <v>1.5358484778774613</v>
      </c>
      <c r="AH30" s="250">
        <f t="shared" si="17"/>
        <v>75</v>
      </c>
    </row>
    <row r="31" spans="1:34">
      <c r="A31" s="16">
        <f t="shared" si="7"/>
        <v>44529</v>
      </c>
      <c r="B31" s="17">
        <v>4740</v>
      </c>
      <c r="C31" s="18">
        <f t="shared" si="21"/>
        <v>83.292423893873064</v>
      </c>
      <c r="D31" s="18">
        <f t="shared" si="25"/>
        <v>4853.2924238938731</v>
      </c>
      <c r="E31" s="18">
        <f t="shared" si="26"/>
        <v>4870.4386166705008</v>
      </c>
      <c r="F31" s="19">
        <f t="shared" si="27"/>
        <v>9.5851545126907467E-2</v>
      </c>
      <c r="G31" s="14">
        <f t="shared" si="28"/>
        <v>100</v>
      </c>
      <c r="H31" s="20">
        <f t="shared" si="29"/>
        <v>0.7</v>
      </c>
      <c r="I31" s="20">
        <f t="shared" si="30"/>
        <v>-45</v>
      </c>
      <c r="J31" s="28">
        <f t="shared" si="31"/>
        <v>0.3</v>
      </c>
      <c r="K31" s="241">
        <f t="shared" si="32"/>
        <v>26.792423893873064</v>
      </c>
      <c r="L31" s="20">
        <f t="shared" si="33"/>
        <v>-80</v>
      </c>
      <c r="M31" s="20">
        <f t="shared" si="33"/>
        <v>-50</v>
      </c>
      <c r="N31" s="29"/>
      <c r="O31" s="17">
        <v>5080</v>
      </c>
      <c r="P31" s="18">
        <f t="shared" si="14"/>
        <v>-30</v>
      </c>
      <c r="Q31" s="14">
        <f t="shared" si="2"/>
        <v>-280</v>
      </c>
      <c r="R31" s="244">
        <f t="shared" si="15"/>
        <v>0</v>
      </c>
      <c r="S31" s="243">
        <f>'青岛 - 螺纹'!S31</f>
        <v>4055</v>
      </c>
      <c r="T31" s="38">
        <f t="shared" si="16"/>
        <v>4100</v>
      </c>
      <c r="U31" s="20">
        <f t="shared" si="3"/>
        <v>-45</v>
      </c>
      <c r="V31" s="30"/>
      <c r="W31" s="30"/>
      <c r="X31" s="30"/>
      <c r="Y31" s="30"/>
      <c r="Z31" s="30"/>
      <c r="AA31" s="30"/>
      <c r="AB31" s="30"/>
      <c r="AC31" s="30"/>
      <c r="AD31" s="30"/>
      <c r="AE31" s="248">
        <f>VLOOKUP($A31,每日销量追踪!$A$3:$CM$75,9,0)</f>
        <v>2728.96</v>
      </c>
      <c r="AF31" s="248">
        <f>VLOOKUP($A31,每日销量追踪!$A$3:$CM$75,55,0)</f>
        <v>1877.9040000000002</v>
      </c>
      <c r="AG31" s="251">
        <f>VLOOKUP($A31,每日销量追踪!$A$3:$CM$75,67,0)</f>
        <v>1.4531946254973629</v>
      </c>
      <c r="AH31" s="250">
        <f t="shared" si="17"/>
        <v>75</v>
      </c>
    </row>
    <row r="32" spans="1:34">
      <c r="A32" s="16">
        <f t="shared" si="7"/>
        <v>44530</v>
      </c>
      <c r="B32" s="17">
        <v>4740</v>
      </c>
      <c r="C32" s="18">
        <f t="shared" si="21"/>
        <v>134.65973127486814</v>
      </c>
      <c r="D32" s="18">
        <f t="shared" si="25"/>
        <v>4874.6597312748681</v>
      </c>
      <c r="E32" s="18">
        <f t="shared" si="26"/>
        <v>4853.2924238938731</v>
      </c>
      <c r="F32" s="19">
        <f t="shared" si="27"/>
        <v>3.99381438028781E-2</v>
      </c>
      <c r="G32" s="14">
        <f t="shared" si="28"/>
        <v>115</v>
      </c>
      <c r="H32" s="20">
        <f t="shared" si="29"/>
        <v>0.7</v>
      </c>
      <c r="I32" s="20">
        <f t="shared" si="30"/>
        <v>105</v>
      </c>
      <c r="J32" s="28">
        <f t="shared" si="31"/>
        <v>0.3</v>
      </c>
      <c r="K32" s="241">
        <f t="shared" si="32"/>
        <v>22.659731274868143</v>
      </c>
      <c r="L32" s="20">
        <f t="shared" si="33"/>
        <v>-80</v>
      </c>
      <c r="M32" s="20">
        <f t="shared" si="33"/>
        <v>-50</v>
      </c>
      <c r="N32" s="29"/>
      <c r="O32" s="17">
        <v>5080</v>
      </c>
      <c r="P32" s="18">
        <f t="shared" si="14"/>
        <v>-30</v>
      </c>
      <c r="Q32" s="14">
        <f t="shared" si="2"/>
        <v>-310</v>
      </c>
      <c r="R32" s="244">
        <f t="shared" si="15"/>
        <v>0</v>
      </c>
      <c r="S32" s="243">
        <f>'青岛 - 螺纹'!S32</f>
        <v>4160</v>
      </c>
      <c r="T32" s="38">
        <f t="shared" si="16"/>
        <v>4055</v>
      </c>
      <c r="U32" s="20">
        <f t="shared" si="3"/>
        <v>105</v>
      </c>
      <c r="V32" s="30"/>
      <c r="W32" s="30"/>
      <c r="X32" s="30"/>
      <c r="Y32" s="30"/>
      <c r="Z32" s="30"/>
      <c r="AA32" s="30"/>
      <c r="AB32" s="30"/>
      <c r="AC32" s="30"/>
      <c r="AD32" s="30"/>
      <c r="AE32" s="248">
        <f>VLOOKUP($A32,每日销量追踪!$A$3:$CM$75,9,0)</f>
        <v>1667.36</v>
      </c>
      <c r="AF32" s="248">
        <f>VLOOKUP($A32,每日销量追踪!$A$3:$CM$75,55,0)</f>
        <v>1877.9040000000002</v>
      </c>
      <c r="AG32" s="251">
        <f>VLOOKUP($A32,每日销量追踪!$A$3:$CM$75,67,0)</f>
        <v>1.1705390690897934</v>
      </c>
      <c r="AH32" s="250">
        <f t="shared" si="17"/>
        <v>75</v>
      </c>
    </row>
    <row r="33" spans="1:34">
      <c r="A33" s="16">
        <f t="shared" si="7"/>
        <v>44531</v>
      </c>
      <c r="B33" s="17">
        <v>4760</v>
      </c>
      <c r="C33" s="18">
        <f t="shared" si="21"/>
        <v>100.42695345448968</v>
      </c>
      <c r="D33" s="18">
        <f t="shared" si="25"/>
        <v>4840.4269534544901</v>
      </c>
      <c r="E33" s="18">
        <f t="shared" si="26"/>
        <v>4874.6597312748681</v>
      </c>
      <c r="F33" s="19">
        <f t="shared" si="27"/>
        <v>3.99381438028781E-2</v>
      </c>
      <c r="G33" s="14">
        <f t="shared" si="28"/>
        <v>115</v>
      </c>
      <c r="H33" s="20">
        <f t="shared" si="29"/>
        <v>0.7</v>
      </c>
      <c r="I33" s="20">
        <f t="shared" si="30"/>
        <v>38</v>
      </c>
      <c r="J33" s="28">
        <f t="shared" si="31"/>
        <v>0.3</v>
      </c>
      <c r="K33" s="241">
        <f t="shared" si="32"/>
        <v>8.5269534544896715</v>
      </c>
      <c r="L33" s="20">
        <f t="shared" si="33"/>
        <v>-80</v>
      </c>
      <c r="M33" s="20">
        <f t="shared" si="33"/>
        <v>-50</v>
      </c>
      <c r="N33" s="29"/>
      <c r="O33" s="17">
        <v>5080</v>
      </c>
      <c r="P33" s="18">
        <f t="shared" si="14"/>
        <v>-30</v>
      </c>
      <c r="Q33" s="14">
        <f t="shared" si="2"/>
        <v>-310</v>
      </c>
      <c r="R33" s="244">
        <f t="shared" si="15"/>
        <v>0</v>
      </c>
      <c r="S33" s="243">
        <f>'青岛 - 螺纹'!S33</f>
        <v>4198</v>
      </c>
      <c r="T33" s="38">
        <f t="shared" si="16"/>
        <v>4160</v>
      </c>
      <c r="U33" s="20">
        <f t="shared" si="3"/>
        <v>38</v>
      </c>
      <c r="V33" s="30"/>
      <c r="W33" s="30"/>
      <c r="X33" s="30"/>
      <c r="Y33" s="30"/>
      <c r="Z33" s="30"/>
      <c r="AA33" s="30"/>
      <c r="AB33" s="30"/>
      <c r="AC33" s="30"/>
      <c r="AD33" s="30"/>
      <c r="AE33" s="248">
        <f>VLOOKUP($A33,每日销量追踪!$A$3:$CM$75,9,0)</f>
        <v>4196.2</v>
      </c>
      <c r="AF33" s="248">
        <f>VLOOKUP($A33,每日销量追踪!$A$3:$CM$75,55,0)</f>
        <v>1877.9040000000002</v>
      </c>
      <c r="AG33" s="251">
        <f>VLOOKUP($A33,每日销量追踪!$A$3:$CM$75,67,0)</f>
        <v>1.525196886173805</v>
      </c>
      <c r="AH33" s="250">
        <f t="shared" si="17"/>
        <v>75</v>
      </c>
    </row>
    <row r="34" spans="1:34">
      <c r="A34" s="16">
        <f t="shared" si="7"/>
        <v>44532</v>
      </c>
      <c r="B34" s="17">
        <v>4760</v>
      </c>
      <c r="C34" s="18">
        <f t="shared" si="21"/>
        <v>134.85984430869024</v>
      </c>
      <c r="D34" s="18">
        <f t="shared" si="25"/>
        <v>4894.8598443086903</v>
      </c>
      <c r="E34" s="18">
        <f t="shared" si="26"/>
        <v>4840.4269534544901</v>
      </c>
      <c r="F34" s="19">
        <f t="shared" si="27"/>
        <v>3.99381438028781E-2</v>
      </c>
      <c r="G34" s="14">
        <f t="shared" si="28"/>
        <v>105</v>
      </c>
      <c r="H34" s="20">
        <f t="shared" si="29"/>
        <v>0.7</v>
      </c>
      <c r="I34" s="20">
        <f t="shared" si="30"/>
        <v>117</v>
      </c>
      <c r="J34" s="28">
        <f t="shared" si="31"/>
        <v>0.3</v>
      </c>
      <c r="K34" s="241">
        <f t="shared" si="32"/>
        <v>26.259844308690251</v>
      </c>
      <c r="L34" s="20">
        <f t="shared" si="33"/>
        <v>-80</v>
      </c>
      <c r="M34" s="20">
        <f t="shared" si="33"/>
        <v>-50</v>
      </c>
      <c r="N34" s="29"/>
      <c r="O34" s="17">
        <v>5080</v>
      </c>
      <c r="P34" s="18">
        <f t="shared" si="14"/>
        <v>-30</v>
      </c>
      <c r="Q34" s="14">
        <f t="shared" si="2"/>
        <v>-290</v>
      </c>
      <c r="R34" s="244">
        <f t="shared" si="15"/>
        <v>0</v>
      </c>
      <c r="S34" s="243">
        <f>'青岛 - 螺纹'!S34</f>
        <v>4315</v>
      </c>
      <c r="T34" s="38">
        <f t="shared" si="16"/>
        <v>4198</v>
      </c>
      <c r="U34" s="20">
        <f t="shared" si="3"/>
        <v>117</v>
      </c>
      <c r="V34" s="30"/>
      <c r="W34" s="30"/>
      <c r="X34" s="30"/>
      <c r="Y34" s="30"/>
      <c r="Z34" s="30"/>
      <c r="AA34" s="30"/>
      <c r="AB34" s="30"/>
      <c r="AC34" s="30"/>
      <c r="AD34" s="30"/>
      <c r="AE34" s="248">
        <f>VLOOKUP($A34,每日销量追踪!$A$3:$CM$75,9,0)</f>
        <v>1198.08</v>
      </c>
      <c r="AF34" s="248">
        <f>VLOOKUP($A34,每日销量追踪!$A$3:$CM$75,55,0)</f>
        <v>1251.935999999997</v>
      </c>
      <c r="AG34" s="251">
        <f>VLOOKUP($A34,每日销量追踪!$A$3:$CM$75,67,0)</f>
        <v>1.4218850571507582</v>
      </c>
      <c r="AH34" s="250">
        <f t="shared" si="17"/>
        <v>75</v>
      </c>
    </row>
    <row r="35" spans="1:34">
      <c r="A35" s="16">
        <f t="shared" si="7"/>
        <v>44533</v>
      </c>
      <c r="B35" s="17">
        <v>4790</v>
      </c>
      <c r="C35" s="18">
        <f t="shared" si="21"/>
        <v>66.09425285753791</v>
      </c>
      <c r="D35" s="18">
        <f t="shared" si="25"/>
        <v>4826.0942528575379</v>
      </c>
      <c r="E35" s="18">
        <f t="shared" si="26"/>
        <v>4894.8598443086903</v>
      </c>
      <c r="F35" s="19">
        <f t="shared" si="27"/>
        <v>5.9907215704317299E-2</v>
      </c>
      <c r="G35" s="14">
        <f t="shared" si="28"/>
        <v>75</v>
      </c>
      <c r="H35" s="20">
        <f t="shared" si="29"/>
        <v>0.7</v>
      </c>
      <c r="I35" s="20">
        <f t="shared" si="30"/>
        <v>-25</v>
      </c>
      <c r="J35" s="28">
        <f t="shared" si="31"/>
        <v>0.3</v>
      </c>
      <c r="K35" s="241">
        <f t="shared" si="32"/>
        <v>21.09425285753791</v>
      </c>
      <c r="L35" s="20">
        <f t="shared" si="33"/>
        <v>-80</v>
      </c>
      <c r="M35" s="20">
        <f t="shared" si="33"/>
        <v>-50</v>
      </c>
      <c r="N35" s="29"/>
      <c r="O35" s="17">
        <v>5050</v>
      </c>
      <c r="P35" s="18">
        <f t="shared" si="14"/>
        <v>-30</v>
      </c>
      <c r="Q35" s="14">
        <f t="shared" si="2"/>
        <v>-290</v>
      </c>
      <c r="R35" s="244">
        <f t="shared" si="15"/>
        <v>-30</v>
      </c>
      <c r="S35" s="243">
        <f>'青岛 - 螺纹'!S35</f>
        <v>4290</v>
      </c>
      <c r="T35" s="38">
        <f t="shared" si="16"/>
        <v>4315</v>
      </c>
      <c r="U35" s="20">
        <f t="shared" si="3"/>
        <v>-25</v>
      </c>
      <c r="V35" s="30"/>
      <c r="W35" s="30"/>
      <c r="X35" s="30"/>
      <c r="Y35" s="30"/>
      <c r="Z35" s="30"/>
      <c r="AA35" s="30"/>
      <c r="AB35" s="30"/>
      <c r="AC35" s="30"/>
      <c r="AD35" s="30"/>
      <c r="AE35" s="248">
        <f>VLOOKUP($A35,每日销量追踪!$A$3:$CM$75,9,0)</f>
        <v>2935.56</v>
      </c>
      <c r="AF35" s="248">
        <f>VLOOKUP($A35,每日销量追踪!$A$3:$CM$75,55,0)</f>
        <v>1251.935999999997</v>
      </c>
      <c r="AG35" s="251">
        <f>VLOOKUP($A35,每日销量追踪!$A$3:$CM$75,67,0)</f>
        <v>1.5638744865798015</v>
      </c>
      <c r="AH35" s="250">
        <f t="shared" si="17"/>
        <v>75</v>
      </c>
    </row>
    <row r="36" spans="1:34">
      <c r="A36" s="16">
        <f t="shared" si="7"/>
        <v>44534</v>
      </c>
      <c r="B36" s="17">
        <v>4820</v>
      </c>
      <c r="C36" s="18">
        <f t="shared" si="21"/>
        <v>142.79372432899007</v>
      </c>
      <c r="D36" s="18">
        <f t="shared" si="25"/>
        <v>4932.7937243289898</v>
      </c>
      <c r="E36" s="18">
        <f t="shared" si="26"/>
        <v>4826.0942528575379</v>
      </c>
      <c r="F36" s="19">
        <f t="shared" si="27"/>
        <v>5.9907215704317299E-2</v>
      </c>
      <c r="G36" s="14">
        <f t="shared" si="28"/>
        <v>105</v>
      </c>
      <c r="H36" s="20">
        <f t="shared" si="29"/>
        <v>0.7</v>
      </c>
      <c r="I36" s="20">
        <f t="shared" si="30"/>
        <v>137</v>
      </c>
      <c r="J36" s="28">
        <f t="shared" si="31"/>
        <v>0.3</v>
      </c>
      <c r="K36" s="241">
        <f t="shared" si="32"/>
        <v>28.193724328990079</v>
      </c>
      <c r="L36" s="20">
        <f t="shared" si="33"/>
        <v>-80</v>
      </c>
      <c r="M36" s="20">
        <f t="shared" si="33"/>
        <v>-50</v>
      </c>
      <c r="N36" s="29"/>
      <c r="O36" s="17">
        <v>5080</v>
      </c>
      <c r="P36" s="18">
        <f t="shared" si="14"/>
        <v>-30</v>
      </c>
      <c r="Q36" s="14">
        <f t="shared" si="2"/>
        <v>-230</v>
      </c>
      <c r="R36" s="244">
        <f t="shared" si="15"/>
        <v>30</v>
      </c>
      <c r="S36" s="243">
        <f>'青岛 - 螺纹'!S36</f>
        <v>4427</v>
      </c>
      <c r="T36" s="38">
        <f t="shared" si="16"/>
        <v>4290</v>
      </c>
      <c r="U36" s="20">
        <f t="shared" si="3"/>
        <v>137</v>
      </c>
      <c r="V36" s="30"/>
      <c r="W36" s="30"/>
      <c r="X36" s="30"/>
      <c r="Y36" s="30"/>
      <c r="Z36" s="30"/>
      <c r="AA36" s="30"/>
      <c r="AB36" s="30"/>
      <c r="AC36" s="30"/>
      <c r="AD36" s="30"/>
      <c r="AE36" s="248">
        <f>VLOOKUP($A36,每日销量追踪!$A$3:$CM$75,9,0)</f>
        <v>2104.36</v>
      </c>
      <c r="AF36" s="248">
        <f>VLOOKUP($A36,每日销量追踪!$A$3:$CM$75,55,0)</f>
        <v>625.9680000000003</v>
      </c>
      <c r="AG36" s="251">
        <f>VLOOKUP($A36,每日销量追踪!$A$3:$CM$75,67,0)</f>
        <v>1.6922955440898861</v>
      </c>
      <c r="AH36" s="250">
        <f t="shared" si="17"/>
        <v>75</v>
      </c>
    </row>
    <row r="37" spans="1:34">
      <c r="A37" s="16">
        <f t="shared" si="7"/>
        <v>44535</v>
      </c>
      <c r="B37" s="17">
        <v>4830</v>
      </c>
      <c r="C37" s="18">
        <f t="shared" si="21"/>
        <v>67.4147772044943</v>
      </c>
      <c r="D37" s="18">
        <f t="shared" si="25"/>
        <v>4887.4147772044944</v>
      </c>
      <c r="E37" s="18">
        <f t="shared" si="26"/>
        <v>4932.7937243289898</v>
      </c>
      <c r="F37" s="19">
        <f t="shared" si="27"/>
        <v>0.11981443140863425</v>
      </c>
      <c r="G37" s="14">
        <f t="shared" si="28"/>
        <v>55</v>
      </c>
      <c r="H37" s="20">
        <f t="shared" si="29"/>
        <v>0.7</v>
      </c>
      <c r="I37" s="20">
        <f t="shared" si="30"/>
        <v>-19</v>
      </c>
      <c r="J37" s="28">
        <f t="shared" si="31"/>
        <v>0.3</v>
      </c>
      <c r="K37" s="241">
        <f t="shared" si="32"/>
        <v>34.61477720449431</v>
      </c>
      <c r="L37" s="20">
        <f>L36</f>
        <v>-80</v>
      </c>
      <c r="M37" s="20">
        <f>M36</f>
        <v>-50</v>
      </c>
      <c r="N37" s="29"/>
      <c r="O37" s="17">
        <v>5060</v>
      </c>
      <c r="P37" s="18">
        <f t="shared" si="14"/>
        <v>-30</v>
      </c>
      <c r="Q37" s="14">
        <f t="shared" si="2"/>
        <v>-230</v>
      </c>
      <c r="R37" s="244">
        <f t="shared" si="15"/>
        <v>-20</v>
      </c>
      <c r="S37" s="243">
        <f>'青岛 - 螺纹'!S37</f>
        <v>4408</v>
      </c>
      <c r="T37" s="38">
        <f t="shared" si="16"/>
        <v>4427</v>
      </c>
      <c r="U37" s="20">
        <f t="shared" si="3"/>
        <v>-19</v>
      </c>
      <c r="V37" s="30"/>
      <c r="W37" s="30"/>
      <c r="X37" s="30"/>
      <c r="Y37" s="30"/>
      <c r="Z37" s="30"/>
      <c r="AA37" s="30"/>
      <c r="AB37" s="30"/>
      <c r="AC37" s="30"/>
      <c r="AD37" s="30"/>
      <c r="AE37" s="248">
        <f>VLOOKUP($A37,每日销量追踪!$A$3:$CM$75,9,0)</f>
        <v>1345.28</v>
      </c>
      <c r="AF37" s="248">
        <f>VLOOKUP($A37,每日销量追踪!$A$3:$CM$75,55,0)</f>
        <v>625.9680000000003</v>
      </c>
      <c r="AG37" s="251">
        <f>VLOOKUP($A37,每日销量追踪!$A$3:$CM$75,67,0)</f>
        <v>1.7227504707375894</v>
      </c>
      <c r="AH37" s="250">
        <f t="shared" si="17"/>
        <v>75</v>
      </c>
    </row>
    <row r="38" spans="1:34">
      <c r="A38" s="16">
        <f t="shared" si="7"/>
        <v>44536</v>
      </c>
      <c r="B38" s="17">
        <v>4830</v>
      </c>
      <c r="C38" s="18">
        <f t="shared" si="21"/>
        <v>71.13752353687947</v>
      </c>
      <c r="D38" s="18">
        <f t="shared" si="25"/>
        <v>4901.1375235368796</v>
      </c>
      <c r="E38" s="18">
        <f t="shared" si="26"/>
        <v>4887.4147772044944</v>
      </c>
      <c r="F38" s="19">
        <f t="shared" si="27"/>
        <v>0.11981443140863425</v>
      </c>
      <c r="G38" s="14">
        <f t="shared" si="28"/>
        <v>50</v>
      </c>
      <c r="H38" s="20">
        <f t="shared" si="29"/>
        <v>0.7</v>
      </c>
      <c r="I38" s="20">
        <f t="shared" si="30"/>
        <v>0</v>
      </c>
      <c r="J38" s="28">
        <f t="shared" si="31"/>
        <v>0.3</v>
      </c>
      <c r="K38" s="241">
        <f t="shared" si="32"/>
        <v>36.13752353687947</v>
      </c>
      <c r="L38" s="20">
        <f>L37</f>
        <v>-80</v>
      </c>
      <c r="M38" s="20">
        <f>M37</f>
        <v>-50</v>
      </c>
      <c r="N38" s="29"/>
      <c r="O38" s="17">
        <v>5050</v>
      </c>
      <c r="P38" s="18">
        <f t="shared" si="14"/>
        <v>-30</v>
      </c>
      <c r="Q38" s="14">
        <f t="shared" si="2"/>
        <v>-200</v>
      </c>
      <c r="R38" s="244">
        <f t="shared" si="15"/>
        <v>-10</v>
      </c>
      <c r="S38" s="243">
        <f>'青岛 - 螺纹'!S38</f>
        <v>4408</v>
      </c>
      <c r="T38" s="38">
        <f t="shared" si="16"/>
        <v>4408</v>
      </c>
      <c r="U38" s="20">
        <f t="shared" si="3"/>
        <v>0</v>
      </c>
      <c r="V38" s="30"/>
      <c r="W38" s="30"/>
      <c r="X38" s="30"/>
      <c r="Y38" s="30"/>
      <c r="Z38" s="30"/>
      <c r="AA38" s="30"/>
      <c r="AB38" s="30"/>
      <c r="AC38" s="30"/>
      <c r="AD38" s="30"/>
      <c r="AE38" s="248">
        <f>VLOOKUP($A38,每日销量追踪!$A$3:$CM$75,9,0)</f>
        <v>0</v>
      </c>
      <c r="AF38" s="248">
        <f>VLOOKUP($A38,每日销量追踪!$A$3:$CM$75,55,0)</f>
        <v>1877.9040000000002</v>
      </c>
      <c r="AG38" s="251">
        <f>VLOOKUP($A38,每日销量追踪!$A$3:$CM$75,67,0)</f>
        <v>0</v>
      </c>
      <c r="AH38" s="250">
        <f t="shared" si="17"/>
        <v>75</v>
      </c>
    </row>
    <row r="39" spans="1:34">
      <c r="A39" s="16">
        <f t="shared" si="7"/>
        <v>44537</v>
      </c>
      <c r="B39" s="17"/>
      <c r="C39" s="18">
        <f t="shared" si="21"/>
        <v>-4868.8999999999996</v>
      </c>
      <c r="D39" s="18">
        <f t="shared" si="25"/>
        <v>-38.899999999999636</v>
      </c>
      <c r="E39" s="18">
        <f t="shared" si="26"/>
        <v>4901.1375235368796</v>
      </c>
      <c r="F39" s="19">
        <f t="shared" si="27"/>
        <v>3.99381438028781E-2</v>
      </c>
      <c r="G39" s="14">
        <f t="shared" si="28"/>
        <v>-4995</v>
      </c>
      <c r="H39" s="20">
        <f t="shared" si="29"/>
        <v>0.7</v>
      </c>
      <c r="I39" s="20">
        <f t="shared" si="30"/>
        <v>-4408</v>
      </c>
      <c r="J39" s="28">
        <f t="shared" si="31"/>
        <v>0.3</v>
      </c>
      <c r="K39" s="241">
        <f t="shared" si="32"/>
        <v>-50</v>
      </c>
      <c r="L39" s="20">
        <f t="shared" ref="L39:M41" si="34">L38</f>
        <v>-80</v>
      </c>
      <c r="M39" s="20">
        <f t="shared" si="34"/>
        <v>-50</v>
      </c>
      <c r="N39" s="29"/>
      <c r="O39" s="17"/>
      <c r="P39" s="18">
        <f t="shared" si="14"/>
        <v>-30</v>
      </c>
      <c r="Q39" s="14">
        <f t="shared" si="2"/>
        <v>-190</v>
      </c>
      <c r="R39" s="244">
        <f t="shared" si="15"/>
        <v>-5050</v>
      </c>
      <c r="S39" s="243">
        <f>'青岛 - 螺纹'!S39</f>
        <v>0</v>
      </c>
      <c r="T39" s="38">
        <f t="shared" si="16"/>
        <v>4408</v>
      </c>
      <c r="U39" s="20">
        <f t="shared" si="3"/>
        <v>-4408</v>
      </c>
      <c r="V39" s="30"/>
      <c r="W39" s="30"/>
      <c r="X39" s="30"/>
      <c r="Y39" s="30"/>
      <c r="Z39" s="30"/>
      <c r="AA39" s="30"/>
      <c r="AB39" s="30"/>
      <c r="AC39" s="30"/>
      <c r="AD39" s="30"/>
      <c r="AE39" s="248">
        <f>VLOOKUP($A39,每日销量追踪!$A$3:$CM$75,9,0)</f>
        <v>0</v>
      </c>
      <c r="AF39" s="248">
        <f>VLOOKUP($A39,每日销量追踪!$A$3:$CM$75,55,0)</f>
        <v>1877.9040000000002</v>
      </c>
      <c r="AG39" s="251">
        <f>VLOOKUP($A39,每日销量追踪!$A$3:$CM$75,67,0)</f>
        <v>0</v>
      </c>
      <c r="AH39" s="250">
        <f t="shared" si="17"/>
        <v>75</v>
      </c>
    </row>
    <row r="40" spans="1:34">
      <c r="A40" s="16">
        <f t="shared" si="7"/>
        <v>44538</v>
      </c>
      <c r="B40" s="17"/>
      <c r="C40" s="18">
        <f t="shared" si="21"/>
        <v>-78</v>
      </c>
      <c r="D40" s="18">
        <f t="shared" si="25"/>
        <v>-78</v>
      </c>
      <c r="E40" s="18">
        <f t="shared" si="26"/>
        <v>-38.899999999999636</v>
      </c>
      <c r="F40" s="19">
        <f t="shared" si="27"/>
        <v>3.99381438028781E-2</v>
      </c>
      <c r="G40" s="14">
        <f t="shared" si="28"/>
        <v>-40</v>
      </c>
      <c r="H40" s="20">
        <f t="shared" si="29"/>
        <v>0.7</v>
      </c>
      <c r="I40" s="20">
        <f t="shared" si="30"/>
        <v>0</v>
      </c>
      <c r="J40" s="28">
        <f t="shared" si="31"/>
        <v>0.3</v>
      </c>
      <c r="K40" s="241">
        <f t="shared" si="32"/>
        <v>-50</v>
      </c>
      <c r="L40" s="20">
        <f t="shared" si="34"/>
        <v>-80</v>
      </c>
      <c r="M40" s="20">
        <f t="shared" si="34"/>
        <v>-50</v>
      </c>
      <c r="N40" s="29"/>
      <c r="O40" s="17"/>
      <c r="P40" s="18">
        <f t="shared" si="14"/>
        <v>-30</v>
      </c>
      <c r="Q40" s="14">
        <f t="shared" si="2"/>
        <v>30</v>
      </c>
      <c r="R40" s="244">
        <f t="shared" si="15"/>
        <v>0</v>
      </c>
      <c r="S40" s="243">
        <f>'青岛 - 螺纹'!S40</f>
        <v>0</v>
      </c>
      <c r="T40" s="38">
        <f t="shared" si="16"/>
        <v>0</v>
      </c>
      <c r="U40" s="20">
        <f t="shared" si="3"/>
        <v>0</v>
      </c>
      <c r="V40" s="30"/>
      <c r="W40" s="30"/>
      <c r="X40" s="30"/>
      <c r="Y40" s="30"/>
      <c r="Z40" s="30"/>
      <c r="AA40" s="30"/>
      <c r="AB40" s="30"/>
      <c r="AC40" s="30"/>
      <c r="AD40" s="30"/>
      <c r="AE40" s="248">
        <f>VLOOKUP($A40,每日销量追踪!$A$3:$CM$75,9,0)</f>
        <v>0</v>
      </c>
      <c r="AF40" s="248">
        <f>VLOOKUP($A40,每日销量追踪!$A$3:$CM$75,55,0)</f>
        <v>1877.9040000000002</v>
      </c>
      <c r="AG40" s="251">
        <f>VLOOKUP($A40,每日销量追踪!$A$3:$CM$75,67,0)</f>
        <v>0</v>
      </c>
      <c r="AH40" s="250">
        <f t="shared" si="17"/>
        <v>75</v>
      </c>
    </row>
    <row r="41" spans="1:34">
      <c r="A41" s="16">
        <f t="shared" si="7"/>
        <v>44539</v>
      </c>
      <c r="B41" s="17"/>
      <c r="C41" s="18">
        <f t="shared" si="21"/>
        <v>-78</v>
      </c>
      <c r="D41" s="18">
        <f t="shared" si="25"/>
        <v>-78</v>
      </c>
      <c r="E41" s="18">
        <f t="shared" si="26"/>
        <v>-78</v>
      </c>
      <c r="F41" s="19">
        <f t="shared" si="27"/>
        <v>3.99381438028781E-2</v>
      </c>
      <c r="G41" s="14">
        <f t="shared" si="28"/>
        <v>-40</v>
      </c>
      <c r="H41" s="20">
        <f t="shared" si="29"/>
        <v>0.7</v>
      </c>
      <c r="I41" s="20">
        <f t="shared" si="30"/>
        <v>0</v>
      </c>
      <c r="J41" s="28">
        <f t="shared" si="31"/>
        <v>0.3</v>
      </c>
      <c r="K41" s="241">
        <f t="shared" si="32"/>
        <v>-50</v>
      </c>
      <c r="L41" s="20">
        <f t="shared" si="34"/>
        <v>-80</v>
      </c>
      <c r="M41" s="20">
        <f t="shared" si="34"/>
        <v>-50</v>
      </c>
      <c r="N41" s="29"/>
      <c r="O41" s="17"/>
      <c r="P41" s="18">
        <f t="shared" si="14"/>
        <v>-30</v>
      </c>
      <c r="Q41" s="14">
        <f t="shared" si="2"/>
        <v>30</v>
      </c>
      <c r="R41" s="244">
        <f t="shared" si="15"/>
        <v>0</v>
      </c>
      <c r="S41" s="243">
        <f>'青岛 - 螺纹'!S41</f>
        <v>0</v>
      </c>
      <c r="T41" s="38">
        <f t="shared" si="16"/>
        <v>0</v>
      </c>
      <c r="U41" s="20">
        <f t="shared" si="3"/>
        <v>0</v>
      </c>
      <c r="V41" s="30"/>
      <c r="W41" s="30"/>
      <c r="X41" s="30"/>
      <c r="Y41" s="30"/>
      <c r="Z41" s="30"/>
      <c r="AA41" s="30"/>
      <c r="AB41" s="30"/>
      <c r="AC41" s="30"/>
      <c r="AD41" s="30"/>
      <c r="AE41" s="248">
        <f>VLOOKUP($A41,每日销量追踪!$A$3:$CM$75,9,0)</f>
        <v>0</v>
      </c>
      <c r="AF41" s="248">
        <f>VLOOKUP($A41,每日销量追踪!$A$3:$CM$75,55,0)</f>
        <v>1251.935999999997</v>
      </c>
      <c r="AG41" s="251">
        <f>VLOOKUP($A41,每日销量追踪!$A$3:$CM$75,67,0)</f>
        <v>0</v>
      </c>
      <c r="AH41" s="250">
        <f t="shared" si="17"/>
        <v>75</v>
      </c>
    </row>
  </sheetData>
  <phoneticPr fontId="16" type="noConversion"/>
  <conditionalFormatting sqref="A5:A900">
    <cfRule type="cellIs" dxfId="17" priority="1" operator="equal">
      <formula>$A$1</formula>
    </cfRule>
  </conditionalFormatting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workbookViewId="0">
      <pane xSplit="1" ySplit="2" topLeftCell="B22" activePane="bottomRight" state="frozen"/>
      <selection pane="topRight"/>
      <selection pane="bottomLeft"/>
      <selection pane="bottomRight" activeCell="B37" sqref="B37:O38"/>
    </sheetView>
  </sheetViews>
  <sheetFormatPr defaultColWidth="9" defaultRowHeight="14.25" outlineLevelCol="1"/>
  <cols>
    <col min="1" max="1" width="12.25" customWidth="1"/>
    <col min="2" max="2" width="10.125" customWidth="1"/>
    <col min="3" max="3" width="8.875" hidden="1" customWidth="1" outlineLevel="1"/>
    <col min="4" max="4" width="8.875" style="1" hidden="1" customWidth="1" outlineLevel="1"/>
    <col min="5" max="5" width="9.5" hidden="1" customWidth="1" outlineLevel="1"/>
    <col min="6" max="6" width="10.5" hidden="1" customWidth="1" outlineLevel="1"/>
    <col min="7" max="7" width="13.125" hidden="1" customWidth="1" outlineLevel="1"/>
    <col min="8" max="8" width="9.125" hidden="1" customWidth="1" outlineLevel="1"/>
    <col min="9" max="9" width="13.125" style="1" hidden="1" customWidth="1" outlineLevel="1"/>
    <col min="10" max="10" width="9.125" hidden="1" customWidth="1" outlineLevel="1"/>
    <col min="11" max="11" width="14.75" hidden="1" customWidth="1" outlineLevel="1"/>
    <col min="12" max="14" width="9.875" hidden="1" customWidth="1" outlineLevel="1"/>
    <col min="15" max="15" width="8.875" customWidth="1" collapsed="1"/>
    <col min="16" max="16" width="4.875" hidden="1" customWidth="1" outlineLevel="1"/>
    <col min="17" max="17" width="13.5" hidden="1" customWidth="1" outlineLevel="1"/>
    <col min="18" max="18" width="11" hidden="1" customWidth="1" outlineLevel="1"/>
    <col min="19" max="21" width="11.125" hidden="1" customWidth="1" outlineLevel="1"/>
    <col min="22" max="22" width="11.125" hidden="1" customWidth="1" collapsed="1"/>
    <col min="23" max="30" width="11.125" hidden="1" customWidth="1"/>
    <col min="31" max="31" width="11.125" hidden="1" customWidth="1" outlineLevel="1"/>
    <col min="32" max="33" width="10.125" hidden="1" customWidth="1" outlineLevel="1"/>
    <col min="34" max="34" width="11.125" hidden="1" customWidth="1" outlineLevel="1"/>
    <col min="35" max="35" width="9" collapsed="1"/>
  </cols>
  <sheetData>
    <row r="1" spans="1:34">
      <c r="A1" s="2">
        <f ca="1">TODAY()</f>
        <v>44536</v>
      </c>
      <c r="B1" s="3"/>
      <c r="O1" s="3"/>
      <c r="R1" s="3"/>
      <c r="S1" s="3"/>
      <c r="T1" s="3"/>
      <c r="U1" s="3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"/>
      <c r="AG1" s="3"/>
      <c r="AH1" s="3"/>
    </row>
    <row r="2" spans="1:34" ht="42" customHeight="1">
      <c r="A2" s="4" t="s">
        <v>41</v>
      </c>
      <c r="B2" s="4" t="s">
        <v>74</v>
      </c>
      <c r="C2" s="5" t="s">
        <v>75</v>
      </c>
      <c r="D2" s="6" t="s">
        <v>5</v>
      </c>
      <c r="E2" s="7" t="s">
        <v>76</v>
      </c>
      <c r="F2" s="7" t="s">
        <v>77</v>
      </c>
      <c r="G2" s="8" t="s">
        <v>78</v>
      </c>
      <c r="H2" s="9" t="s">
        <v>79</v>
      </c>
      <c r="I2" s="22" t="s">
        <v>80</v>
      </c>
      <c r="J2" s="23" t="s">
        <v>81</v>
      </c>
      <c r="K2" s="24" t="s">
        <v>82</v>
      </c>
      <c r="L2" s="8" t="s">
        <v>10</v>
      </c>
      <c r="M2" s="9" t="s">
        <v>11</v>
      </c>
      <c r="N2" s="9" t="s">
        <v>83</v>
      </c>
      <c r="O2" s="240" t="s">
        <v>107</v>
      </c>
      <c r="P2" s="9" t="s">
        <v>85</v>
      </c>
      <c r="Q2" s="9" t="s">
        <v>86</v>
      </c>
      <c r="R2" s="9" t="s">
        <v>87</v>
      </c>
      <c r="S2" s="32" t="s">
        <v>61</v>
      </c>
      <c r="T2" s="32" t="s">
        <v>62</v>
      </c>
      <c r="U2" s="32" t="s">
        <v>88</v>
      </c>
      <c r="V2" s="32" t="s">
        <v>89</v>
      </c>
      <c r="W2" s="32" t="s">
        <v>90</v>
      </c>
      <c r="X2" s="32" t="s">
        <v>91</v>
      </c>
      <c r="Y2" s="32" t="s">
        <v>92</v>
      </c>
      <c r="Z2" s="32" t="s">
        <v>93</v>
      </c>
      <c r="AA2" s="32" t="s">
        <v>94</v>
      </c>
      <c r="AB2" s="32" t="s">
        <v>95</v>
      </c>
      <c r="AC2" s="32" t="s">
        <v>96</v>
      </c>
      <c r="AD2" s="32" t="s">
        <v>97</v>
      </c>
      <c r="AE2" s="245" t="s">
        <v>108</v>
      </c>
      <c r="AF2" s="39" t="s">
        <v>103</v>
      </c>
      <c r="AG2" s="245" t="s">
        <v>100</v>
      </c>
      <c r="AH2" s="39" t="s">
        <v>104</v>
      </c>
    </row>
    <row r="3" spans="1:34">
      <c r="A3" s="10">
        <v>44501</v>
      </c>
      <c r="B3" s="252">
        <v>5440</v>
      </c>
      <c r="C3" s="12">
        <f t="shared" ref="C3:C41" si="0">H3*G3+J3*I3+K3</f>
        <v>-1829.1999999999998</v>
      </c>
      <c r="D3" s="12">
        <f>5190+C3</f>
        <v>3360.8</v>
      </c>
      <c r="E3" s="12"/>
      <c r="F3" s="13">
        <v>0</v>
      </c>
      <c r="G3" s="14">
        <f>IF((Q3-L3)&lt;0,-(Q3-L3)/2,IF((Q3-L3)&gt;0,-(Q3-M3)/2,0))+R3</f>
        <v>-2578</v>
      </c>
      <c r="H3" s="15">
        <v>0.7</v>
      </c>
      <c r="I3" s="15">
        <f>U3</f>
        <v>-82</v>
      </c>
      <c r="J3" s="25">
        <v>0.3</v>
      </c>
      <c r="K3" s="25"/>
      <c r="L3" s="26">
        <v>1</v>
      </c>
      <c r="M3" s="26">
        <v>14</v>
      </c>
      <c r="N3" s="27"/>
      <c r="O3" s="11"/>
      <c r="P3" s="11">
        <v>20</v>
      </c>
      <c r="Q3" s="33">
        <f>5190-(P3+O3)</f>
        <v>5170</v>
      </c>
      <c r="R3" s="35">
        <v>0</v>
      </c>
      <c r="S3" s="242">
        <f>'青岛 - 螺纹'!S3</f>
        <v>4630</v>
      </c>
      <c r="T3" s="36">
        <v>4712</v>
      </c>
      <c r="U3" s="15">
        <f>S3-T3</f>
        <v>-82</v>
      </c>
      <c r="V3" s="26">
        <v>565</v>
      </c>
      <c r="W3" s="26">
        <v>577.5</v>
      </c>
      <c r="X3" s="26">
        <f>V3-W3</f>
        <v>-12.5</v>
      </c>
      <c r="Y3" s="26">
        <v>3040</v>
      </c>
      <c r="Z3" s="26">
        <v>3041</v>
      </c>
      <c r="AA3" s="26">
        <f>Y3-Z3</f>
        <v>-1</v>
      </c>
      <c r="AB3" s="26"/>
      <c r="AC3" s="26"/>
      <c r="AD3" s="26">
        <f>AB3-AC3</f>
        <v>0</v>
      </c>
      <c r="AE3" s="246"/>
      <c r="AF3" s="246"/>
      <c r="AG3" s="246"/>
      <c r="AH3" s="249"/>
    </row>
    <row r="4" spans="1:34">
      <c r="A4" s="16">
        <f>A3+1</f>
        <v>44502</v>
      </c>
      <c r="B4" s="239">
        <v>5320</v>
      </c>
      <c r="C4" s="18">
        <f t="shared" si="0"/>
        <v>-1931.3999999999999</v>
      </c>
      <c r="D4" s="18">
        <f>B3+C4</f>
        <v>3508.6000000000004</v>
      </c>
      <c r="E4" s="18">
        <f t="shared" ref="E4:E41" si="1">D3</f>
        <v>3360.8</v>
      </c>
      <c r="F4" s="19">
        <v>0</v>
      </c>
      <c r="G4" s="14">
        <f>IF((Q4-L4)&lt;0,-(Q4-L4)/2,IF((Q4-L4)&gt;0,-(Q4-M4)/2,0))+R4</f>
        <v>-2703</v>
      </c>
      <c r="H4" s="20">
        <f>H3</f>
        <v>0.7</v>
      </c>
      <c r="I4" s="20">
        <f>U4</f>
        <v>-131</v>
      </c>
      <c r="J4" s="28">
        <f>J3</f>
        <v>0.3</v>
      </c>
      <c r="K4" s="28"/>
      <c r="L4" s="20">
        <f>L3</f>
        <v>1</v>
      </c>
      <c r="M4" s="20">
        <f>M3</f>
        <v>14</v>
      </c>
      <c r="N4" s="29"/>
      <c r="O4" s="17"/>
      <c r="P4" s="18">
        <f>P3</f>
        <v>20</v>
      </c>
      <c r="Q4" s="14">
        <f t="shared" ref="Q4:Q41" si="2">B3-(O3+P3)</f>
        <v>5420</v>
      </c>
      <c r="R4" s="37">
        <f>O4-O3</f>
        <v>0</v>
      </c>
      <c r="S4" s="243">
        <f>'青岛 - 螺纹'!S4</f>
        <v>4499</v>
      </c>
      <c r="T4" s="38">
        <f>S3</f>
        <v>4630</v>
      </c>
      <c r="U4" s="20">
        <f t="shared" ref="U4:U41" si="3">S4-T4</f>
        <v>-131</v>
      </c>
      <c r="V4" s="30"/>
      <c r="W4" s="30"/>
      <c r="X4" s="30">
        <f t="shared" ref="X4" si="4">V4-W4</f>
        <v>0</v>
      </c>
      <c r="Y4" s="30"/>
      <c r="Z4" s="30"/>
      <c r="AA4" s="30">
        <f t="shared" ref="AA4" si="5">Y4-Z4</f>
        <v>0</v>
      </c>
      <c r="AB4" s="30"/>
      <c r="AC4" s="30"/>
      <c r="AD4" s="30">
        <f t="shared" ref="AD4" si="6">AB4-AC4</f>
        <v>0</v>
      </c>
      <c r="AE4" s="247"/>
      <c r="AF4" s="247"/>
      <c r="AG4" s="247"/>
      <c r="AH4" s="250"/>
    </row>
    <row r="5" spans="1:34">
      <c r="A5" s="16">
        <f t="shared" ref="A5:A41" si="7">A4+1</f>
        <v>44503</v>
      </c>
      <c r="B5" s="239">
        <v>5200</v>
      </c>
      <c r="C5" s="18">
        <f t="shared" si="0"/>
        <v>-1924.8</v>
      </c>
      <c r="D5" s="18">
        <f t="shared" ref="D5:D41" si="8">B4+C5</f>
        <v>3395.2</v>
      </c>
      <c r="E5" s="18">
        <f t="shared" si="1"/>
        <v>3508.6000000000004</v>
      </c>
      <c r="F5" s="19" t="e">
        <f>AH4/AF4</f>
        <v>#DIV/0!</v>
      </c>
      <c r="G5" s="14">
        <f t="shared" ref="G5:G41" si="9">IF((Q5-L5)&lt;0,-(Q5-L5)/2,IF((Q5-L5)&gt;0,-(Q5-M5)/2,0))+R5</f>
        <v>-2643</v>
      </c>
      <c r="H5" s="20">
        <f t="shared" ref="H5:H41" si="10">H4</f>
        <v>0.7</v>
      </c>
      <c r="I5" s="20">
        <f t="shared" ref="I5:I41" si="11">U5</f>
        <v>-249</v>
      </c>
      <c r="J5" s="28">
        <f t="shared" ref="J5:J41" si="12">J4</f>
        <v>0.3</v>
      </c>
      <c r="K5" s="28"/>
      <c r="L5" s="20">
        <f t="shared" ref="L5:M20" si="13">L4</f>
        <v>1</v>
      </c>
      <c r="M5" s="20">
        <f t="shared" si="13"/>
        <v>14</v>
      </c>
      <c r="N5" s="29"/>
      <c r="O5" s="17"/>
      <c r="P5" s="18">
        <f t="shared" ref="P5:P41" si="14">P4</f>
        <v>20</v>
      </c>
      <c r="Q5" s="14">
        <f t="shared" si="2"/>
        <v>5300</v>
      </c>
      <c r="R5" s="37">
        <f t="shared" ref="R5:R41" si="15">O5-O4</f>
        <v>0</v>
      </c>
      <c r="S5" s="243">
        <f>'青岛 - 螺纹'!S5</f>
        <v>4250</v>
      </c>
      <c r="T5" s="38">
        <f t="shared" ref="T5:T41" si="16">S4</f>
        <v>4499</v>
      </c>
      <c r="U5" s="20">
        <f t="shared" si="3"/>
        <v>-249</v>
      </c>
      <c r="V5" s="30"/>
      <c r="W5" s="30"/>
      <c r="X5" s="30"/>
      <c r="Y5" s="30"/>
      <c r="Z5" s="30"/>
      <c r="AA5" s="30"/>
      <c r="AB5" s="30"/>
      <c r="AC5" s="30"/>
      <c r="AD5" s="30"/>
      <c r="AE5" s="247"/>
      <c r="AF5" s="247"/>
      <c r="AG5" s="247"/>
      <c r="AH5" s="250"/>
    </row>
    <row r="6" spans="1:34">
      <c r="A6" s="16">
        <f t="shared" si="7"/>
        <v>44504</v>
      </c>
      <c r="B6" s="239">
        <v>5200</v>
      </c>
      <c r="C6" s="18">
        <f t="shared" si="0"/>
        <v>-1763.6999999999998</v>
      </c>
      <c r="D6" s="18">
        <f t="shared" si="8"/>
        <v>3436.3</v>
      </c>
      <c r="E6" s="18">
        <f t="shared" si="1"/>
        <v>3395.2</v>
      </c>
      <c r="F6" s="19" t="e">
        <f>AH5/AF5</f>
        <v>#DIV/0!</v>
      </c>
      <c r="G6" s="14">
        <f t="shared" si="9"/>
        <v>-2583</v>
      </c>
      <c r="H6" s="20">
        <f t="shared" si="10"/>
        <v>0.7</v>
      </c>
      <c r="I6" s="20">
        <f t="shared" si="11"/>
        <v>148</v>
      </c>
      <c r="J6" s="28">
        <f t="shared" si="12"/>
        <v>0.3</v>
      </c>
      <c r="K6" s="28"/>
      <c r="L6" s="20">
        <f t="shared" si="13"/>
        <v>1</v>
      </c>
      <c r="M6" s="20">
        <f t="shared" si="13"/>
        <v>14</v>
      </c>
      <c r="N6" s="29"/>
      <c r="O6" s="17"/>
      <c r="P6" s="18">
        <f t="shared" si="14"/>
        <v>20</v>
      </c>
      <c r="Q6" s="14">
        <f t="shared" si="2"/>
        <v>5180</v>
      </c>
      <c r="R6" s="37">
        <f t="shared" si="15"/>
        <v>0</v>
      </c>
      <c r="S6" s="243">
        <f>'青岛 - 螺纹'!S6</f>
        <v>4398</v>
      </c>
      <c r="T6" s="38">
        <f t="shared" si="16"/>
        <v>4250</v>
      </c>
      <c r="U6" s="20">
        <f t="shared" si="3"/>
        <v>148</v>
      </c>
      <c r="V6" s="30"/>
      <c r="W6" s="30"/>
      <c r="X6" s="30"/>
      <c r="Y6" s="30"/>
      <c r="Z6" s="30"/>
      <c r="AA6" s="30"/>
      <c r="AB6" s="30"/>
      <c r="AC6" s="30"/>
      <c r="AD6" s="30"/>
      <c r="AE6" s="247"/>
      <c r="AF6" s="247"/>
      <c r="AG6" s="247"/>
      <c r="AH6" s="250"/>
    </row>
    <row r="7" spans="1:34">
      <c r="A7" s="16">
        <f t="shared" si="7"/>
        <v>44505</v>
      </c>
      <c r="B7" s="239">
        <v>5130</v>
      </c>
      <c r="C7" s="18">
        <f t="shared" si="0"/>
        <v>-1856.1</v>
      </c>
      <c r="D7" s="18">
        <f t="shared" si="8"/>
        <v>3343.9</v>
      </c>
      <c r="E7" s="18">
        <f t="shared" si="1"/>
        <v>3436.3</v>
      </c>
      <c r="F7" s="19" t="e">
        <f>AH6/AF6</f>
        <v>#DIV/0!</v>
      </c>
      <c r="G7" s="14">
        <f t="shared" si="9"/>
        <v>-2583</v>
      </c>
      <c r="H7" s="20">
        <f t="shared" si="10"/>
        <v>0.7</v>
      </c>
      <c r="I7" s="20">
        <f t="shared" si="11"/>
        <v>-160</v>
      </c>
      <c r="J7" s="28">
        <f t="shared" si="12"/>
        <v>0.3</v>
      </c>
      <c r="K7" s="28"/>
      <c r="L7" s="20">
        <f t="shared" si="13"/>
        <v>1</v>
      </c>
      <c r="M7" s="20">
        <f t="shared" si="13"/>
        <v>14</v>
      </c>
      <c r="N7" s="29"/>
      <c r="O7" s="17"/>
      <c r="P7" s="18">
        <f t="shared" si="14"/>
        <v>20</v>
      </c>
      <c r="Q7" s="14">
        <f t="shared" si="2"/>
        <v>5180</v>
      </c>
      <c r="R7" s="37">
        <f t="shared" si="15"/>
        <v>0</v>
      </c>
      <c r="S7" s="243">
        <f>'青岛 - 螺纹'!S7</f>
        <v>4238</v>
      </c>
      <c r="T7" s="38">
        <f t="shared" si="16"/>
        <v>4398</v>
      </c>
      <c r="U7" s="20">
        <f t="shared" si="3"/>
        <v>-160</v>
      </c>
      <c r="V7" s="30"/>
      <c r="W7" s="30"/>
      <c r="X7" s="30"/>
      <c r="Y7" s="30"/>
      <c r="Z7" s="30"/>
      <c r="AA7" s="30"/>
      <c r="AB7" s="30"/>
      <c r="AC7" s="30"/>
      <c r="AD7" s="30"/>
      <c r="AE7" s="247"/>
      <c r="AF7" s="247"/>
      <c r="AG7" s="247"/>
      <c r="AH7" s="250"/>
    </row>
    <row r="8" spans="1:34">
      <c r="A8" s="16">
        <f t="shared" si="7"/>
        <v>44506</v>
      </c>
      <c r="B8" s="239">
        <v>5130</v>
      </c>
      <c r="C8" s="18">
        <f t="shared" si="0"/>
        <v>-1783.6</v>
      </c>
      <c r="D8" s="18">
        <f t="shared" si="8"/>
        <v>3346.4</v>
      </c>
      <c r="E8" s="18">
        <f t="shared" si="1"/>
        <v>3343.9</v>
      </c>
      <c r="F8" s="19" t="e">
        <f>AH7/AF7</f>
        <v>#DIV/0!</v>
      </c>
      <c r="G8" s="14">
        <f t="shared" si="9"/>
        <v>-2548</v>
      </c>
      <c r="H8" s="20">
        <f t="shared" si="10"/>
        <v>0.7</v>
      </c>
      <c r="I8" s="20">
        <f t="shared" si="11"/>
        <v>0</v>
      </c>
      <c r="J8" s="28">
        <f t="shared" si="12"/>
        <v>0.3</v>
      </c>
      <c r="K8" s="28"/>
      <c r="L8" s="20">
        <f t="shared" si="13"/>
        <v>1</v>
      </c>
      <c r="M8" s="20">
        <f t="shared" si="13"/>
        <v>14</v>
      </c>
      <c r="N8" s="29"/>
      <c r="O8" s="17"/>
      <c r="P8" s="18">
        <f t="shared" si="14"/>
        <v>20</v>
      </c>
      <c r="Q8" s="14">
        <f t="shared" si="2"/>
        <v>5110</v>
      </c>
      <c r="R8" s="37">
        <f t="shared" si="15"/>
        <v>0</v>
      </c>
      <c r="S8" s="243">
        <f>'青岛 - 螺纹'!S8</f>
        <v>4238</v>
      </c>
      <c r="T8" s="38">
        <f t="shared" si="16"/>
        <v>4238</v>
      </c>
      <c r="U8" s="20">
        <f t="shared" si="3"/>
        <v>0</v>
      </c>
      <c r="V8" s="30"/>
      <c r="W8" s="30"/>
      <c r="X8" s="30"/>
      <c r="Y8" s="30"/>
      <c r="Z8" s="30"/>
      <c r="AA8" s="30"/>
      <c r="AB8" s="30"/>
      <c r="AC8" s="30"/>
      <c r="AD8" s="30"/>
      <c r="AE8" s="247"/>
      <c r="AF8" s="247"/>
      <c r="AG8" s="247"/>
      <c r="AH8" s="250"/>
    </row>
    <row r="9" spans="1:34">
      <c r="A9" s="16">
        <f t="shared" si="7"/>
        <v>44507</v>
      </c>
      <c r="B9" s="239">
        <v>5150</v>
      </c>
      <c r="C9" s="18">
        <f t="shared" si="0"/>
        <v>-1783.6</v>
      </c>
      <c r="D9" s="18">
        <f t="shared" si="8"/>
        <v>3346.4</v>
      </c>
      <c r="E9" s="18">
        <f t="shared" si="1"/>
        <v>3346.4</v>
      </c>
      <c r="F9" s="19">
        <v>1</v>
      </c>
      <c r="G9" s="14">
        <f t="shared" si="9"/>
        <v>-2548</v>
      </c>
      <c r="H9" s="20">
        <f t="shared" si="10"/>
        <v>0.7</v>
      </c>
      <c r="I9" s="20">
        <f t="shared" si="11"/>
        <v>0</v>
      </c>
      <c r="J9" s="28">
        <f t="shared" si="12"/>
        <v>0.3</v>
      </c>
      <c r="K9" s="28"/>
      <c r="L9" s="20">
        <f t="shared" si="13"/>
        <v>1</v>
      </c>
      <c r="M9" s="20">
        <f t="shared" si="13"/>
        <v>14</v>
      </c>
      <c r="N9" s="29"/>
      <c r="O9" s="17"/>
      <c r="P9" s="18">
        <f t="shared" si="14"/>
        <v>20</v>
      </c>
      <c r="Q9" s="14">
        <f t="shared" si="2"/>
        <v>5110</v>
      </c>
      <c r="R9" s="244">
        <f t="shared" si="15"/>
        <v>0</v>
      </c>
      <c r="S9" s="243">
        <f>'青岛 - 螺纹'!S9</f>
        <v>4238</v>
      </c>
      <c r="T9" s="38">
        <f t="shared" si="16"/>
        <v>4238</v>
      </c>
      <c r="U9" s="20">
        <f t="shared" si="3"/>
        <v>0</v>
      </c>
      <c r="V9" s="30"/>
      <c r="W9" s="30"/>
      <c r="X9" s="30"/>
      <c r="Y9" s="30"/>
      <c r="Z9" s="30"/>
      <c r="AA9" s="30"/>
      <c r="AB9" s="30"/>
      <c r="AC9" s="30"/>
      <c r="AD9" s="30"/>
      <c r="AE9" s="247"/>
      <c r="AF9" s="247"/>
      <c r="AG9" s="247"/>
      <c r="AH9" s="247"/>
    </row>
    <row r="10" spans="1:34">
      <c r="A10" s="16">
        <f t="shared" si="7"/>
        <v>44508</v>
      </c>
      <c r="B10" s="239">
        <v>5100</v>
      </c>
      <c r="C10" s="18">
        <f t="shared" si="0"/>
        <v>-1785.5</v>
      </c>
      <c r="D10" s="18">
        <f t="shared" si="8"/>
        <v>3364.5</v>
      </c>
      <c r="E10" s="18">
        <f t="shared" si="1"/>
        <v>3346.4</v>
      </c>
      <c r="F10" s="19" t="e">
        <f t="shared" ref="F10:F41" si="17">AH9/AF9</f>
        <v>#DIV/0!</v>
      </c>
      <c r="G10" s="14">
        <f t="shared" si="9"/>
        <v>-2558</v>
      </c>
      <c r="H10" s="20">
        <f t="shared" si="10"/>
        <v>0.7</v>
      </c>
      <c r="I10" s="20">
        <f t="shared" si="11"/>
        <v>17</v>
      </c>
      <c r="J10" s="28">
        <f t="shared" si="12"/>
        <v>0.3</v>
      </c>
      <c r="K10" s="28"/>
      <c r="L10" s="20">
        <f t="shared" si="13"/>
        <v>1</v>
      </c>
      <c r="M10" s="20">
        <f t="shared" si="13"/>
        <v>14</v>
      </c>
      <c r="N10" s="29"/>
      <c r="O10" s="17"/>
      <c r="P10" s="18">
        <f t="shared" si="14"/>
        <v>20</v>
      </c>
      <c r="Q10" s="14">
        <f t="shared" si="2"/>
        <v>5130</v>
      </c>
      <c r="R10" s="244">
        <f t="shared" si="15"/>
        <v>0</v>
      </c>
      <c r="S10" s="243">
        <f>'青岛 - 螺纹'!S10</f>
        <v>4255</v>
      </c>
      <c r="T10" s="38">
        <f t="shared" si="16"/>
        <v>4238</v>
      </c>
      <c r="U10" s="20">
        <f t="shared" si="3"/>
        <v>17</v>
      </c>
      <c r="V10" s="30"/>
      <c r="W10" s="30"/>
      <c r="X10" s="30"/>
      <c r="Y10" s="30"/>
      <c r="Z10" s="30"/>
      <c r="AA10" s="30"/>
      <c r="AB10" s="30"/>
      <c r="AC10" s="30"/>
      <c r="AD10" s="30"/>
      <c r="AE10" s="247"/>
      <c r="AF10" s="248"/>
      <c r="AG10" s="248"/>
      <c r="AH10" s="247"/>
    </row>
    <row r="11" spans="1:34">
      <c r="A11" s="16">
        <f t="shared" si="7"/>
        <v>44509</v>
      </c>
      <c r="B11" s="239"/>
      <c r="C11" s="18">
        <f t="shared" si="0"/>
        <v>-1773.1</v>
      </c>
      <c r="D11" s="18">
        <f t="shared" si="8"/>
        <v>3326.9</v>
      </c>
      <c r="E11" s="18">
        <f t="shared" si="1"/>
        <v>3364.5</v>
      </c>
      <c r="F11" s="19" t="e">
        <f t="shared" si="17"/>
        <v>#DIV/0!</v>
      </c>
      <c r="G11" s="14">
        <f t="shared" si="9"/>
        <v>-2533</v>
      </c>
      <c r="H11" s="20">
        <f t="shared" si="10"/>
        <v>0.7</v>
      </c>
      <c r="I11" s="20">
        <f t="shared" si="11"/>
        <v>0</v>
      </c>
      <c r="J11" s="28">
        <f t="shared" si="12"/>
        <v>0.3</v>
      </c>
      <c r="K11" s="28"/>
      <c r="L11" s="20">
        <f t="shared" si="13"/>
        <v>1</v>
      </c>
      <c r="M11" s="20">
        <f t="shared" si="13"/>
        <v>14</v>
      </c>
      <c r="N11" s="29"/>
      <c r="O11" s="17"/>
      <c r="P11" s="18">
        <f t="shared" si="14"/>
        <v>20</v>
      </c>
      <c r="Q11" s="14">
        <f t="shared" si="2"/>
        <v>5080</v>
      </c>
      <c r="R11" s="244">
        <f t="shared" si="15"/>
        <v>0</v>
      </c>
      <c r="S11" s="243">
        <f>'青岛 - 螺纹'!S11</f>
        <v>4255</v>
      </c>
      <c r="T11" s="38">
        <f t="shared" si="16"/>
        <v>4255</v>
      </c>
      <c r="U11" s="20">
        <f t="shared" si="3"/>
        <v>0</v>
      </c>
      <c r="V11" s="30"/>
      <c r="W11" s="30"/>
      <c r="X11" s="30"/>
      <c r="Y11" s="30"/>
      <c r="Z11" s="30"/>
      <c r="AA11" s="30"/>
      <c r="AB11" s="30"/>
      <c r="AC11" s="30"/>
      <c r="AD11" s="30"/>
      <c r="AE11" s="247"/>
      <c r="AF11" s="248"/>
      <c r="AG11" s="248"/>
      <c r="AH11" s="247"/>
    </row>
    <row r="12" spans="1:34">
      <c r="A12" s="16">
        <f t="shared" si="7"/>
        <v>44510</v>
      </c>
      <c r="B12" s="239"/>
      <c r="C12" s="18">
        <f t="shared" si="0"/>
        <v>17.850000000000001</v>
      </c>
      <c r="D12" s="18">
        <f t="shared" si="8"/>
        <v>17.850000000000001</v>
      </c>
      <c r="E12" s="18">
        <f t="shared" si="1"/>
        <v>3326.9</v>
      </c>
      <c r="F12" s="19" t="e">
        <f t="shared" si="17"/>
        <v>#DIV/0!</v>
      </c>
      <c r="G12" s="14">
        <f t="shared" si="9"/>
        <v>10.5</v>
      </c>
      <c r="H12" s="20">
        <f t="shared" si="10"/>
        <v>0.7</v>
      </c>
      <c r="I12" s="20">
        <f t="shared" si="11"/>
        <v>35</v>
      </c>
      <c r="J12" s="28">
        <f t="shared" si="12"/>
        <v>0.3</v>
      </c>
      <c r="K12" s="28"/>
      <c r="L12" s="20">
        <f t="shared" si="13"/>
        <v>1</v>
      </c>
      <c r="M12" s="20">
        <f t="shared" si="13"/>
        <v>14</v>
      </c>
      <c r="N12" s="29"/>
      <c r="O12" s="17"/>
      <c r="P12" s="18">
        <f t="shared" si="14"/>
        <v>20</v>
      </c>
      <c r="Q12" s="14">
        <f t="shared" si="2"/>
        <v>-20</v>
      </c>
      <c r="R12" s="244">
        <f t="shared" si="15"/>
        <v>0</v>
      </c>
      <c r="S12" s="243">
        <f>'青岛 - 螺纹'!S12</f>
        <v>4290</v>
      </c>
      <c r="T12" s="38">
        <f t="shared" si="16"/>
        <v>4255</v>
      </c>
      <c r="U12" s="20">
        <f t="shared" si="3"/>
        <v>35</v>
      </c>
      <c r="V12" s="30"/>
      <c r="W12" s="30"/>
      <c r="X12" s="30"/>
      <c r="Y12" s="30"/>
      <c r="Z12" s="30"/>
      <c r="AA12" s="30"/>
      <c r="AB12" s="30"/>
      <c r="AC12" s="30"/>
      <c r="AD12" s="30"/>
      <c r="AE12" s="247"/>
      <c r="AF12" s="248"/>
      <c r="AG12" s="248"/>
      <c r="AH12" s="247"/>
    </row>
    <row r="13" spans="1:34">
      <c r="A13" s="16">
        <f t="shared" si="7"/>
        <v>44511</v>
      </c>
      <c r="B13" s="239"/>
      <c r="C13" s="18">
        <f t="shared" si="0"/>
        <v>-13.950000000000001</v>
      </c>
      <c r="D13" s="18">
        <f t="shared" si="8"/>
        <v>-13.950000000000001</v>
      </c>
      <c r="E13" s="18">
        <f t="shared" si="1"/>
        <v>17.850000000000001</v>
      </c>
      <c r="F13" s="19" t="e">
        <f t="shared" si="17"/>
        <v>#DIV/0!</v>
      </c>
      <c r="G13" s="14">
        <f t="shared" si="9"/>
        <v>10.5</v>
      </c>
      <c r="H13" s="20">
        <f t="shared" si="10"/>
        <v>0.7</v>
      </c>
      <c r="I13" s="20">
        <f t="shared" si="11"/>
        <v>-71</v>
      </c>
      <c r="J13" s="28">
        <f t="shared" si="12"/>
        <v>0.3</v>
      </c>
      <c r="K13" s="28"/>
      <c r="L13" s="20">
        <f t="shared" si="13"/>
        <v>1</v>
      </c>
      <c r="M13" s="20">
        <f t="shared" si="13"/>
        <v>14</v>
      </c>
      <c r="N13" s="29"/>
      <c r="O13" s="17"/>
      <c r="P13" s="18">
        <f t="shared" si="14"/>
        <v>20</v>
      </c>
      <c r="Q13" s="14">
        <f t="shared" si="2"/>
        <v>-20</v>
      </c>
      <c r="R13" s="244">
        <f t="shared" si="15"/>
        <v>0</v>
      </c>
      <c r="S13" s="243">
        <f>'青岛 - 螺纹'!S13</f>
        <v>4219</v>
      </c>
      <c r="T13" s="38">
        <f t="shared" si="16"/>
        <v>4290</v>
      </c>
      <c r="U13" s="20">
        <f t="shared" si="3"/>
        <v>-71</v>
      </c>
      <c r="V13" s="30"/>
      <c r="W13" s="30"/>
      <c r="X13" s="30"/>
      <c r="Y13" s="30"/>
      <c r="Z13" s="30"/>
      <c r="AA13" s="30"/>
      <c r="AB13" s="30"/>
      <c r="AC13" s="30"/>
      <c r="AD13" s="30"/>
      <c r="AE13" s="247"/>
      <c r="AF13" s="248"/>
      <c r="AG13" s="248"/>
      <c r="AH13" s="248">
        <v>75</v>
      </c>
    </row>
    <row r="14" spans="1:34">
      <c r="A14" s="16">
        <f t="shared" si="7"/>
        <v>44512</v>
      </c>
      <c r="B14" s="239"/>
      <c r="C14" s="18">
        <f t="shared" si="0"/>
        <v>69.149999999999991</v>
      </c>
      <c r="D14" s="18">
        <f t="shared" si="8"/>
        <v>69.149999999999991</v>
      </c>
      <c r="E14" s="18">
        <f t="shared" si="1"/>
        <v>-13.950000000000001</v>
      </c>
      <c r="F14" s="19" t="e">
        <f t="shared" si="17"/>
        <v>#DIV/0!</v>
      </c>
      <c r="G14" s="14">
        <f t="shared" si="9"/>
        <v>10.5</v>
      </c>
      <c r="H14" s="20">
        <f t="shared" si="10"/>
        <v>0.7</v>
      </c>
      <c r="I14" s="20">
        <f t="shared" si="11"/>
        <v>206</v>
      </c>
      <c r="J14" s="28">
        <f t="shared" si="12"/>
        <v>0.3</v>
      </c>
      <c r="K14" s="241">
        <f t="shared" ref="K14:K16" si="18">MIN(-(AF14-AE13)/AH14,100)</f>
        <v>0</v>
      </c>
      <c r="L14" s="20">
        <f t="shared" si="13"/>
        <v>1</v>
      </c>
      <c r="M14" s="20">
        <f t="shared" si="13"/>
        <v>14</v>
      </c>
      <c r="N14" s="29"/>
      <c r="O14" s="17"/>
      <c r="P14" s="18">
        <f t="shared" si="14"/>
        <v>20</v>
      </c>
      <c r="Q14" s="14">
        <f t="shared" si="2"/>
        <v>-20</v>
      </c>
      <c r="R14" s="244">
        <f t="shared" si="15"/>
        <v>0</v>
      </c>
      <c r="S14" s="243">
        <f>'青岛 - 螺纹'!S14</f>
        <v>4425</v>
      </c>
      <c r="T14" s="38">
        <f t="shared" si="16"/>
        <v>4219</v>
      </c>
      <c r="U14" s="20">
        <f t="shared" si="3"/>
        <v>206</v>
      </c>
      <c r="V14" s="30"/>
      <c r="W14" s="30"/>
      <c r="X14" s="30"/>
      <c r="Y14" s="30"/>
      <c r="Z14" s="30"/>
      <c r="AA14" s="30"/>
      <c r="AB14" s="30"/>
      <c r="AC14" s="30"/>
      <c r="AD14" s="30"/>
      <c r="AE14" s="247"/>
      <c r="AF14" s="248"/>
      <c r="AG14" s="248"/>
      <c r="AH14" s="248">
        <v>75</v>
      </c>
    </row>
    <row r="15" spans="1:34">
      <c r="A15" s="16">
        <f t="shared" si="7"/>
        <v>44513</v>
      </c>
      <c r="B15" s="239"/>
      <c r="C15" s="18">
        <f t="shared" si="0"/>
        <v>-1320.15</v>
      </c>
      <c r="D15" s="18">
        <f t="shared" si="8"/>
        <v>-1320.15</v>
      </c>
      <c r="E15" s="18">
        <f t="shared" si="1"/>
        <v>69.149999999999991</v>
      </c>
      <c r="F15" s="19" t="e">
        <f t="shared" si="17"/>
        <v>#DIV/0!</v>
      </c>
      <c r="G15" s="14">
        <f t="shared" si="9"/>
        <v>10.5</v>
      </c>
      <c r="H15" s="20">
        <f t="shared" si="10"/>
        <v>0.7</v>
      </c>
      <c r="I15" s="20">
        <f t="shared" si="11"/>
        <v>-4425</v>
      </c>
      <c r="J15" s="28">
        <f t="shared" si="12"/>
        <v>0.3</v>
      </c>
      <c r="K15" s="241">
        <f t="shared" si="18"/>
        <v>0</v>
      </c>
      <c r="L15" s="20">
        <f t="shared" si="13"/>
        <v>1</v>
      </c>
      <c r="M15" s="20">
        <f t="shared" si="13"/>
        <v>14</v>
      </c>
      <c r="N15" s="29"/>
      <c r="O15" s="17"/>
      <c r="P15" s="18">
        <f t="shared" si="14"/>
        <v>20</v>
      </c>
      <c r="Q15" s="14">
        <f t="shared" si="2"/>
        <v>-20</v>
      </c>
      <c r="R15" s="244">
        <f t="shared" si="15"/>
        <v>0</v>
      </c>
      <c r="S15" s="243">
        <f>'青岛 - 螺纹'!S15</f>
        <v>0</v>
      </c>
      <c r="T15" s="38">
        <f t="shared" si="16"/>
        <v>4425</v>
      </c>
      <c r="U15" s="20">
        <f t="shared" si="3"/>
        <v>-4425</v>
      </c>
      <c r="V15" s="30"/>
      <c r="W15" s="30"/>
      <c r="X15" s="30"/>
      <c r="Y15" s="30"/>
      <c r="Z15" s="30"/>
      <c r="AA15" s="30"/>
      <c r="AB15" s="30"/>
      <c r="AC15" s="30"/>
      <c r="AD15" s="30"/>
      <c r="AE15" s="247"/>
      <c r="AF15" s="248"/>
      <c r="AG15" s="251"/>
      <c r="AH15" s="248">
        <v>75</v>
      </c>
    </row>
    <row r="16" spans="1:34">
      <c r="A16" s="16">
        <f t="shared" si="7"/>
        <v>44514</v>
      </c>
      <c r="B16" s="239">
        <v>4900</v>
      </c>
      <c r="C16" s="18">
        <f t="shared" si="0"/>
        <v>4701.8500000000004</v>
      </c>
      <c r="D16" s="18">
        <f t="shared" si="8"/>
        <v>4701.8500000000004</v>
      </c>
      <c r="E16" s="18">
        <f t="shared" si="1"/>
        <v>-1320.15</v>
      </c>
      <c r="F16" s="19" t="e">
        <f t="shared" si="17"/>
        <v>#DIV/0!</v>
      </c>
      <c r="G16" s="14">
        <f t="shared" si="9"/>
        <v>4820.5</v>
      </c>
      <c r="H16" s="20">
        <f t="shared" si="10"/>
        <v>0.7</v>
      </c>
      <c r="I16" s="20">
        <f t="shared" si="11"/>
        <v>4425</v>
      </c>
      <c r="J16" s="28">
        <f t="shared" si="12"/>
        <v>0.3</v>
      </c>
      <c r="K16" s="241">
        <f t="shared" si="18"/>
        <v>0</v>
      </c>
      <c r="L16" s="20">
        <f t="shared" si="13"/>
        <v>1</v>
      </c>
      <c r="M16" s="20">
        <f t="shared" si="13"/>
        <v>14</v>
      </c>
      <c r="N16" s="29"/>
      <c r="O16" s="239">
        <v>4810</v>
      </c>
      <c r="P16" s="18">
        <f t="shared" si="14"/>
        <v>20</v>
      </c>
      <c r="Q16" s="14">
        <f t="shared" si="2"/>
        <v>-20</v>
      </c>
      <c r="R16" s="244">
        <f t="shared" si="15"/>
        <v>4810</v>
      </c>
      <c r="S16" s="243">
        <f>'青岛 - 螺纹'!S16</f>
        <v>4425</v>
      </c>
      <c r="T16" s="38">
        <f t="shared" si="16"/>
        <v>0</v>
      </c>
      <c r="U16" s="20">
        <f t="shared" si="3"/>
        <v>4425</v>
      </c>
      <c r="V16" s="30"/>
      <c r="W16" s="30"/>
      <c r="X16" s="30"/>
      <c r="Y16" s="30"/>
      <c r="Z16" s="30"/>
      <c r="AA16" s="30"/>
      <c r="AB16" s="30"/>
      <c r="AC16" s="30"/>
      <c r="AD16" s="30"/>
      <c r="AE16" s="247"/>
      <c r="AF16" s="248"/>
      <c r="AG16" s="251"/>
      <c r="AH16" s="248">
        <v>75</v>
      </c>
    </row>
    <row r="17" spans="1:34">
      <c r="A17" s="16">
        <f t="shared" si="7"/>
        <v>44515</v>
      </c>
      <c r="B17" s="239">
        <v>4870</v>
      </c>
      <c r="C17" s="18">
        <f t="shared" si="0"/>
        <v>-138.6</v>
      </c>
      <c r="D17" s="18">
        <f t="shared" si="8"/>
        <v>4761.3999999999996</v>
      </c>
      <c r="E17" s="18">
        <f t="shared" si="1"/>
        <v>4701.8500000000004</v>
      </c>
      <c r="F17" s="19" t="e">
        <f t="shared" si="17"/>
        <v>#DIV/0!</v>
      </c>
      <c r="G17" s="14">
        <f t="shared" si="9"/>
        <v>-28</v>
      </c>
      <c r="H17" s="20">
        <f t="shared" si="10"/>
        <v>0.7</v>
      </c>
      <c r="I17" s="20">
        <f t="shared" si="11"/>
        <v>-230</v>
      </c>
      <c r="J17" s="28">
        <f t="shared" si="12"/>
        <v>0.3</v>
      </c>
      <c r="K17" s="241">
        <f>MIN(MAX((AG16-100%)*50,-50),50)</f>
        <v>-50</v>
      </c>
      <c r="L17" s="20">
        <f t="shared" si="13"/>
        <v>1</v>
      </c>
      <c r="M17" s="20">
        <f t="shared" si="13"/>
        <v>14</v>
      </c>
      <c r="N17" s="29"/>
      <c r="O17" s="239">
        <v>4810</v>
      </c>
      <c r="P17" s="18">
        <f t="shared" si="14"/>
        <v>20</v>
      </c>
      <c r="Q17" s="14">
        <f t="shared" si="2"/>
        <v>70</v>
      </c>
      <c r="R17" s="244">
        <f t="shared" si="15"/>
        <v>0</v>
      </c>
      <c r="S17" s="243">
        <f>'青岛 - 螺纹'!S17</f>
        <v>4195</v>
      </c>
      <c r="T17" s="38">
        <f t="shared" si="16"/>
        <v>4425</v>
      </c>
      <c r="U17" s="20">
        <f t="shared" si="3"/>
        <v>-230</v>
      </c>
      <c r="V17" s="30"/>
      <c r="W17" s="30"/>
      <c r="X17" s="30"/>
      <c r="Y17" s="30"/>
      <c r="Z17" s="30"/>
      <c r="AA17" s="30"/>
      <c r="AB17" s="30"/>
      <c r="AC17" s="30"/>
      <c r="AD17" s="30"/>
      <c r="AE17" s="248">
        <f>VLOOKUP($A17,每日销量追踪!$A$3:$CM$75,10,0)</f>
        <v>599.04</v>
      </c>
      <c r="AF17" s="248">
        <f>VLOOKUP($A17,每日销量追踪!$A$3:$CM$75,56,0)</f>
        <v>2511.6000000000049</v>
      </c>
      <c r="AG17" s="251">
        <f>VLOOKUP($A17,每日销量追踪!$A$3:$CM$75,68,0)</f>
        <v>0.23850931677018586</v>
      </c>
      <c r="AH17" s="248">
        <v>75</v>
      </c>
    </row>
    <row r="18" spans="1:34">
      <c r="A18" s="16">
        <f t="shared" si="7"/>
        <v>44516</v>
      </c>
      <c r="B18" s="239">
        <f>5050-180</f>
        <v>4870</v>
      </c>
      <c r="C18" s="18">
        <f t="shared" si="0"/>
        <v>-59.774534161490706</v>
      </c>
      <c r="D18" s="18">
        <f t="shared" si="8"/>
        <v>4810.2254658385091</v>
      </c>
      <c r="E18" s="18">
        <f t="shared" si="1"/>
        <v>4761.3999999999996</v>
      </c>
      <c r="F18" s="19">
        <f t="shared" si="17"/>
        <v>2.9861442904921109E-2</v>
      </c>
      <c r="G18" s="14">
        <f t="shared" si="9"/>
        <v>-13</v>
      </c>
      <c r="H18" s="20">
        <f t="shared" si="10"/>
        <v>0.7</v>
      </c>
      <c r="I18" s="20">
        <f t="shared" si="11"/>
        <v>-42</v>
      </c>
      <c r="J18" s="28">
        <f t="shared" si="12"/>
        <v>0.3</v>
      </c>
      <c r="K18" s="241">
        <f t="shared" ref="K18:K41" si="19">MIN(MAX((AG17-100%)*50,-50),50)</f>
        <v>-38.07453416149071</v>
      </c>
      <c r="L18" s="20">
        <f t="shared" si="13"/>
        <v>1</v>
      </c>
      <c r="M18" s="20">
        <f t="shared" si="13"/>
        <v>14</v>
      </c>
      <c r="N18" s="29"/>
      <c r="O18" s="239">
        <v>4810</v>
      </c>
      <c r="P18" s="18">
        <f t="shared" si="14"/>
        <v>20</v>
      </c>
      <c r="Q18" s="14">
        <f t="shared" si="2"/>
        <v>40</v>
      </c>
      <c r="R18" s="244">
        <f t="shared" si="15"/>
        <v>0</v>
      </c>
      <c r="S18" s="243">
        <f>'青岛 - 螺纹'!S18</f>
        <v>4153</v>
      </c>
      <c r="T18" s="38">
        <f t="shared" si="16"/>
        <v>4195</v>
      </c>
      <c r="U18" s="20">
        <f t="shared" si="3"/>
        <v>-42</v>
      </c>
      <c r="V18" s="30"/>
      <c r="W18" s="30"/>
      <c r="X18" s="30"/>
      <c r="Y18" s="30"/>
      <c r="Z18" s="30"/>
      <c r="AA18" s="30"/>
      <c r="AB18" s="30"/>
      <c r="AC18" s="30"/>
      <c r="AD18" s="30"/>
      <c r="AE18" s="248">
        <f>VLOOKUP($A18,每日销量追踪!$A$3:$CM$75,10,0)</f>
        <v>2962.84</v>
      </c>
      <c r="AF18" s="248">
        <f>VLOOKUP($A18,每日销量追踪!$A$3:$CM$75,56,0)</f>
        <v>2511.6000000000049</v>
      </c>
      <c r="AG18" s="251">
        <f>VLOOKUP($A18,每日销量追踪!$A$3:$CM$75,68,0)</f>
        <v>0.70908584169453603</v>
      </c>
      <c r="AH18" s="248">
        <v>75</v>
      </c>
    </row>
    <row r="19" spans="1:34">
      <c r="A19" s="16">
        <f t="shared" si="7"/>
        <v>44517</v>
      </c>
      <c r="B19" s="239">
        <v>4870</v>
      </c>
      <c r="C19" s="18">
        <f t="shared" si="0"/>
        <v>-25.145707915273199</v>
      </c>
      <c r="D19" s="18">
        <f t="shared" si="8"/>
        <v>4844.8542920847267</v>
      </c>
      <c r="E19" s="18">
        <f t="shared" si="1"/>
        <v>4810.2254658385091</v>
      </c>
      <c r="F19" s="19">
        <f t="shared" si="17"/>
        <v>2.9861442904921109E-2</v>
      </c>
      <c r="G19" s="14">
        <f t="shared" si="9"/>
        <v>-13</v>
      </c>
      <c r="H19" s="20">
        <f t="shared" si="10"/>
        <v>0.7</v>
      </c>
      <c r="I19" s="20">
        <f t="shared" si="11"/>
        <v>-5</v>
      </c>
      <c r="J19" s="28">
        <f t="shared" si="12"/>
        <v>0.3</v>
      </c>
      <c r="K19" s="241">
        <f t="shared" si="19"/>
        <v>-14.545707915273198</v>
      </c>
      <c r="L19" s="20">
        <f t="shared" si="13"/>
        <v>1</v>
      </c>
      <c r="M19" s="20">
        <f t="shared" si="13"/>
        <v>14</v>
      </c>
      <c r="N19" s="29"/>
      <c r="O19" s="239">
        <v>4810</v>
      </c>
      <c r="P19" s="18">
        <f t="shared" si="14"/>
        <v>20</v>
      </c>
      <c r="Q19" s="14">
        <f t="shared" si="2"/>
        <v>40</v>
      </c>
      <c r="R19" s="244">
        <f t="shared" si="15"/>
        <v>0</v>
      </c>
      <c r="S19" s="243">
        <f>'青岛 - 螺纹'!S19</f>
        <v>4148</v>
      </c>
      <c r="T19" s="38">
        <f t="shared" si="16"/>
        <v>4153</v>
      </c>
      <c r="U19" s="20">
        <f t="shared" si="3"/>
        <v>-5</v>
      </c>
      <c r="V19" s="30"/>
      <c r="W19" s="30"/>
      <c r="X19" s="30"/>
      <c r="Y19" s="30"/>
      <c r="Z19" s="30"/>
      <c r="AA19" s="30"/>
      <c r="AB19" s="30"/>
      <c r="AC19" s="30"/>
      <c r="AD19" s="30"/>
      <c r="AE19" s="248">
        <f>VLOOKUP($A19,每日销量追踪!$A$3:$CM$75,10,0)</f>
        <v>499.2</v>
      </c>
      <c r="AF19" s="248">
        <f>VLOOKUP($A19,每日销量追踪!$A$3:$CM$75,56,0)</f>
        <v>2511.6000000000049</v>
      </c>
      <c r="AG19" s="251">
        <f>VLOOKUP($A19,每日销量追踪!$A$3:$CM$75,68,0)</f>
        <v>0.53897648245474228</v>
      </c>
      <c r="AH19" s="248">
        <v>75</v>
      </c>
    </row>
    <row r="20" spans="1:34">
      <c r="A20" s="16">
        <f t="shared" si="7"/>
        <v>44518</v>
      </c>
      <c r="B20" s="239">
        <v>4840</v>
      </c>
      <c r="C20" s="18">
        <f t="shared" si="0"/>
        <v>-11.751175877262886</v>
      </c>
      <c r="D20" s="18">
        <f t="shared" si="8"/>
        <v>4858.2488241227375</v>
      </c>
      <c r="E20" s="18">
        <f t="shared" si="1"/>
        <v>4844.8542920847267</v>
      </c>
      <c r="F20" s="19">
        <f t="shared" si="17"/>
        <v>2.9861442904921109E-2</v>
      </c>
      <c r="G20" s="14">
        <f t="shared" si="9"/>
        <v>-13</v>
      </c>
      <c r="H20" s="20">
        <f t="shared" si="10"/>
        <v>0.7</v>
      </c>
      <c r="I20" s="20">
        <f t="shared" si="11"/>
        <v>68</v>
      </c>
      <c r="J20" s="28">
        <f t="shared" si="12"/>
        <v>0.3</v>
      </c>
      <c r="K20" s="241">
        <f t="shared" si="19"/>
        <v>-23.051175877262885</v>
      </c>
      <c r="L20" s="20">
        <f t="shared" si="13"/>
        <v>1</v>
      </c>
      <c r="M20" s="20">
        <f t="shared" si="13"/>
        <v>14</v>
      </c>
      <c r="N20" s="29"/>
      <c r="O20" s="239">
        <v>4810</v>
      </c>
      <c r="P20" s="18">
        <f t="shared" si="14"/>
        <v>20</v>
      </c>
      <c r="Q20" s="14">
        <f t="shared" si="2"/>
        <v>40</v>
      </c>
      <c r="R20" s="244">
        <f t="shared" si="15"/>
        <v>0</v>
      </c>
      <c r="S20" s="243">
        <f>'青岛 - 螺纹'!S20</f>
        <v>4216</v>
      </c>
      <c r="T20" s="38">
        <f t="shared" si="16"/>
        <v>4148</v>
      </c>
      <c r="U20" s="20">
        <f t="shared" si="3"/>
        <v>68</v>
      </c>
      <c r="V20" s="30"/>
      <c r="W20" s="30"/>
      <c r="X20" s="30"/>
      <c r="Y20" s="30"/>
      <c r="Z20" s="30"/>
      <c r="AA20" s="30"/>
      <c r="AB20" s="30"/>
      <c r="AC20" s="30"/>
      <c r="AD20" s="30"/>
      <c r="AE20" s="248">
        <f>VLOOKUP($A20,每日销量追踪!$A$3:$CM$75,10,0)</f>
        <v>1497.6</v>
      </c>
      <c r="AF20" s="248">
        <f>VLOOKUP($A20,每日销量追踪!$A$3:$CM$75,56,0)</f>
        <v>2511.6000000000049</v>
      </c>
      <c r="AG20" s="251">
        <f>VLOOKUP($A20,每日销量追踪!$A$3:$CM$75,68,0)</f>
        <v>0.55330068482242289</v>
      </c>
      <c r="AH20" s="248">
        <v>75</v>
      </c>
    </row>
    <row r="21" spans="1:34">
      <c r="A21" s="16">
        <f t="shared" si="7"/>
        <v>44519</v>
      </c>
      <c r="B21" s="17">
        <v>4820</v>
      </c>
      <c r="C21" s="18">
        <f t="shared" si="0"/>
        <v>-37.734965758878857</v>
      </c>
      <c r="D21" s="18">
        <f t="shared" si="8"/>
        <v>4802.2650342411207</v>
      </c>
      <c r="E21" s="18">
        <f t="shared" si="1"/>
        <v>4858.2488241227375</v>
      </c>
      <c r="F21" s="19">
        <f t="shared" si="17"/>
        <v>2.9861442904921109E-2</v>
      </c>
      <c r="G21" s="14">
        <f t="shared" si="9"/>
        <v>2</v>
      </c>
      <c r="H21" s="20">
        <f t="shared" si="10"/>
        <v>0.7</v>
      </c>
      <c r="I21" s="20">
        <f t="shared" si="11"/>
        <v>-56</v>
      </c>
      <c r="J21" s="28">
        <f t="shared" si="12"/>
        <v>0.3</v>
      </c>
      <c r="K21" s="241">
        <f t="shared" si="19"/>
        <v>-22.334965758878855</v>
      </c>
      <c r="L21" s="20">
        <f t="shared" ref="L21:M36" si="20">L20</f>
        <v>1</v>
      </c>
      <c r="M21" s="20">
        <f t="shared" si="20"/>
        <v>14</v>
      </c>
      <c r="N21" s="29"/>
      <c r="O21" s="239">
        <v>4810</v>
      </c>
      <c r="P21" s="18">
        <f t="shared" si="14"/>
        <v>20</v>
      </c>
      <c r="Q21" s="14">
        <f t="shared" si="2"/>
        <v>10</v>
      </c>
      <c r="R21" s="244">
        <f t="shared" si="15"/>
        <v>0</v>
      </c>
      <c r="S21" s="243">
        <f>'青岛 - 螺纹'!S21</f>
        <v>4160</v>
      </c>
      <c r="T21" s="38">
        <f t="shared" si="16"/>
        <v>4216</v>
      </c>
      <c r="U21" s="20">
        <f t="shared" si="3"/>
        <v>-56</v>
      </c>
      <c r="V21" s="30"/>
      <c r="W21" s="30"/>
      <c r="X21" s="30"/>
      <c r="Y21" s="30"/>
      <c r="Z21" s="30"/>
      <c r="AA21" s="30"/>
      <c r="AB21" s="30"/>
      <c r="AC21" s="30"/>
      <c r="AD21" s="30"/>
      <c r="AE21" s="248">
        <f>VLOOKUP($A21,每日销量追踪!$A$3:$CM$75,10,0)</f>
        <v>7131.16</v>
      </c>
      <c r="AF21" s="248">
        <f>VLOOKUP($A21,每日销量追踪!$A$3:$CM$75,56,0)</f>
        <v>2511.6000000000049</v>
      </c>
      <c r="AG21" s="251">
        <f>VLOOKUP($A21,每日销量追踪!$A$3:$CM$75,68,0)</f>
        <v>1.010498487020224</v>
      </c>
      <c r="AH21" s="248">
        <v>75</v>
      </c>
    </row>
    <row r="22" spans="1:34">
      <c r="A22" s="16">
        <f t="shared" si="7"/>
        <v>44520</v>
      </c>
      <c r="B22" s="17">
        <v>4850</v>
      </c>
      <c r="C22" s="18">
        <f t="shared" si="0"/>
        <v>4.3749243510112024</v>
      </c>
      <c r="D22" s="18">
        <f t="shared" si="8"/>
        <v>4824.374924351011</v>
      </c>
      <c r="E22" s="18">
        <f t="shared" si="1"/>
        <v>4802.2650342411207</v>
      </c>
      <c r="F22" s="19">
        <f t="shared" si="17"/>
        <v>2.9861442904921109E-2</v>
      </c>
      <c r="G22" s="14">
        <f t="shared" si="9"/>
        <v>5.5</v>
      </c>
      <c r="H22" s="20">
        <f t="shared" si="10"/>
        <v>0.7</v>
      </c>
      <c r="I22" s="20">
        <f t="shared" si="11"/>
        <v>0</v>
      </c>
      <c r="J22" s="28">
        <f t="shared" si="12"/>
        <v>0.3</v>
      </c>
      <c r="K22" s="241">
        <f t="shared" si="19"/>
        <v>0.52492435101120227</v>
      </c>
      <c r="L22" s="20">
        <f t="shared" si="20"/>
        <v>1</v>
      </c>
      <c r="M22" s="20">
        <f t="shared" si="20"/>
        <v>14</v>
      </c>
      <c r="N22" s="29"/>
      <c r="O22" s="239">
        <v>4810</v>
      </c>
      <c r="P22" s="18">
        <f t="shared" si="14"/>
        <v>20</v>
      </c>
      <c r="Q22" s="14">
        <f t="shared" si="2"/>
        <v>-10</v>
      </c>
      <c r="R22" s="244">
        <f t="shared" si="15"/>
        <v>0</v>
      </c>
      <c r="S22" s="243">
        <f>'青岛 - 螺纹'!S22</f>
        <v>4160</v>
      </c>
      <c r="T22" s="38">
        <f t="shared" si="16"/>
        <v>4160</v>
      </c>
      <c r="U22" s="20">
        <f t="shared" si="3"/>
        <v>0</v>
      </c>
      <c r="V22" s="30"/>
      <c r="W22" s="30"/>
      <c r="X22" s="30"/>
      <c r="Y22" s="30"/>
      <c r="Z22" s="30"/>
      <c r="AA22" s="30"/>
      <c r="AB22" s="30"/>
      <c r="AC22" s="30"/>
      <c r="AD22" s="30"/>
      <c r="AE22" s="248">
        <f>VLOOKUP($A22,每日销量追踪!$A$3:$CM$75,10,0)</f>
        <v>1486.04</v>
      </c>
      <c r="AF22" s="248">
        <f>VLOOKUP($A22,每日销量追踪!$A$3:$CM$75,56,0)</f>
        <v>1255.7999999999995</v>
      </c>
      <c r="AG22" s="251">
        <f>VLOOKUP($A22,每日销量追踪!$A$3:$CM$75,68,0)</f>
        <v>1.0262114696897289</v>
      </c>
      <c r="AH22" s="248">
        <v>75</v>
      </c>
    </row>
    <row r="23" spans="1:34">
      <c r="A23" s="16">
        <f t="shared" si="7"/>
        <v>44521</v>
      </c>
      <c r="B23" s="17">
        <v>4850</v>
      </c>
      <c r="C23" s="18">
        <f t="shared" si="0"/>
        <v>-0.78942651551355603</v>
      </c>
      <c r="D23" s="18">
        <f t="shared" si="8"/>
        <v>4849.2105734844863</v>
      </c>
      <c r="E23" s="18">
        <f t="shared" si="1"/>
        <v>4824.374924351011</v>
      </c>
      <c r="F23" s="19">
        <f t="shared" si="17"/>
        <v>5.9722885809842356E-2</v>
      </c>
      <c r="G23" s="14">
        <f t="shared" si="9"/>
        <v>-3</v>
      </c>
      <c r="H23" s="20">
        <f t="shared" si="10"/>
        <v>0.7</v>
      </c>
      <c r="I23" s="20">
        <f t="shared" si="11"/>
        <v>0</v>
      </c>
      <c r="J23" s="28">
        <f t="shared" si="12"/>
        <v>0.3</v>
      </c>
      <c r="K23" s="241">
        <f t="shared" si="19"/>
        <v>1.3105734844864436</v>
      </c>
      <c r="L23" s="20">
        <f t="shared" si="20"/>
        <v>1</v>
      </c>
      <c r="M23" s="20">
        <f t="shared" si="20"/>
        <v>14</v>
      </c>
      <c r="N23" s="29"/>
      <c r="O23" s="239">
        <v>4810</v>
      </c>
      <c r="P23" s="18">
        <f t="shared" si="14"/>
        <v>20</v>
      </c>
      <c r="Q23" s="14">
        <f t="shared" si="2"/>
        <v>20</v>
      </c>
      <c r="R23" s="244">
        <f t="shared" si="15"/>
        <v>0</v>
      </c>
      <c r="S23" s="243">
        <f>'青岛 - 螺纹'!S23</f>
        <v>4160</v>
      </c>
      <c r="T23" s="38">
        <f t="shared" si="16"/>
        <v>4160</v>
      </c>
      <c r="U23" s="20">
        <f t="shared" si="3"/>
        <v>0</v>
      </c>
      <c r="V23" s="30"/>
      <c r="W23" s="30"/>
      <c r="X23" s="30"/>
      <c r="Y23" s="30"/>
      <c r="Z23" s="30"/>
      <c r="AA23" s="30"/>
      <c r="AB23" s="30"/>
      <c r="AC23" s="30"/>
      <c r="AD23" s="30"/>
      <c r="AE23" s="248">
        <f>VLOOKUP($A23,每日销量追踪!$A$3:$CM$75,10,0)</f>
        <v>208</v>
      </c>
      <c r="AF23" s="248">
        <f>VLOOKUP($A23,每日销量追踪!$A$3:$CM$75,56,0)</f>
        <v>1255.7999999999995</v>
      </c>
      <c r="AG23" s="251">
        <f>VLOOKUP($A23,每日销量追踪!$A$3:$CM$75,68,0)</f>
        <v>0.9544964697138596</v>
      </c>
      <c r="AH23" s="248">
        <v>75</v>
      </c>
    </row>
    <row r="24" spans="1:34">
      <c r="A24" s="16">
        <f t="shared" si="7"/>
        <v>44522</v>
      </c>
      <c r="B24" s="239">
        <v>4850</v>
      </c>
      <c r="C24" s="18">
        <f t="shared" si="0"/>
        <v>22.624823485692978</v>
      </c>
      <c r="D24" s="18">
        <f t="shared" si="8"/>
        <v>4872.624823485693</v>
      </c>
      <c r="E24" s="18">
        <f t="shared" si="1"/>
        <v>4849.2105734844863</v>
      </c>
      <c r="F24" s="19">
        <f t="shared" si="17"/>
        <v>5.9722885809842356E-2</v>
      </c>
      <c r="G24" s="14">
        <f t="shared" si="9"/>
        <v>-3</v>
      </c>
      <c r="H24" s="20">
        <f t="shared" si="10"/>
        <v>0.7</v>
      </c>
      <c r="I24" s="20">
        <f t="shared" si="11"/>
        <v>90</v>
      </c>
      <c r="J24" s="28">
        <f t="shared" si="12"/>
        <v>0.3</v>
      </c>
      <c r="K24" s="241">
        <f t="shared" si="19"/>
        <v>-2.2751765143070202</v>
      </c>
      <c r="L24" s="20">
        <f t="shared" si="20"/>
        <v>1</v>
      </c>
      <c r="M24" s="20">
        <f t="shared" si="20"/>
        <v>14</v>
      </c>
      <c r="N24" s="29"/>
      <c r="O24" s="239">
        <v>4810</v>
      </c>
      <c r="P24" s="18">
        <f t="shared" si="14"/>
        <v>20</v>
      </c>
      <c r="Q24" s="14">
        <f t="shared" si="2"/>
        <v>20</v>
      </c>
      <c r="R24" s="244">
        <f t="shared" si="15"/>
        <v>0</v>
      </c>
      <c r="S24" s="243">
        <f>'青岛 - 螺纹'!S24</f>
        <v>4250</v>
      </c>
      <c r="T24" s="38">
        <f t="shared" si="16"/>
        <v>4160</v>
      </c>
      <c r="U24" s="20">
        <f t="shared" si="3"/>
        <v>90</v>
      </c>
      <c r="V24" s="30"/>
      <c r="W24" s="30"/>
      <c r="X24" s="30"/>
      <c r="Y24" s="30"/>
      <c r="Z24" s="30"/>
      <c r="AA24" s="30"/>
      <c r="AB24" s="30"/>
      <c r="AC24" s="30"/>
      <c r="AD24" s="30"/>
      <c r="AE24" s="248">
        <f>VLOOKUP($A24,每日销量追踪!$A$3:$CM$75,10,0)</f>
        <v>1083.68</v>
      </c>
      <c r="AF24" s="248">
        <f>VLOOKUP($A24,每日销量追踪!$A$3:$CM$75,56,0)</f>
        <v>3013.9200000000055</v>
      </c>
      <c r="AG24" s="251">
        <f>VLOOKUP($A24,每日销量追踪!$A$3:$CM$75,68,0)</f>
        <v>0.35955831608005456</v>
      </c>
      <c r="AH24" s="248">
        <v>75</v>
      </c>
    </row>
    <row r="25" spans="1:34">
      <c r="A25" s="16">
        <f t="shared" si="7"/>
        <v>44523</v>
      </c>
      <c r="B25" s="239">
        <v>4850</v>
      </c>
      <c r="C25" s="18">
        <f t="shared" si="0"/>
        <v>-19.122084195997267</v>
      </c>
      <c r="D25" s="18">
        <f t="shared" si="8"/>
        <v>4830.8779158040024</v>
      </c>
      <c r="E25" s="18">
        <f t="shared" si="1"/>
        <v>4872.624823485693</v>
      </c>
      <c r="F25" s="19">
        <f t="shared" si="17"/>
        <v>2.4884535754100927E-2</v>
      </c>
      <c r="G25" s="14">
        <f t="shared" si="9"/>
        <v>-3</v>
      </c>
      <c r="H25" s="20">
        <f t="shared" si="10"/>
        <v>0.7</v>
      </c>
      <c r="I25" s="20">
        <f t="shared" si="11"/>
        <v>50</v>
      </c>
      <c r="J25" s="28">
        <f t="shared" si="12"/>
        <v>0.3</v>
      </c>
      <c r="K25" s="241">
        <f t="shared" si="19"/>
        <v>-32.022084195997266</v>
      </c>
      <c r="L25" s="20">
        <f t="shared" si="20"/>
        <v>1</v>
      </c>
      <c r="M25" s="20">
        <f t="shared" si="20"/>
        <v>14</v>
      </c>
      <c r="N25" s="29"/>
      <c r="O25" s="239">
        <v>4810</v>
      </c>
      <c r="P25" s="18">
        <f t="shared" si="14"/>
        <v>20</v>
      </c>
      <c r="Q25" s="14">
        <f t="shared" si="2"/>
        <v>20</v>
      </c>
      <c r="R25" s="244">
        <f t="shared" si="15"/>
        <v>0</v>
      </c>
      <c r="S25" s="243">
        <f>'青岛 - 螺纹'!S25</f>
        <v>4300</v>
      </c>
      <c r="T25" s="38">
        <f t="shared" si="16"/>
        <v>4250</v>
      </c>
      <c r="U25" s="20">
        <f t="shared" si="3"/>
        <v>50</v>
      </c>
      <c r="V25" s="30"/>
      <c r="W25" s="30"/>
      <c r="X25" s="30"/>
      <c r="Y25" s="30"/>
      <c r="Z25" s="30"/>
      <c r="AA25" s="30"/>
      <c r="AB25" s="30"/>
      <c r="AC25" s="30"/>
      <c r="AD25" s="30"/>
      <c r="AE25" s="248">
        <f>VLOOKUP($A25,每日销量追踪!$A$3:$CM$75,10,0)</f>
        <v>5890.04</v>
      </c>
      <c r="AF25" s="248">
        <f>VLOOKUP($A25,每日销量追踪!$A$3:$CM$75,56,0)</f>
        <v>3013.9200000000055</v>
      </c>
      <c r="AG25" s="251">
        <f>VLOOKUP($A25,每日销量追踪!$A$3:$CM$75,68,0)</f>
        <v>1.1569185645272582</v>
      </c>
      <c r="AH25" s="248">
        <v>75</v>
      </c>
    </row>
    <row r="26" spans="1:34">
      <c r="A26" s="16">
        <f t="shared" si="7"/>
        <v>44524</v>
      </c>
      <c r="B26" s="239">
        <v>4850</v>
      </c>
      <c r="C26" s="18">
        <f t="shared" si="0"/>
        <v>24.245928226362906</v>
      </c>
      <c r="D26" s="18">
        <f t="shared" si="8"/>
        <v>4874.2459282263626</v>
      </c>
      <c r="E26" s="18">
        <f t="shared" si="1"/>
        <v>4830.8779158040024</v>
      </c>
      <c r="F26" s="19">
        <f t="shared" si="17"/>
        <v>2.4884535754100927E-2</v>
      </c>
      <c r="G26" s="14">
        <f t="shared" si="9"/>
        <v>17</v>
      </c>
      <c r="H26" s="20">
        <f t="shared" si="10"/>
        <v>0.7</v>
      </c>
      <c r="I26" s="20">
        <f t="shared" si="11"/>
        <v>15</v>
      </c>
      <c r="J26" s="28">
        <f t="shared" si="12"/>
        <v>0.3</v>
      </c>
      <c r="K26" s="241">
        <f t="shared" si="19"/>
        <v>7.8459282263629078</v>
      </c>
      <c r="L26" s="20">
        <f t="shared" si="20"/>
        <v>1</v>
      </c>
      <c r="M26" s="20">
        <f t="shared" si="20"/>
        <v>14</v>
      </c>
      <c r="N26" s="29"/>
      <c r="O26" s="239">
        <v>4830</v>
      </c>
      <c r="P26" s="18">
        <f t="shared" si="14"/>
        <v>20</v>
      </c>
      <c r="Q26" s="14">
        <f t="shared" si="2"/>
        <v>20</v>
      </c>
      <c r="R26" s="244">
        <f t="shared" si="15"/>
        <v>20</v>
      </c>
      <c r="S26" s="243">
        <f>'青岛 - 螺纹'!S26</f>
        <v>4315</v>
      </c>
      <c r="T26" s="38">
        <f t="shared" si="16"/>
        <v>4300</v>
      </c>
      <c r="U26" s="20">
        <f t="shared" si="3"/>
        <v>15</v>
      </c>
      <c r="V26" s="30"/>
      <c r="W26" s="30"/>
      <c r="X26" s="30"/>
      <c r="Y26" s="30"/>
      <c r="Z26" s="30"/>
      <c r="AA26" s="30"/>
      <c r="AB26" s="30"/>
      <c r="AC26" s="30"/>
      <c r="AD26" s="30"/>
      <c r="AE26" s="248">
        <f>VLOOKUP($A26,每日销量追踪!$A$3:$CM$75,10,0)</f>
        <v>6744.68</v>
      </c>
      <c r="AF26" s="248">
        <f>VLOOKUP($A26,每日销量追踪!$A$3:$CM$75,56,0)</f>
        <v>3013.9200000000055</v>
      </c>
      <c r="AG26" s="251">
        <f>VLOOKUP($A26,每日销量追踪!$A$3:$CM$75,68,0)</f>
        <v>1.5172267346180364</v>
      </c>
      <c r="AH26" s="248">
        <v>75</v>
      </c>
    </row>
    <row r="27" spans="1:34">
      <c r="A27" s="16">
        <f t="shared" si="7"/>
        <v>44525</v>
      </c>
      <c r="B27" s="17">
        <v>4850</v>
      </c>
      <c r="C27" s="18">
        <f t="shared" si="0"/>
        <v>74.21133673090182</v>
      </c>
      <c r="D27" s="18">
        <f t="shared" si="8"/>
        <v>4924.2113367309021</v>
      </c>
      <c r="E27" s="18">
        <f t="shared" si="1"/>
        <v>4874.2459282263626</v>
      </c>
      <c r="F27" s="19">
        <f t="shared" si="17"/>
        <v>2.4884535754100927E-2</v>
      </c>
      <c r="G27" s="14">
        <f t="shared" si="9"/>
        <v>0.5</v>
      </c>
      <c r="H27" s="20">
        <f t="shared" si="10"/>
        <v>0.7</v>
      </c>
      <c r="I27" s="20">
        <f t="shared" si="11"/>
        <v>160</v>
      </c>
      <c r="J27" s="28">
        <f t="shared" si="12"/>
        <v>0.3</v>
      </c>
      <c r="K27" s="241">
        <f t="shared" si="19"/>
        <v>25.861336730901819</v>
      </c>
      <c r="L27" s="20">
        <f t="shared" si="20"/>
        <v>1</v>
      </c>
      <c r="M27" s="20">
        <f t="shared" si="20"/>
        <v>14</v>
      </c>
      <c r="N27" s="29"/>
      <c r="O27" s="239">
        <v>4830</v>
      </c>
      <c r="P27" s="18">
        <f t="shared" si="14"/>
        <v>20</v>
      </c>
      <c r="Q27" s="14">
        <f t="shared" si="2"/>
        <v>0</v>
      </c>
      <c r="R27" s="244">
        <f t="shared" si="15"/>
        <v>0</v>
      </c>
      <c r="S27" s="243">
        <f>'青岛 - 螺纹'!S27</f>
        <v>4475</v>
      </c>
      <c r="T27" s="38">
        <f t="shared" si="16"/>
        <v>4315</v>
      </c>
      <c r="U27" s="20">
        <f t="shared" si="3"/>
        <v>160</v>
      </c>
      <c r="V27" s="30"/>
      <c r="W27" s="30"/>
      <c r="X27" s="30"/>
      <c r="Y27" s="30"/>
      <c r="Z27" s="30"/>
      <c r="AA27" s="30"/>
      <c r="AB27" s="30"/>
      <c r="AC27" s="30"/>
      <c r="AD27" s="30"/>
      <c r="AE27" s="248">
        <f>VLOOKUP($A27,每日销量追踪!$A$3:$CM$75,10,0)</f>
        <v>1335.76</v>
      </c>
      <c r="AF27" s="248">
        <f>VLOOKUP($A27,每日销量追踪!$A$3:$CM$75,56,0)</f>
        <v>3013.9200000000055</v>
      </c>
      <c r="AG27" s="251">
        <f>VLOOKUP($A27,每日销量追踪!$A$3:$CM$75,68,0)</f>
        <v>1.2487192758931869</v>
      </c>
      <c r="AH27" s="248">
        <v>75</v>
      </c>
    </row>
    <row r="28" spans="1:34">
      <c r="A28" s="16">
        <f t="shared" si="7"/>
        <v>44526</v>
      </c>
      <c r="B28" s="17">
        <v>4830</v>
      </c>
      <c r="C28" s="18">
        <f t="shared" si="0"/>
        <v>-55.314036205340656</v>
      </c>
      <c r="D28" s="18">
        <f t="shared" si="8"/>
        <v>4794.6859637946591</v>
      </c>
      <c r="E28" s="18">
        <f t="shared" si="1"/>
        <v>4924.2113367309021</v>
      </c>
      <c r="F28" s="19">
        <f t="shared" si="17"/>
        <v>2.4884535754100927E-2</v>
      </c>
      <c r="G28" s="14">
        <f t="shared" si="9"/>
        <v>0.5</v>
      </c>
      <c r="H28" s="20">
        <f t="shared" si="10"/>
        <v>0.7</v>
      </c>
      <c r="I28" s="20">
        <f t="shared" si="11"/>
        <v>-227</v>
      </c>
      <c r="J28" s="28">
        <f t="shared" si="12"/>
        <v>0.3</v>
      </c>
      <c r="K28" s="241">
        <f t="shared" si="19"/>
        <v>12.435963794659344</v>
      </c>
      <c r="L28" s="20">
        <f t="shared" si="20"/>
        <v>1</v>
      </c>
      <c r="M28" s="20">
        <f t="shared" si="20"/>
        <v>14</v>
      </c>
      <c r="N28" s="29"/>
      <c r="O28" s="17">
        <v>4830</v>
      </c>
      <c r="P28" s="18">
        <f t="shared" si="14"/>
        <v>20</v>
      </c>
      <c r="Q28" s="14">
        <f t="shared" si="2"/>
        <v>0</v>
      </c>
      <c r="R28" s="244">
        <f t="shared" si="15"/>
        <v>0</v>
      </c>
      <c r="S28" s="243">
        <f>'青岛 - 螺纹'!S28</f>
        <v>4248</v>
      </c>
      <c r="T28" s="38">
        <f t="shared" si="16"/>
        <v>4475</v>
      </c>
      <c r="U28" s="20">
        <f t="shared" si="3"/>
        <v>-227</v>
      </c>
      <c r="V28" s="30"/>
      <c r="W28" s="30"/>
      <c r="X28" s="30"/>
      <c r="Y28" s="30"/>
      <c r="Z28" s="30"/>
      <c r="AA28" s="30"/>
      <c r="AB28" s="30"/>
      <c r="AC28" s="30"/>
      <c r="AD28" s="30"/>
      <c r="AE28" s="248">
        <f>VLOOKUP($A28,每日销量追踪!$A$3:$CM$75,10,0)</f>
        <v>1293.76</v>
      </c>
      <c r="AF28" s="248">
        <f>VLOOKUP($A28,每日销量追踪!$A$3:$CM$75,56,0)</f>
        <v>3013.9200000000055</v>
      </c>
      <c r="AG28" s="251">
        <f>VLOOKUP($A28,每日销量追踪!$A$3:$CM$75,68,0)</f>
        <v>1.0848277326538178</v>
      </c>
      <c r="AH28" s="248">
        <v>75</v>
      </c>
    </row>
    <row r="29" spans="1:34">
      <c r="A29" s="16">
        <f t="shared" si="7"/>
        <v>44527</v>
      </c>
      <c r="B29" s="17">
        <v>4780</v>
      </c>
      <c r="C29" s="18">
        <f t="shared" si="0"/>
        <v>-32.808613367309107</v>
      </c>
      <c r="D29" s="18">
        <f t="shared" si="8"/>
        <v>4797.1913866326913</v>
      </c>
      <c r="E29" s="18">
        <f t="shared" si="1"/>
        <v>4794.6859637946591</v>
      </c>
      <c r="F29" s="19">
        <f t="shared" si="17"/>
        <v>2.4884535754100927E-2</v>
      </c>
      <c r="G29" s="14">
        <f t="shared" si="9"/>
        <v>10.5</v>
      </c>
      <c r="H29" s="20">
        <f t="shared" si="10"/>
        <v>0.7</v>
      </c>
      <c r="I29" s="20">
        <f t="shared" si="11"/>
        <v>-148</v>
      </c>
      <c r="J29" s="28">
        <f t="shared" si="12"/>
        <v>0.3</v>
      </c>
      <c r="K29" s="241">
        <f t="shared" si="19"/>
        <v>4.2413866326908911</v>
      </c>
      <c r="L29" s="20">
        <f t="shared" si="20"/>
        <v>1</v>
      </c>
      <c r="M29" s="20">
        <f t="shared" si="20"/>
        <v>14</v>
      </c>
      <c r="N29" s="29"/>
      <c r="O29" s="17">
        <v>4830</v>
      </c>
      <c r="P29" s="18">
        <f t="shared" si="14"/>
        <v>20</v>
      </c>
      <c r="Q29" s="14">
        <f t="shared" si="2"/>
        <v>-20</v>
      </c>
      <c r="R29" s="244">
        <f t="shared" si="15"/>
        <v>0</v>
      </c>
      <c r="S29" s="243">
        <f>'青岛 - 螺纹'!S29</f>
        <v>4100</v>
      </c>
      <c r="T29" s="38">
        <f t="shared" si="16"/>
        <v>4248</v>
      </c>
      <c r="U29" s="20">
        <f t="shared" si="3"/>
        <v>-148</v>
      </c>
      <c r="V29" s="30"/>
      <c r="W29" s="30"/>
      <c r="X29" s="30"/>
      <c r="Y29" s="30"/>
      <c r="Z29" s="30"/>
      <c r="AA29" s="30"/>
      <c r="AB29" s="30"/>
      <c r="AC29" s="30"/>
      <c r="AD29" s="30"/>
      <c r="AE29" s="248">
        <f>VLOOKUP($A29,每日销量追踪!$A$3:$CM$75,10,0)</f>
        <v>1098.24</v>
      </c>
      <c r="AF29" s="248">
        <f>VLOOKUP($A29,每日销量追踪!$A$3:$CM$75,56,0)</f>
        <v>1506.9599999999994</v>
      </c>
      <c r="AG29" s="251">
        <f>VLOOKUP($A29,每日销量追踪!$A$3:$CM$75,68,0)</f>
        <v>1.0524596176770076</v>
      </c>
      <c r="AH29" s="248">
        <v>75</v>
      </c>
    </row>
    <row r="30" spans="1:34">
      <c r="A30" s="16">
        <f t="shared" si="7"/>
        <v>44528</v>
      </c>
      <c r="B30" s="17">
        <v>4780</v>
      </c>
      <c r="C30" s="18">
        <f t="shared" si="0"/>
        <v>-7.5270191161496198</v>
      </c>
      <c r="D30" s="18">
        <f t="shared" si="8"/>
        <v>4772.4729808838501</v>
      </c>
      <c r="E30" s="18">
        <f t="shared" si="1"/>
        <v>4797.1913866326913</v>
      </c>
      <c r="F30" s="19">
        <f t="shared" si="17"/>
        <v>4.9769071508201965E-2</v>
      </c>
      <c r="G30" s="14">
        <f t="shared" si="9"/>
        <v>-14.5</v>
      </c>
      <c r="H30" s="20">
        <f t="shared" si="10"/>
        <v>0.7</v>
      </c>
      <c r="I30" s="20">
        <f t="shared" si="11"/>
        <v>0</v>
      </c>
      <c r="J30" s="28">
        <f t="shared" si="12"/>
        <v>0.3</v>
      </c>
      <c r="K30" s="241">
        <f t="shared" si="19"/>
        <v>2.6229808838503788</v>
      </c>
      <c r="L30" s="20">
        <f>L29</f>
        <v>1</v>
      </c>
      <c r="M30" s="20">
        <f>M29</f>
        <v>14</v>
      </c>
      <c r="N30" s="29"/>
      <c r="O30" s="17">
        <v>4780</v>
      </c>
      <c r="P30" s="18">
        <f t="shared" si="14"/>
        <v>20</v>
      </c>
      <c r="Q30" s="14">
        <f t="shared" si="2"/>
        <v>-70</v>
      </c>
      <c r="R30" s="244">
        <f t="shared" si="15"/>
        <v>-50</v>
      </c>
      <c r="S30" s="243">
        <f>'青岛 - 螺纹'!S30</f>
        <v>4100</v>
      </c>
      <c r="T30" s="38">
        <f t="shared" si="16"/>
        <v>4100</v>
      </c>
      <c r="U30" s="20">
        <f t="shared" si="3"/>
        <v>0</v>
      </c>
      <c r="V30" s="30"/>
      <c r="W30" s="30"/>
      <c r="X30" s="30"/>
      <c r="Y30" s="30"/>
      <c r="Z30" s="30"/>
      <c r="AA30" s="30"/>
      <c r="AB30" s="30"/>
      <c r="AC30" s="30"/>
      <c r="AD30" s="30"/>
      <c r="AE30" s="248">
        <f>VLOOKUP($A30,每日销量追踪!$A$3:$CM$75,10,0)</f>
        <v>798.72</v>
      </c>
      <c r="AF30" s="248">
        <f>VLOOKUP($A30,每日销量追踪!$A$3:$CM$75,56,0)</f>
        <v>1506.9599999999994</v>
      </c>
      <c r="AG30" s="251">
        <f>VLOOKUP($A30,每日销量追踪!$A$3:$CM$75,68,0)</f>
        <v>1.0089230415317361</v>
      </c>
      <c r="AH30" s="248">
        <v>75</v>
      </c>
    </row>
    <row r="31" spans="1:34">
      <c r="A31" s="16">
        <f t="shared" si="7"/>
        <v>44529</v>
      </c>
      <c r="B31" s="17">
        <v>4750</v>
      </c>
      <c r="C31" s="18">
        <f t="shared" si="0"/>
        <v>-5.7038479234131971</v>
      </c>
      <c r="D31" s="18">
        <f t="shared" si="8"/>
        <v>4774.2961520765866</v>
      </c>
      <c r="E31" s="18">
        <f t="shared" si="1"/>
        <v>4772.4729808838501</v>
      </c>
      <c r="F31" s="19">
        <f t="shared" si="17"/>
        <v>4.9769071508201965E-2</v>
      </c>
      <c r="G31" s="14">
        <f t="shared" si="9"/>
        <v>10.5</v>
      </c>
      <c r="H31" s="20">
        <f t="shared" si="10"/>
        <v>0.7</v>
      </c>
      <c r="I31" s="20">
        <f t="shared" si="11"/>
        <v>-45</v>
      </c>
      <c r="J31" s="28">
        <f t="shared" si="12"/>
        <v>0.3</v>
      </c>
      <c r="K31" s="241">
        <f t="shared" si="19"/>
        <v>0.44615207658680323</v>
      </c>
      <c r="L31" s="20">
        <f t="shared" si="20"/>
        <v>1</v>
      </c>
      <c r="M31" s="20">
        <f t="shared" si="20"/>
        <v>14</v>
      </c>
      <c r="N31" s="29"/>
      <c r="O31" s="17">
        <v>4780</v>
      </c>
      <c r="P31" s="18">
        <f t="shared" si="14"/>
        <v>20</v>
      </c>
      <c r="Q31" s="14">
        <f t="shared" si="2"/>
        <v>-20</v>
      </c>
      <c r="R31" s="244">
        <f t="shared" si="15"/>
        <v>0</v>
      </c>
      <c r="S31" s="243">
        <f>'青岛 - 螺纹'!S31</f>
        <v>4055</v>
      </c>
      <c r="T31" s="38">
        <f t="shared" si="16"/>
        <v>4100</v>
      </c>
      <c r="U31" s="20">
        <f t="shared" si="3"/>
        <v>-45</v>
      </c>
      <c r="V31" s="30"/>
      <c r="W31" s="30"/>
      <c r="X31" s="30"/>
      <c r="Y31" s="30"/>
      <c r="Z31" s="30"/>
      <c r="AA31" s="30"/>
      <c r="AB31" s="30"/>
      <c r="AC31" s="30"/>
      <c r="AD31" s="30"/>
      <c r="AE31" s="248">
        <f>VLOOKUP($A31,每日销量追踪!$A$3:$CM$75,10,0)</f>
        <v>5625.12</v>
      </c>
      <c r="AF31" s="248">
        <f>VLOOKUP($A31,每日销量追踪!$A$3:$CM$75,56,0)</f>
        <v>3616.7040000000002</v>
      </c>
      <c r="AG31" s="251">
        <f>VLOOKUP($A31,每日销量追踪!$A$3:$CM$75,68,0)</f>
        <v>1.5553166640123162</v>
      </c>
      <c r="AH31" s="248">
        <v>75</v>
      </c>
    </row>
    <row r="32" spans="1:34">
      <c r="A32" s="16">
        <f t="shared" si="7"/>
        <v>44530</v>
      </c>
      <c r="B32" s="17">
        <v>4750</v>
      </c>
      <c r="C32" s="18">
        <f t="shared" si="0"/>
        <v>42.11583320061581</v>
      </c>
      <c r="D32" s="18">
        <f t="shared" si="8"/>
        <v>4792.1158332006162</v>
      </c>
      <c r="E32" s="18">
        <f t="shared" si="1"/>
        <v>4774.2961520765866</v>
      </c>
      <c r="F32" s="19">
        <f t="shared" si="17"/>
        <v>2.0737113128417476E-2</v>
      </c>
      <c r="G32" s="14">
        <f t="shared" si="9"/>
        <v>-24.5</v>
      </c>
      <c r="H32" s="20">
        <f t="shared" si="10"/>
        <v>0.7</v>
      </c>
      <c r="I32" s="20">
        <f t="shared" si="11"/>
        <v>105</v>
      </c>
      <c r="J32" s="28">
        <f t="shared" si="12"/>
        <v>0.3</v>
      </c>
      <c r="K32" s="241">
        <f t="shared" si="19"/>
        <v>27.765833200615809</v>
      </c>
      <c r="L32" s="20">
        <f t="shared" si="20"/>
        <v>1</v>
      </c>
      <c r="M32" s="20">
        <f t="shared" si="20"/>
        <v>14</v>
      </c>
      <c r="N32" s="29"/>
      <c r="O32" s="17">
        <v>4730</v>
      </c>
      <c r="P32" s="18">
        <f t="shared" si="14"/>
        <v>20</v>
      </c>
      <c r="Q32" s="14">
        <f t="shared" si="2"/>
        <v>-50</v>
      </c>
      <c r="R32" s="244">
        <f t="shared" si="15"/>
        <v>-50</v>
      </c>
      <c r="S32" s="243">
        <f>'青岛 - 螺纹'!S32</f>
        <v>4160</v>
      </c>
      <c r="T32" s="38">
        <f t="shared" si="16"/>
        <v>4055</v>
      </c>
      <c r="U32" s="20">
        <f t="shared" si="3"/>
        <v>105</v>
      </c>
      <c r="V32" s="30"/>
      <c r="W32" s="30"/>
      <c r="X32" s="30"/>
      <c r="Y32" s="30"/>
      <c r="Z32" s="30"/>
      <c r="AA32" s="30"/>
      <c r="AB32" s="30"/>
      <c r="AC32" s="30"/>
      <c r="AD32" s="30"/>
      <c r="AE32" s="248">
        <f>VLOOKUP($A32,每日销量追踪!$A$3:$CM$75,10,0)</f>
        <v>2437.2800000000002</v>
      </c>
      <c r="AF32" s="248">
        <f>VLOOKUP($A32,每日销量追踪!$A$3:$CM$75,56,0)</f>
        <v>3616.7040000000002</v>
      </c>
      <c r="AG32" s="251">
        <f>VLOOKUP($A32,每日销量追踪!$A$3:$CM$75,68,0)</f>
        <v>1.1146060059103535</v>
      </c>
      <c r="AH32" s="248">
        <v>75</v>
      </c>
    </row>
    <row r="33" spans="1:34">
      <c r="A33" s="16">
        <f t="shared" si="7"/>
        <v>44531</v>
      </c>
      <c r="B33" s="17">
        <v>4770</v>
      </c>
      <c r="C33" s="18">
        <f t="shared" si="0"/>
        <v>17.480300295517676</v>
      </c>
      <c r="D33" s="18">
        <f t="shared" si="8"/>
        <v>4767.4803002955177</v>
      </c>
      <c r="E33" s="18">
        <f t="shared" si="1"/>
        <v>4792.1158332006162</v>
      </c>
      <c r="F33" s="19">
        <f t="shared" si="17"/>
        <v>2.0737113128417476E-2</v>
      </c>
      <c r="G33" s="14">
        <f t="shared" si="9"/>
        <v>0.5</v>
      </c>
      <c r="H33" s="20">
        <f t="shared" si="10"/>
        <v>0.7</v>
      </c>
      <c r="I33" s="20">
        <f t="shared" si="11"/>
        <v>38</v>
      </c>
      <c r="J33" s="28">
        <f t="shared" si="12"/>
        <v>0.3</v>
      </c>
      <c r="K33" s="241">
        <f t="shared" si="19"/>
        <v>5.7303002955176758</v>
      </c>
      <c r="L33" s="20">
        <f t="shared" si="20"/>
        <v>1</v>
      </c>
      <c r="M33" s="20">
        <f t="shared" si="20"/>
        <v>14</v>
      </c>
      <c r="N33" s="29"/>
      <c r="O33" s="17">
        <v>4730</v>
      </c>
      <c r="P33" s="18">
        <f t="shared" si="14"/>
        <v>20</v>
      </c>
      <c r="Q33" s="14">
        <f t="shared" si="2"/>
        <v>0</v>
      </c>
      <c r="R33" s="244">
        <f t="shared" si="15"/>
        <v>0</v>
      </c>
      <c r="S33" s="243">
        <f>'青岛 - 螺纹'!S33</f>
        <v>4198</v>
      </c>
      <c r="T33" s="38">
        <f t="shared" si="16"/>
        <v>4160</v>
      </c>
      <c r="U33" s="20">
        <f t="shared" si="3"/>
        <v>38</v>
      </c>
      <c r="V33" s="30"/>
      <c r="W33" s="30"/>
      <c r="X33" s="30"/>
      <c r="Y33" s="30"/>
      <c r="Z33" s="30"/>
      <c r="AA33" s="30"/>
      <c r="AB33" s="30"/>
      <c r="AC33" s="30"/>
      <c r="AD33" s="30"/>
      <c r="AE33" s="248">
        <f>VLOOKUP($A33,每日销量追踪!$A$3:$CM$75,10,0)</f>
        <v>13799.16</v>
      </c>
      <c r="AF33" s="248">
        <f>VLOOKUP($A33,每日销量追踪!$A$3:$CM$75,56,0)</f>
        <v>3616.7040000000002</v>
      </c>
      <c r="AG33" s="251">
        <f>VLOOKUP($A33,每日销量追踪!$A$3:$CM$75,68,0)</f>
        <v>2.0148695239274947</v>
      </c>
      <c r="AH33" s="248">
        <v>75</v>
      </c>
    </row>
    <row r="34" spans="1:34">
      <c r="A34" s="16">
        <f t="shared" si="7"/>
        <v>44532</v>
      </c>
      <c r="B34" s="17">
        <v>4770</v>
      </c>
      <c r="C34" s="18">
        <f t="shared" si="0"/>
        <v>97</v>
      </c>
      <c r="D34" s="18">
        <f t="shared" si="8"/>
        <v>4867</v>
      </c>
      <c r="E34" s="18">
        <f t="shared" si="1"/>
        <v>4767.4803002955177</v>
      </c>
      <c r="F34" s="19">
        <f t="shared" si="17"/>
        <v>2.0737113128417476E-2</v>
      </c>
      <c r="G34" s="14">
        <f t="shared" si="9"/>
        <v>17</v>
      </c>
      <c r="H34" s="20">
        <f t="shared" si="10"/>
        <v>0.7</v>
      </c>
      <c r="I34" s="20">
        <f t="shared" si="11"/>
        <v>117</v>
      </c>
      <c r="J34" s="28">
        <f t="shared" si="12"/>
        <v>0.3</v>
      </c>
      <c r="K34" s="241">
        <f t="shared" si="19"/>
        <v>50</v>
      </c>
      <c r="L34" s="20">
        <f t="shared" si="20"/>
        <v>1</v>
      </c>
      <c r="M34" s="20">
        <f t="shared" si="20"/>
        <v>14</v>
      </c>
      <c r="N34" s="29"/>
      <c r="O34" s="17">
        <v>4750</v>
      </c>
      <c r="P34" s="18">
        <f t="shared" si="14"/>
        <v>20</v>
      </c>
      <c r="Q34" s="14">
        <f t="shared" si="2"/>
        <v>20</v>
      </c>
      <c r="R34" s="244">
        <f t="shared" si="15"/>
        <v>20</v>
      </c>
      <c r="S34" s="243">
        <f>'青岛 - 螺纹'!S34</f>
        <v>4315</v>
      </c>
      <c r="T34" s="38">
        <f t="shared" si="16"/>
        <v>4198</v>
      </c>
      <c r="U34" s="20">
        <f t="shared" si="3"/>
        <v>117</v>
      </c>
      <c r="V34" s="30"/>
      <c r="W34" s="30"/>
      <c r="X34" s="30"/>
      <c r="Y34" s="30"/>
      <c r="Z34" s="30"/>
      <c r="AA34" s="30"/>
      <c r="AB34" s="30"/>
      <c r="AC34" s="30"/>
      <c r="AD34" s="30"/>
      <c r="AE34" s="248">
        <f>VLOOKUP($A34,每日销量追踪!$A$3:$CM$75,10,0)</f>
        <v>732.16</v>
      </c>
      <c r="AF34" s="248">
        <f>VLOOKUP($A34,每日销量追踪!$A$3:$CM$75,56,0)</f>
        <v>2411.1359999999936</v>
      </c>
      <c r="AG34" s="251">
        <f>VLOOKUP($A34,每日销量追踪!$A$3:$CM$75,68,0)</f>
        <v>1.7037401004792314</v>
      </c>
      <c r="AH34" s="248">
        <v>75</v>
      </c>
    </row>
    <row r="35" spans="1:34">
      <c r="A35" s="16">
        <f t="shared" si="7"/>
        <v>44533</v>
      </c>
      <c r="B35" s="17">
        <v>4800</v>
      </c>
      <c r="C35" s="18">
        <f t="shared" si="0"/>
        <v>42.037005023961569</v>
      </c>
      <c r="D35" s="18">
        <f t="shared" si="8"/>
        <v>4812.0370050239617</v>
      </c>
      <c r="E35" s="18">
        <f t="shared" si="1"/>
        <v>4867</v>
      </c>
      <c r="F35" s="19">
        <f t="shared" si="17"/>
        <v>3.1105669692626296E-2</v>
      </c>
      <c r="G35" s="14">
        <f t="shared" si="9"/>
        <v>20.5</v>
      </c>
      <c r="H35" s="20">
        <f t="shared" si="10"/>
        <v>0.7</v>
      </c>
      <c r="I35" s="20">
        <f t="shared" si="11"/>
        <v>-25</v>
      </c>
      <c r="J35" s="28">
        <f t="shared" si="12"/>
        <v>0.3</v>
      </c>
      <c r="K35" s="241">
        <f t="shared" si="19"/>
        <v>35.187005023961568</v>
      </c>
      <c r="L35" s="20">
        <f t="shared" si="20"/>
        <v>1</v>
      </c>
      <c r="M35" s="20">
        <f t="shared" si="20"/>
        <v>14</v>
      </c>
      <c r="N35" s="29"/>
      <c r="O35" s="17">
        <v>4770</v>
      </c>
      <c r="P35" s="18">
        <f t="shared" si="14"/>
        <v>20</v>
      </c>
      <c r="Q35" s="14">
        <f t="shared" si="2"/>
        <v>0</v>
      </c>
      <c r="R35" s="244">
        <f t="shared" si="15"/>
        <v>20</v>
      </c>
      <c r="S35" s="243">
        <f>'青岛 - 螺纹'!S35</f>
        <v>4290</v>
      </c>
      <c r="T35" s="38">
        <f t="shared" si="16"/>
        <v>4315</v>
      </c>
      <c r="U35" s="20">
        <f t="shared" si="3"/>
        <v>-25</v>
      </c>
      <c r="V35" s="30"/>
      <c r="W35" s="30"/>
      <c r="X35" s="30"/>
      <c r="Y35" s="30"/>
      <c r="Z35" s="30"/>
      <c r="AA35" s="30"/>
      <c r="AB35" s="30"/>
      <c r="AC35" s="30"/>
      <c r="AD35" s="30"/>
      <c r="AE35" s="248">
        <f>VLOOKUP($A35,每日销量追踪!$A$3:$CM$75,10,0)</f>
        <v>6011.48</v>
      </c>
      <c r="AF35" s="248">
        <f>VLOOKUP($A35,每日销量追踪!$A$3:$CM$75,56,0)</f>
        <v>2411.1359999999936</v>
      </c>
      <c r="AG35" s="251">
        <f>VLOOKUP($A35,每日销量追踪!$A$3:$CM$75,68,0)</f>
        <v>1.8251977491107938</v>
      </c>
      <c r="AH35" s="248">
        <v>75</v>
      </c>
    </row>
    <row r="36" spans="1:34">
      <c r="A36" s="16">
        <f t="shared" si="7"/>
        <v>44534</v>
      </c>
      <c r="B36" s="17">
        <v>4830</v>
      </c>
      <c r="C36" s="18">
        <f t="shared" si="0"/>
        <v>104.75988745553968</v>
      </c>
      <c r="D36" s="18">
        <f t="shared" si="8"/>
        <v>4904.7598874555397</v>
      </c>
      <c r="E36" s="18">
        <f t="shared" si="1"/>
        <v>4812.0370050239617</v>
      </c>
      <c r="F36" s="19">
        <f t="shared" si="17"/>
        <v>3.1105669692626296E-2</v>
      </c>
      <c r="G36" s="14">
        <f t="shared" si="9"/>
        <v>32</v>
      </c>
      <c r="H36" s="20">
        <f t="shared" si="10"/>
        <v>0.7</v>
      </c>
      <c r="I36" s="20">
        <f t="shared" si="11"/>
        <v>137</v>
      </c>
      <c r="J36" s="28">
        <f t="shared" si="12"/>
        <v>0.3</v>
      </c>
      <c r="K36" s="241">
        <f t="shared" si="19"/>
        <v>41.25988745553969</v>
      </c>
      <c r="L36" s="20">
        <f t="shared" si="20"/>
        <v>1</v>
      </c>
      <c r="M36" s="20">
        <f t="shared" si="20"/>
        <v>14</v>
      </c>
      <c r="N36" s="29"/>
      <c r="O36" s="17">
        <v>4800</v>
      </c>
      <c r="P36" s="18">
        <f t="shared" si="14"/>
        <v>20</v>
      </c>
      <c r="Q36" s="14">
        <f t="shared" si="2"/>
        <v>10</v>
      </c>
      <c r="R36" s="244">
        <f t="shared" si="15"/>
        <v>30</v>
      </c>
      <c r="S36" s="243">
        <f>'青岛 - 螺纹'!S36</f>
        <v>4427</v>
      </c>
      <c r="T36" s="38">
        <f t="shared" si="16"/>
        <v>4290</v>
      </c>
      <c r="U36" s="20">
        <f t="shared" si="3"/>
        <v>137</v>
      </c>
      <c r="V36" s="30"/>
      <c r="W36" s="30"/>
      <c r="X36" s="30"/>
      <c r="Y36" s="30"/>
      <c r="Z36" s="30"/>
      <c r="AA36" s="30"/>
      <c r="AB36" s="30"/>
      <c r="AC36" s="30"/>
      <c r="AD36" s="30"/>
      <c r="AE36" s="248">
        <f>VLOOKUP($A36,每日销量追踪!$A$3:$CM$75,10,0)</f>
        <v>1303</v>
      </c>
      <c r="AF36" s="248">
        <f>VLOOKUP($A36,每日销量追踪!$A$3:$CM$75,56,0)</f>
        <v>1205.5680000000004</v>
      </c>
      <c r="AG36" s="251">
        <f>VLOOKUP($A36,每日销量追踪!$A$3:$CM$75,68,0)</f>
        <v>1.7720277910495315</v>
      </c>
      <c r="AH36" s="248">
        <v>75</v>
      </c>
    </row>
    <row r="37" spans="1:34">
      <c r="A37" s="16">
        <f t="shared" si="7"/>
        <v>44535</v>
      </c>
      <c r="B37" s="17">
        <v>4840</v>
      </c>
      <c r="C37" s="18">
        <f t="shared" si="0"/>
        <v>34.301389552476579</v>
      </c>
      <c r="D37" s="18">
        <f t="shared" si="8"/>
        <v>4864.3013895524764</v>
      </c>
      <c r="E37" s="18">
        <f t="shared" si="1"/>
        <v>4904.7598874555397</v>
      </c>
      <c r="F37" s="19">
        <f t="shared" si="17"/>
        <v>6.2211339385252404E-2</v>
      </c>
      <c r="G37" s="14">
        <f t="shared" si="9"/>
        <v>2</v>
      </c>
      <c r="H37" s="20">
        <f t="shared" si="10"/>
        <v>0.7</v>
      </c>
      <c r="I37" s="20">
        <f t="shared" si="11"/>
        <v>-19</v>
      </c>
      <c r="J37" s="28">
        <f t="shared" si="12"/>
        <v>0.3</v>
      </c>
      <c r="K37" s="241">
        <f t="shared" si="19"/>
        <v>38.601389552476576</v>
      </c>
      <c r="L37" s="20">
        <f>L36</f>
        <v>1</v>
      </c>
      <c r="M37" s="20">
        <f>M36</f>
        <v>14</v>
      </c>
      <c r="N37" s="29"/>
      <c r="O37" s="17">
        <v>4800</v>
      </c>
      <c r="P37" s="18">
        <f t="shared" si="14"/>
        <v>20</v>
      </c>
      <c r="Q37" s="14">
        <f t="shared" si="2"/>
        <v>10</v>
      </c>
      <c r="R37" s="244">
        <f t="shared" si="15"/>
        <v>0</v>
      </c>
      <c r="S37" s="243">
        <f>'青岛 - 螺纹'!S37</f>
        <v>4408</v>
      </c>
      <c r="T37" s="38">
        <f t="shared" si="16"/>
        <v>4427</v>
      </c>
      <c r="U37" s="20">
        <f t="shared" si="3"/>
        <v>-19</v>
      </c>
      <c r="V37" s="30"/>
      <c r="W37" s="30"/>
      <c r="X37" s="30"/>
      <c r="Y37" s="30"/>
      <c r="Z37" s="30"/>
      <c r="AA37" s="30"/>
      <c r="AB37" s="30"/>
      <c r="AC37" s="30"/>
      <c r="AD37" s="30"/>
      <c r="AE37" s="248">
        <f>VLOOKUP($A37,每日销量追踪!$A$3:$CM$75,10,0)</f>
        <v>1398.56</v>
      </c>
      <c r="AF37" s="248">
        <f>VLOOKUP($A37,每日销量追踪!$A$3:$CM$75,56,0)</f>
        <v>1205.5680000000004</v>
      </c>
      <c r="AG37" s="251">
        <f>VLOOKUP($A37,每日销量追踪!$A$3:$CM$75,68,0)</f>
        <v>1.7312315301445749</v>
      </c>
      <c r="AH37" s="248">
        <v>75</v>
      </c>
    </row>
    <row r="38" spans="1:34">
      <c r="A38" s="16">
        <f t="shared" si="7"/>
        <v>44536</v>
      </c>
      <c r="B38" s="17">
        <v>4840</v>
      </c>
      <c r="C38" s="18">
        <f t="shared" si="0"/>
        <v>34.461576507228742</v>
      </c>
      <c r="D38" s="18">
        <f t="shared" si="8"/>
        <v>4874.4615765072285</v>
      </c>
      <c r="E38" s="18">
        <f t="shared" si="1"/>
        <v>4864.3013895524764</v>
      </c>
      <c r="F38" s="19">
        <f t="shared" si="17"/>
        <v>6.2211339385252404E-2</v>
      </c>
      <c r="G38" s="14">
        <f t="shared" si="9"/>
        <v>-3</v>
      </c>
      <c r="H38" s="20">
        <f t="shared" si="10"/>
        <v>0.7</v>
      </c>
      <c r="I38" s="20">
        <f t="shared" si="11"/>
        <v>0</v>
      </c>
      <c r="J38" s="28">
        <f t="shared" si="12"/>
        <v>0.3</v>
      </c>
      <c r="K38" s="241">
        <f t="shared" si="19"/>
        <v>36.561576507228743</v>
      </c>
      <c r="L38" s="20">
        <f>L37</f>
        <v>1</v>
      </c>
      <c r="M38" s="20">
        <f>M37</f>
        <v>14</v>
      </c>
      <c r="N38" s="29"/>
      <c r="O38" s="17">
        <v>4800</v>
      </c>
      <c r="P38" s="18">
        <f t="shared" si="14"/>
        <v>20</v>
      </c>
      <c r="Q38" s="14">
        <f t="shared" si="2"/>
        <v>20</v>
      </c>
      <c r="R38" s="244">
        <f t="shared" si="15"/>
        <v>0</v>
      </c>
      <c r="S38" s="243">
        <f>'青岛 - 螺纹'!S38</f>
        <v>4408</v>
      </c>
      <c r="T38" s="38">
        <f t="shared" si="16"/>
        <v>4408</v>
      </c>
      <c r="U38" s="20">
        <f t="shared" si="3"/>
        <v>0</v>
      </c>
      <c r="V38" s="30"/>
      <c r="W38" s="30"/>
      <c r="X38" s="30"/>
      <c r="Y38" s="30"/>
      <c r="Z38" s="30"/>
      <c r="AA38" s="30"/>
      <c r="AB38" s="30"/>
      <c r="AC38" s="30"/>
      <c r="AD38" s="30"/>
      <c r="AE38" s="248">
        <f>VLOOKUP($A38,每日销量追踪!$A$3:$CM$75,10,0)</f>
        <v>0</v>
      </c>
      <c r="AF38" s="248">
        <f>VLOOKUP($A38,每日销量追踪!$A$3:$CM$75,56,0)</f>
        <v>3616.7040000000002</v>
      </c>
      <c r="AG38" s="251">
        <f>VLOOKUP($A38,每日销量追踪!$A$3:$CM$75,68,0)</f>
        <v>0</v>
      </c>
      <c r="AH38" s="248">
        <v>75</v>
      </c>
    </row>
    <row r="39" spans="1:34">
      <c r="A39" s="16">
        <f t="shared" si="7"/>
        <v>44537</v>
      </c>
      <c r="B39" s="17"/>
      <c r="C39" s="18">
        <f t="shared" si="0"/>
        <v>-4734.5</v>
      </c>
      <c r="D39" s="18">
        <f t="shared" si="8"/>
        <v>105.5</v>
      </c>
      <c r="E39" s="18">
        <f t="shared" si="1"/>
        <v>4874.4615765072285</v>
      </c>
      <c r="F39" s="19">
        <f t="shared" si="17"/>
        <v>2.0737113128417476E-2</v>
      </c>
      <c r="G39" s="14">
        <f t="shared" si="9"/>
        <v>-4803</v>
      </c>
      <c r="H39" s="20">
        <f t="shared" si="10"/>
        <v>0.7</v>
      </c>
      <c r="I39" s="20">
        <f t="shared" si="11"/>
        <v>-4408</v>
      </c>
      <c r="J39" s="28">
        <f t="shared" si="12"/>
        <v>0.3</v>
      </c>
      <c r="K39" s="241">
        <f t="shared" si="19"/>
        <v>-50</v>
      </c>
      <c r="L39" s="20">
        <f t="shared" ref="L39:M41" si="21">L38</f>
        <v>1</v>
      </c>
      <c r="M39" s="20">
        <f t="shared" si="21"/>
        <v>14</v>
      </c>
      <c r="N39" s="29"/>
      <c r="O39" s="17"/>
      <c r="P39" s="18">
        <f t="shared" si="14"/>
        <v>20</v>
      </c>
      <c r="Q39" s="14">
        <f t="shared" si="2"/>
        <v>20</v>
      </c>
      <c r="R39" s="244">
        <f t="shared" si="15"/>
        <v>-4800</v>
      </c>
      <c r="S39" s="243">
        <f>'青岛 - 螺纹'!S39</f>
        <v>0</v>
      </c>
      <c r="T39" s="38">
        <f t="shared" si="16"/>
        <v>4408</v>
      </c>
      <c r="U39" s="20">
        <f t="shared" si="3"/>
        <v>-4408</v>
      </c>
      <c r="V39" s="30"/>
      <c r="W39" s="30"/>
      <c r="X39" s="30"/>
      <c r="Y39" s="30"/>
      <c r="Z39" s="30"/>
      <c r="AA39" s="30"/>
      <c r="AB39" s="30"/>
      <c r="AC39" s="30"/>
      <c r="AD39" s="30"/>
      <c r="AE39" s="248">
        <f>VLOOKUP($A39,每日销量追踪!$A$3:$CM$75,10,0)</f>
        <v>0</v>
      </c>
      <c r="AF39" s="248">
        <f>VLOOKUP($A39,每日销量追踪!$A$3:$CM$75,56,0)</f>
        <v>3616.7040000000002</v>
      </c>
      <c r="AG39" s="251">
        <f>VLOOKUP($A39,每日销量追踪!$A$3:$CM$75,68,0)</f>
        <v>0</v>
      </c>
      <c r="AH39" s="248">
        <v>75</v>
      </c>
    </row>
    <row r="40" spans="1:34">
      <c r="A40" s="16">
        <f t="shared" si="7"/>
        <v>44538</v>
      </c>
      <c r="B40" s="17"/>
      <c r="C40" s="18">
        <f t="shared" si="0"/>
        <v>-42.65</v>
      </c>
      <c r="D40" s="18">
        <f t="shared" si="8"/>
        <v>-42.65</v>
      </c>
      <c r="E40" s="18">
        <f t="shared" si="1"/>
        <v>105.5</v>
      </c>
      <c r="F40" s="19">
        <f t="shared" si="17"/>
        <v>2.0737113128417476E-2</v>
      </c>
      <c r="G40" s="14">
        <f t="shared" si="9"/>
        <v>10.5</v>
      </c>
      <c r="H40" s="20">
        <f t="shared" si="10"/>
        <v>0.7</v>
      </c>
      <c r="I40" s="20">
        <f t="shared" si="11"/>
        <v>0</v>
      </c>
      <c r="J40" s="28">
        <f t="shared" si="12"/>
        <v>0.3</v>
      </c>
      <c r="K40" s="241">
        <f t="shared" si="19"/>
        <v>-50</v>
      </c>
      <c r="L40" s="20">
        <f t="shared" si="21"/>
        <v>1</v>
      </c>
      <c r="M40" s="20">
        <f t="shared" si="21"/>
        <v>14</v>
      </c>
      <c r="N40" s="29"/>
      <c r="O40" s="17"/>
      <c r="P40" s="18">
        <f t="shared" si="14"/>
        <v>20</v>
      </c>
      <c r="Q40" s="14">
        <f t="shared" si="2"/>
        <v>-20</v>
      </c>
      <c r="R40" s="244">
        <f t="shared" si="15"/>
        <v>0</v>
      </c>
      <c r="S40" s="243">
        <f>'青岛 - 螺纹'!S40</f>
        <v>0</v>
      </c>
      <c r="T40" s="38">
        <f t="shared" si="16"/>
        <v>0</v>
      </c>
      <c r="U40" s="20">
        <f t="shared" si="3"/>
        <v>0</v>
      </c>
      <c r="V40" s="30"/>
      <c r="W40" s="30"/>
      <c r="X40" s="30"/>
      <c r="Y40" s="30"/>
      <c r="Z40" s="30"/>
      <c r="AA40" s="30"/>
      <c r="AB40" s="30"/>
      <c r="AC40" s="30"/>
      <c r="AD40" s="30"/>
      <c r="AE40" s="248">
        <f>VLOOKUP($A40,每日销量追踪!$A$3:$CM$75,10,0)</f>
        <v>0</v>
      </c>
      <c r="AF40" s="248">
        <f>VLOOKUP($A40,每日销量追踪!$A$3:$CM$75,56,0)</f>
        <v>3616.7040000000002</v>
      </c>
      <c r="AG40" s="251">
        <f>VLOOKUP($A40,每日销量追踪!$A$3:$CM$75,68,0)</f>
        <v>0</v>
      </c>
      <c r="AH40" s="248">
        <v>75</v>
      </c>
    </row>
    <row r="41" spans="1:34">
      <c r="A41" s="16">
        <f t="shared" si="7"/>
        <v>44539</v>
      </c>
      <c r="B41" s="17"/>
      <c r="C41" s="18">
        <f t="shared" si="0"/>
        <v>-42.65</v>
      </c>
      <c r="D41" s="18">
        <f t="shared" si="8"/>
        <v>-42.65</v>
      </c>
      <c r="E41" s="18">
        <f t="shared" si="1"/>
        <v>-42.65</v>
      </c>
      <c r="F41" s="19">
        <f t="shared" si="17"/>
        <v>2.0737113128417476E-2</v>
      </c>
      <c r="G41" s="14">
        <f t="shared" si="9"/>
        <v>10.5</v>
      </c>
      <c r="H41" s="20">
        <f t="shared" si="10"/>
        <v>0.7</v>
      </c>
      <c r="I41" s="20">
        <f t="shared" si="11"/>
        <v>0</v>
      </c>
      <c r="J41" s="28">
        <f t="shared" si="12"/>
        <v>0.3</v>
      </c>
      <c r="K41" s="241">
        <f t="shared" si="19"/>
        <v>-50</v>
      </c>
      <c r="L41" s="20">
        <f t="shared" si="21"/>
        <v>1</v>
      </c>
      <c r="M41" s="20">
        <f t="shared" si="21"/>
        <v>14</v>
      </c>
      <c r="N41" s="29"/>
      <c r="O41" s="17"/>
      <c r="P41" s="18">
        <f t="shared" si="14"/>
        <v>20</v>
      </c>
      <c r="Q41" s="14">
        <f t="shared" si="2"/>
        <v>-20</v>
      </c>
      <c r="R41" s="244">
        <f t="shared" si="15"/>
        <v>0</v>
      </c>
      <c r="S41" s="243">
        <f>'青岛 - 螺纹'!S41</f>
        <v>0</v>
      </c>
      <c r="T41" s="38">
        <f t="shared" si="16"/>
        <v>0</v>
      </c>
      <c r="U41" s="20">
        <f t="shared" si="3"/>
        <v>0</v>
      </c>
      <c r="V41" s="30"/>
      <c r="W41" s="30"/>
      <c r="X41" s="30"/>
      <c r="Y41" s="30"/>
      <c r="Z41" s="30"/>
      <c r="AA41" s="30"/>
      <c r="AB41" s="30"/>
      <c r="AC41" s="30"/>
      <c r="AD41" s="30"/>
      <c r="AE41" s="248">
        <f>VLOOKUP($A41,每日销量追踪!$A$3:$CM$75,10,0)</f>
        <v>0</v>
      </c>
      <c r="AF41" s="248">
        <f>VLOOKUP($A41,每日销量追踪!$A$3:$CM$75,56,0)</f>
        <v>2411.1359999999936</v>
      </c>
      <c r="AG41" s="251">
        <f>VLOOKUP($A41,每日销量追踪!$A$3:$CM$75,68,0)</f>
        <v>0</v>
      </c>
      <c r="AH41" s="248">
        <v>75</v>
      </c>
    </row>
  </sheetData>
  <phoneticPr fontId="16" type="noConversion"/>
  <conditionalFormatting sqref="A5:A900">
    <cfRule type="cellIs" dxfId="16" priority="1" operator="equal">
      <formula>$A$1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1</vt:i4>
      </vt:variant>
    </vt:vector>
  </HeadingPairs>
  <TitlesOfParts>
    <vt:vector size="18" baseType="lpstr">
      <vt:lpstr>当日报价单</vt:lpstr>
      <vt:lpstr>信息汇总</vt:lpstr>
      <vt:lpstr>螺纹 &gt;&gt;</vt:lpstr>
      <vt:lpstr>青岛 - 螺纹</vt:lpstr>
      <vt:lpstr>连云港 - 螺纹</vt:lpstr>
      <vt:lpstr>苏南 - 螺纹</vt:lpstr>
      <vt:lpstr>盘螺 &gt;&gt;</vt:lpstr>
      <vt:lpstr>青岛 - 盘螺</vt:lpstr>
      <vt:lpstr>连云港 - 盘螺</vt:lpstr>
      <vt:lpstr>苏南 - 盘螺</vt:lpstr>
      <vt:lpstr>每日销量追踪</vt:lpstr>
      <vt:lpstr>周复盘数据</vt:lpstr>
      <vt:lpstr>苏南 - 盘螺2</vt:lpstr>
      <vt:lpstr>连云港 - 盘螺2</vt:lpstr>
      <vt:lpstr>连云港 - 螺纹2</vt:lpstr>
      <vt:lpstr>苏南 - 螺纹2</vt:lpstr>
      <vt:lpstr>青岛 - 盘螺2</vt:lpstr>
      <vt:lpstr>周复盘数据!Print_Area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 Cui</dc:creator>
  <cp:lastModifiedBy>xtzj</cp:lastModifiedBy>
  <cp:lastPrinted>2021-11-29T09:02:00Z</cp:lastPrinted>
  <dcterms:created xsi:type="dcterms:W3CDTF">2021-11-08T05:04:00Z</dcterms:created>
  <dcterms:modified xsi:type="dcterms:W3CDTF">2021-12-06T07:37:12Z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D7950A88E6C5490482BB41D48A2D7175</vt:lpwstr>
  </property>
  <property fmtid="{D5CDD505-2E9C-101B-9397-08002B2CF9AE}" pid="3" name="KSOProductBuildVer">
    <vt:lpwstr>2052-11.1.0.11115</vt:lpwstr>
  </property>
</Properties>
</file>