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다른 컴퓨터\내 컴퓨터\LK Group 관련\7. 한국-중국 VIA 라오스 운송 관련\고객 견적 확인 요청건\"/>
    </mc:Choice>
  </mc:AlternateContent>
  <xr:revisionPtr revIDLastSave="0" documentId="13_ncr:1_{2E4DDA8C-483A-4F51-8B29-DD9E930F496A}" xr6:coauthVersionLast="47" xr6:coauthVersionMax="47" xr10:uidLastSave="{00000000-0000-0000-0000-000000000000}"/>
  <bookViews>
    <workbookView xWindow="-108" yWindow="-108" windowWidth="23256" windowHeight="12576" tabRatio="908" activeTab="2" xr2:uid="{00000000-000D-0000-FFFF-FFFF00000000}"/>
  </bookViews>
  <sheets>
    <sheet name="Row data" sheetId="3" r:id="rId1"/>
    <sheet name="수취인 불명 내역" sheetId="1592" state="hidden" r:id="rId2"/>
    <sheet name="이름(LCxx-xx)" sheetId="1534" r:id="rId3"/>
    <sheet name="Sheet1" sheetId="1593" r:id="rId4"/>
  </sheets>
  <definedNames>
    <definedName name="_xlnm._FilterDatabase" localSheetId="0" hidden="1">'Row data'!$U$25:$Y$25</definedName>
    <definedName name="_xlnm.Print_Area" localSheetId="2">'이름(LCxx-xx)'!$A$1:$N$28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534" l="1"/>
  <c r="M6" i="1534"/>
  <c r="L6" i="1534"/>
  <c r="C6" i="1534"/>
  <c r="F45" i="1593"/>
  <c r="E46" i="1593"/>
  <c r="E45" i="1593"/>
  <c r="P5" i="1593"/>
  <c r="Q5" i="1593" s="1"/>
  <c r="R5" i="1593" s="1"/>
  <c r="D10" i="3" s="1"/>
  <c r="P6" i="1593"/>
  <c r="Q6" i="1593" s="1"/>
  <c r="R6" i="1593" s="1"/>
  <c r="T6" i="1593" s="1"/>
  <c r="P7" i="1593"/>
  <c r="Q7" i="1593" s="1"/>
  <c r="R7" i="1593" s="1"/>
  <c r="T7" i="1593" s="1"/>
  <c r="P8" i="1593"/>
  <c r="Q8" i="1593" s="1"/>
  <c r="R8" i="1593" s="1"/>
  <c r="D11" i="3" s="1"/>
  <c r="P9" i="1593"/>
  <c r="Q9" i="1593" s="1"/>
  <c r="R9" i="1593" s="1"/>
  <c r="T9" i="1593" s="1"/>
  <c r="P10" i="1593"/>
  <c r="Q10" i="1593" s="1"/>
  <c r="R10" i="1593" s="1"/>
  <c r="T10" i="1593" s="1"/>
  <c r="P11" i="1593"/>
  <c r="Q11" i="1593" s="1"/>
  <c r="R11" i="1593" s="1"/>
  <c r="T11" i="1593" s="1"/>
  <c r="P12" i="1593"/>
  <c r="Q12" i="1593" s="1"/>
  <c r="R12" i="1593" s="1"/>
  <c r="D12" i="3" s="1"/>
  <c r="P13" i="1593"/>
  <c r="Q13" i="1593" s="1"/>
  <c r="R13" i="1593" s="1"/>
  <c r="T13" i="1593" s="1"/>
  <c r="P14" i="1593"/>
  <c r="Q14" i="1593" s="1"/>
  <c r="R14" i="1593" s="1"/>
  <c r="T14" i="1593" s="1"/>
  <c r="P15" i="1593"/>
  <c r="Q15" i="1593" s="1"/>
  <c r="R15" i="1593" s="1"/>
  <c r="T15" i="1593" s="1"/>
  <c r="P16" i="1593"/>
  <c r="Q16" i="1593" s="1"/>
  <c r="R16" i="1593" s="1"/>
  <c r="D13" i="3" s="1"/>
  <c r="P17" i="1593"/>
  <c r="Q17" i="1593" s="1"/>
  <c r="R17" i="1593" s="1"/>
  <c r="T17" i="1593" s="1"/>
  <c r="P18" i="1593"/>
  <c r="Q18" i="1593" s="1"/>
  <c r="R18" i="1593" s="1"/>
  <c r="T18" i="1593" s="1"/>
  <c r="P19" i="1593"/>
  <c r="Q19" i="1593" s="1"/>
  <c r="R19" i="1593" s="1"/>
  <c r="T19" i="1593" s="1"/>
  <c r="P20" i="1593"/>
  <c r="Q20" i="1593" s="1"/>
  <c r="R20" i="1593" s="1"/>
  <c r="D14" i="3" s="1"/>
  <c r="P21" i="1593"/>
  <c r="Q21" i="1593" s="1"/>
  <c r="R21" i="1593" s="1"/>
  <c r="T21" i="1593" s="1"/>
  <c r="P22" i="1593"/>
  <c r="Q22" i="1593" s="1"/>
  <c r="R22" i="1593" s="1"/>
  <c r="T22" i="1593" s="1"/>
  <c r="P23" i="1593"/>
  <c r="Q23" i="1593" s="1"/>
  <c r="R23" i="1593" s="1"/>
  <c r="D15" i="3" s="1"/>
  <c r="P4" i="1593"/>
  <c r="Q4" i="1593" s="1"/>
  <c r="R4" i="1593" s="1"/>
  <c r="D9" i="3" s="1"/>
  <c r="L45" i="1593"/>
  <c r="L46" i="1593"/>
  <c r="L47" i="1593"/>
  <c r="L48" i="1593"/>
  <c r="L49" i="1593"/>
  <c r="L44" i="1593"/>
  <c r="L5" i="1593"/>
  <c r="L6" i="1593"/>
  <c r="L7" i="1593"/>
  <c r="L8" i="1593"/>
  <c r="L9" i="1593"/>
  <c r="L10" i="1593"/>
  <c r="L11" i="1593"/>
  <c r="L12" i="1593"/>
  <c r="L13" i="1593"/>
  <c r="L14" i="1593"/>
  <c r="L15" i="1593"/>
  <c r="L16" i="1593"/>
  <c r="L17" i="1593"/>
  <c r="L18" i="1593"/>
  <c r="L19" i="1593"/>
  <c r="L20" i="1593"/>
  <c r="L21" i="1593"/>
  <c r="L22" i="1593"/>
  <c r="L23" i="1593"/>
  <c r="L24" i="1593"/>
  <c r="L25" i="1593"/>
  <c r="L26" i="1593"/>
  <c r="L27" i="1593"/>
  <c r="L28" i="1593"/>
  <c r="L29" i="1593"/>
  <c r="L30" i="1593"/>
  <c r="L31" i="1593"/>
  <c r="L32" i="1593"/>
  <c r="L33" i="1593"/>
  <c r="L34" i="1593"/>
  <c r="L35" i="1593"/>
  <c r="L36" i="1593"/>
  <c r="L37" i="1593"/>
  <c r="L38" i="1593"/>
  <c r="L39" i="1593"/>
  <c r="L40" i="1593"/>
  <c r="L41" i="1593"/>
  <c r="L42" i="1593"/>
  <c r="L4" i="1593"/>
  <c r="J48" i="1593"/>
  <c r="K48" i="1593" s="1"/>
  <c r="J49" i="1593"/>
  <c r="K49" i="1593" s="1"/>
  <c r="J45" i="1593"/>
  <c r="K45" i="1593" s="1"/>
  <c r="J46" i="1593"/>
  <c r="K46" i="1593" s="1"/>
  <c r="J47" i="1593"/>
  <c r="K47" i="1593" s="1"/>
  <c r="K44" i="1593"/>
  <c r="J44" i="1593"/>
  <c r="J5" i="1593"/>
  <c r="K5" i="1593" s="1"/>
  <c r="J6" i="1593"/>
  <c r="K6" i="1593"/>
  <c r="J7" i="1593"/>
  <c r="K7" i="1593" s="1"/>
  <c r="J8" i="1593"/>
  <c r="K8" i="1593" s="1"/>
  <c r="J9" i="1593"/>
  <c r="K9" i="1593" s="1"/>
  <c r="J10" i="1593"/>
  <c r="K10" i="1593"/>
  <c r="J11" i="1593"/>
  <c r="K11" i="1593" s="1"/>
  <c r="J12" i="1593"/>
  <c r="K12" i="1593"/>
  <c r="J13" i="1593"/>
  <c r="K13" i="1593" s="1"/>
  <c r="J14" i="1593"/>
  <c r="K14" i="1593" s="1"/>
  <c r="J15" i="1593"/>
  <c r="K15" i="1593" s="1"/>
  <c r="J16" i="1593"/>
  <c r="K16" i="1593"/>
  <c r="J17" i="1593"/>
  <c r="K17" i="1593" s="1"/>
  <c r="J18" i="1593"/>
  <c r="K18" i="1593" s="1"/>
  <c r="J19" i="1593"/>
  <c r="K19" i="1593" s="1"/>
  <c r="J20" i="1593"/>
  <c r="K20" i="1593" s="1"/>
  <c r="J21" i="1593"/>
  <c r="K21" i="1593" s="1"/>
  <c r="J22" i="1593"/>
  <c r="K22" i="1593"/>
  <c r="J23" i="1593"/>
  <c r="K23" i="1593" s="1"/>
  <c r="J24" i="1593"/>
  <c r="K24" i="1593"/>
  <c r="J25" i="1593"/>
  <c r="K25" i="1593" s="1"/>
  <c r="J26" i="1593"/>
  <c r="K26" i="1593" s="1"/>
  <c r="J27" i="1593"/>
  <c r="K27" i="1593" s="1"/>
  <c r="J28" i="1593"/>
  <c r="K28" i="1593"/>
  <c r="J29" i="1593"/>
  <c r="K29" i="1593" s="1"/>
  <c r="J30" i="1593"/>
  <c r="K30" i="1593"/>
  <c r="J31" i="1593"/>
  <c r="K31" i="1593" s="1"/>
  <c r="J32" i="1593"/>
  <c r="K32" i="1593" s="1"/>
  <c r="J33" i="1593"/>
  <c r="K33" i="1593" s="1"/>
  <c r="J34" i="1593"/>
  <c r="K34" i="1593"/>
  <c r="J35" i="1593"/>
  <c r="K35" i="1593" s="1"/>
  <c r="J36" i="1593"/>
  <c r="K36" i="1593"/>
  <c r="J37" i="1593"/>
  <c r="K37" i="1593" s="1"/>
  <c r="J38" i="1593"/>
  <c r="K38" i="1593" s="1"/>
  <c r="J39" i="1593"/>
  <c r="K39" i="1593" s="1"/>
  <c r="J40" i="1593"/>
  <c r="K40" i="1593"/>
  <c r="J41" i="1593"/>
  <c r="K41" i="1593" s="1"/>
  <c r="J42" i="1593"/>
  <c r="K42" i="1593"/>
  <c r="K4" i="1593"/>
  <c r="J4" i="1593"/>
  <c r="C42" i="1593"/>
  <c r="D42" i="1593" s="1"/>
  <c r="E42" i="1593" s="1"/>
  <c r="C41" i="1593"/>
  <c r="D41" i="1593" s="1"/>
  <c r="E41" i="1593" s="1"/>
  <c r="C35" i="1593"/>
  <c r="D35" i="1593" s="1"/>
  <c r="E35" i="1593" s="1"/>
  <c r="C34" i="1593"/>
  <c r="D34" i="1593" s="1"/>
  <c r="E34" i="1593" s="1"/>
  <c r="T4" i="1593" l="1"/>
  <c r="T23" i="1593"/>
  <c r="T20" i="1593"/>
  <c r="T16" i="1593"/>
  <c r="T12" i="1593"/>
  <c r="T8" i="1593"/>
  <c r="T5" i="1593"/>
  <c r="C6" i="1593"/>
  <c r="D6" i="1593" s="1"/>
  <c r="E6" i="1593" s="1"/>
  <c r="C7" i="1593"/>
  <c r="D7" i="1593" s="1"/>
  <c r="E7" i="1593" s="1"/>
  <c r="C8" i="1593"/>
  <c r="D8" i="1593" s="1"/>
  <c r="E8" i="1593" s="1"/>
  <c r="C9" i="1593"/>
  <c r="D9" i="1593" s="1"/>
  <c r="E9" i="1593" s="1"/>
  <c r="C10" i="1593"/>
  <c r="D10" i="1593"/>
  <c r="E10" i="1593" s="1"/>
  <c r="C11" i="1593"/>
  <c r="D11" i="1593" s="1"/>
  <c r="E11" i="1593" s="1"/>
  <c r="C12" i="1593"/>
  <c r="D12" i="1593" s="1"/>
  <c r="E12" i="1593" s="1"/>
  <c r="C13" i="1593"/>
  <c r="D13" i="1593" s="1"/>
  <c r="E13" i="1593" s="1"/>
  <c r="C14" i="1593"/>
  <c r="D14" i="1593" s="1"/>
  <c r="E14" i="1593" s="1"/>
  <c r="C15" i="1593"/>
  <c r="D15" i="1593" s="1"/>
  <c r="E15" i="1593" s="1"/>
  <c r="C16" i="1593"/>
  <c r="D16" i="1593" s="1"/>
  <c r="E16" i="1593" s="1"/>
  <c r="C17" i="1593"/>
  <c r="D17" i="1593" s="1"/>
  <c r="E17" i="1593" s="1"/>
  <c r="C18" i="1593"/>
  <c r="D18" i="1593" s="1"/>
  <c r="E18" i="1593" s="1"/>
  <c r="C19" i="1593"/>
  <c r="D19" i="1593" s="1"/>
  <c r="E19" i="1593" s="1"/>
  <c r="C20" i="1593"/>
  <c r="D20" i="1593" s="1"/>
  <c r="E20" i="1593" s="1"/>
  <c r="C21" i="1593"/>
  <c r="D21" i="1593" s="1"/>
  <c r="E21" i="1593" s="1"/>
  <c r="C22" i="1593"/>
  <c r="D22" i="1593" s="1"/>
  <c r="E22" i="1593" s="1"/>
  <c r="C23" i="1593"/>
  <c r="D23" i="1593" s="1"/>
  <c r="E23" i="1593" s="1"/>
  <c r="C24" i="1593"/>
  <c r="D24" i="1593" s="1"/>
  <c r="E24" i="1593" s="1"/>
  <c r="C25" i="1593"/>
  <c r="D25" i="1593" s="1"/>
  <c r="E25" i="1593" s="1"/>
  <c r="C26" i="1593"/>
  <c r="D26" i="1593" s="1"/>
  <c r="E26" i="1593" s="1"/>
  <c r="C27" i="1593"/>
  <c r="D27" i="1593" s="1"/>
  <c r="E27" i="1593" s="1"/>
  <c r="C28" i="1593"/>
  <c r="D28" i="1593" s="1"/>
  <c r="E28" i="1593" s="1"/>
  <c r="C5" i="1593"/>
  <c r="D5" i="1593" s="1"/>
  <c r="E5" i="1593" s="1"/>
  <c r="F5" i="1593" s="1"/>
  <c r="C4" i="1593"/>
  <c r="D4" i="1593" s="1"/>
  <c r="E4" i="1593" s="1"/>
  <c r="F4" i="1593" s="1"/>
  <c r="F10" i="1593" l="1"/>
  <c r="F16" i="1593"/>
  <c r="F19" i="1593"/>
  <c r="F6" i="1593"/>
  <c r="F13" i="1593"/>
  <c r="F8" i="1593"/>
  <c r="F24" i="1593"/>
  <c r="M15" i="1534"/>
  <c r="M14" i="1534"/>
  <c r="M13" i="1534"/>
  <c r="D39" i="3" l="1"/>
  <c r="X32" i="3" l="1"/>
  <c r="K58" i="3" l="1"/>
  <c r="R36" i="3"/>
  <c r="X21" i="3"/>
  <c r="C30" i="3" l="1"/>
  <c r="E39" i="3"/>
  <c r="F6" i="1534" l="1"/>
  <c r="D11" i="1534" l="1"/>
  <c r="R1" i="1534" s="1"/>
  <c r="C27" i="3" s="1"/>
  <c r="U4" i="1534"/>
  <c r="W4" i="1534" s="1"/>
  <c r="U3" i="1534"/>
  <c r="W3" i="1534" s="1"/>
  <c r="U2" i="1534"/>
  <c r="W2" i="1534" s="1"/>
  <c r="E5" i="3"/>
  <c r="E4" i="3"/>
  <c r="E3" i="3"/>
  <c r="J6" i="1534" l="1"/>
  <c r="F11" i="1534"/>
  <c r="K6" i="1534" l="1"/>
  <c r="K11" i="1534" l="1"/>
  <c r="N12" i="1534" l="1"/>
  <c r="N13" i="1534" l="1"/>
  <c r="N14" i="1534"/>
  <c r="N15" i="1534" l="1"/>
  <c r="N16" i="1534" s="1"/>
  <c r="R2" i="1534" s="1"/>
  <c r="C28" i="3" s="1"/>
  <c r="C42" i="3" s="1"/>
  <c r="N19" i="1534" l="1"/>
  <c r="N17" i="1534"/>
  <c r="N18" i="1534"/>
</calcChain>
</file>

<file path=xl/sharedStrings.xml><?xml version="1.0" encoding="utf-8"?>
<sst xmlns="http://schemas.openxmlformats.org/spreadsheetml/2006/main" count="358" uniqueCount="290">
  <si>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</si>
  <si>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</si>
  <si>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</si>
  <si>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</si>
  <si>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</si>
  <si>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</si>
  <si>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</si>
  <si>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</si>
  <si>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</si>
  <si>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</si>
  <si>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</si>
  <si>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</si>
  <si>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</si>
  <si>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</si>
  <si>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</si>
  <si>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</si>
  <si>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</si>
  <si>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</si>
  <si>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</si>
  <si>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</si>
  <si>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</si>
  <si>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</si>
  <si>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</si>
  <si>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</si>
  <si>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</si>
  <si>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Love STK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</si>
  <si>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</si>
  <si>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</si>
  <si>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</si>
  <si>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</si>
  <si>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</si>
  <si>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</si>
  <si>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</si>
  <si>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</si>
  <si>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</si>
  <si>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</si>
  <si>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</si>
  <si>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</si>
  <si>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</si>
  <si>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</si>
  <si>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</si>
  <si>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</si>
  <si>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</si>
  <si>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</si>
  <si>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</si>
  <si>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</si>
  <si>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</si>
  <si>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</si>
  <si>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</si>
  <si>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</si>
  <si>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</si>
  <si>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이관택</t>
  </si>
  <si>
    <t>65129-0112-6372</t>
  </si>
  <si>
    <t>정석진</t>
  </si>
  <si>
    <t>신라함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</si>
  <si>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</si>
  <si>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</si>
  <si>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</si>
  <si>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</si>
  <si>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</si>
  <si>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</si>
  <si>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</si>
  <si>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3" type="noConversion"/>
  </si>
  <si>
    <t>해상</t>
    <phoneticPr fontId="3" type="noConversion"/>
  </si>
  <si>
    <t>항공</t>
    <phoneticPr fontId="3" type="noConversion"/>
  </si>
  <si>
    <t>일반</t>
    <phoneticPr fontId="3" type="noConversion"/>
  </si>
  <si>
    <t>기부</t>
    <phoneticPr fontId="3" type="noConversion"/>
  </si>
  <si>
    <t>이름</t>
    <phoneticPr fontId="3" type="noConversion"/>
  </si>
  <si>
    <t>회사</t>
    <phoneticPr fontId="3" type="noConversion"/>
  </si>
  <si>
    <t>백총명</t>
    <phoneticPr fontId="3" type="noConversion"/>
  </si>
  <si>
    <t>5~10%</t>
    <phoneticPr fontId="3" type="noConversion"/>
  </si>
  <si>
    <t>백규현</t>
    <phoneticPr fontId="3" type="noConversion"/>
  </si>
  <si>
    <t>에즈라</t>
    <phoneticPr fontId="3" type="noConversion"/>
  </si>
  <si>
    <t>김반석</t>
    <phoneticPr fontId="3" type="noConversion"/>
  </si>
  <si>
    <t>샤론스쿨</t>
    <phoneticPr fontId="3" type="noConversion"/>
  </si>
  <si>
    <t>최성식</t>
    <phoneticPr fontId="3" type="noConversion"/>
  </si>
  <si>
    <t>큐빅 바이크</t>
    <phoneticPr fontId="3" type="noConversion"/>
  </si>
  <si>
    <t>김인섭</t>
    <phoneticPr fontId="3" type="noConversion"/>
  </si>
  <si>
    <t>요정 투어 (김요셉 형)</t>
    <phoneticPr fontId="3" type="noConversion"/>
  </si>
  <si>
    <t>제품</t>
  </si>
  <si>
    <t>성경책</t>
  </si>
  <si>
    <t>이종원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</si>
  <si>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</si>
  <si>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</si>
  <si>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</si>
  <si>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</si>
  <si>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</si>
  <si>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</si>
  <si>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</si>
  <si>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</si>
  <si>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</si>
  <si>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</si>
  <si>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</si>
  <si>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</si>
  <si>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</si>
  <si>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</si>
  <si>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</si>
  <si>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</si>
  <si>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</si>
  <si>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</si>
  <si>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</si>
  <si>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</si>
  <si>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</si>
  <si>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</si>
  <si>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</si>
  <si>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</si>
  <si>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</si>
  <si>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</si>
  <si>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</si>
  <si>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</si>
  <si>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</si>
  <si>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</si>
  <si>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3" type="noConversion"/>
  </si>
  <si>
    <t>박진경</t>
    <phoneticPr fontId="3" type="noConversion"/>
  </si>
  <si>
    <t>할인율</t>
    <phoneticPr fontId="3" type="noConversion"/>
  </si>
  <si>
    <t>할인금액</t>
    <phoneticPr fontId="3" type="noConversion"/>
  </si>
  <si>
    <t>정석진</t>
    <phoneticPr fontId="3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</si>
  <si>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</si>
  <si>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</si>
  <si>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</si>
  <si>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</si>
  <si>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</si>
  <si>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</si>
  <si>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</si>
  <si>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</si>
  <si>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</si>
  <si>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</si>
  <si>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</si>
  <si>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</si>
  <si>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</si>
  <si>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</si>
  <si>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</si>
  <si>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</si>
  <si>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</si>
  <si>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</si>
  <si>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</si>
  <si>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</si>
  <si>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3" type="noConversion"/>
  </si>
  <si>
    <t>최현석</t>
    <phoneticPr fontId="3" type="noConversion"/>
  </si>
  <si>
    <t>Peter Kim/Viengchay</t>
    <phoneticPr fontId="3" type="noConversion"/>
  </si>
  <si>
    <t>할인 총합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</si>
  <si>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</si>
  <si>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</si>
  <si>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</si>
  <si>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</si>
  <si>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</si>
  <si>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</si>
  <si>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</si>
  <si>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</si>
  <si>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</si>
  <si>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</si>
  <si>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</si>
  <si>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</si>
  <si>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</si>
  <si>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</si>
  <si>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</si>
  <si>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</si>
  <si>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엘에스엠</t>
  </si>
  <si>
    <t>오유근</t>
  </si>
  <si>
    <t>백지원</t>
  </si>
  <si>
    <t>고영태</t>
  </si>
  <si>
    <t>이창열</t>
  </si>
  <si>
    <t>이제원</t>
  </si>
  <si>
    <t>고중하</t>
  </si>
  <si>
    <t>김일재</t>
  </si>
  <si>
    <t>김윤식</t>
  </si>
  <si>
    <t>송창현</t>
  </si>
  <si>
    <t>김민우</t>
  </si>
  <si>
    <t>이시경</t>
  </si>
  <si>
    <t>이재원</t>
  </si>
  <si>
    <t>최완식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</si>
  <si>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</si>
  <si>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</si>
  <si>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</si>
  <si>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</si>
  <si>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</si>
  <si>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</si>
  <si>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</si>
  <si>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</si>
  <si>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</si>
  <si>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</si>
  <si>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</si>
  <si>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</si>
  <si>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</si>
  <si>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</si>
  <si>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</si>
  <si>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</si>
  <si>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</si>
  <si>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</si>
  <si>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</si>
  <si>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</si>
  <si>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</si>
  <si>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</si>
  <si>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4" type="noConversion"/>
  </si>
  <si>
    <t>지상사협의회 회원사 할인</t>
    <phoneticPr fontId="3" type="noConversion"/>
  </si>
  <si>
    <t>대표님 지인 할인</t>
    <phoneticPr fontId="3" type="noConversion"/>
  </si>
  <si>
    <t>기업 할인</t>
    <phoneticPr fontId="3" type="noConversion"/>
  </si>
  <si>
    <t>이규상</t>
    <phoneticPr fontId="3" type="noConversion"/>
  </si>
  <si>
    <t>비 고</t>
    <phoneticPr fontId="3" type="noConversion"/>
  </si>
  <si>
    <t>지방배송</t>
    <phoneticPr fontId="3" type="noConversion"/>
  </si>
  <si>
    <t>이경희</t>
    <phoneticPr fontId="3" type="noConversion"/>
  </si>
  <si>
    <t>팀장</t>
    <phoneticPr fontId="3" type="noConversion"/>
  </si>
  <si>
    <t>이우용/임태준</t>
    <phoneticPr fontId="3" type="noConversion"/>
  </si>
  <si>
    <t>유투버</t>
    <phoneticPr fontId="3" type="noConversion"/>
  </si>
  <si>
    <t>최지호</t>
    <phoneticPr fontId="3" type="noConversion"/>
  </si>
  <si>
    <t>사모: 김연희</t>
    <phoneticPr fontId="3" type="noConversion"/>
  </si>
  <si>
    <t>총 합산 액</t>
    <phoneticPr fontId="3" type="noConversion"/>
  </si>
  <si>
    <t>우상봉</t>
    <phoneticPr fontId="3" type="noConversion"/>
  </si>
  <si>
    <t>Kg 구간</t>
    <phoneticPr fontId="3" type="noConversion"/>
  </si>
  <si>
    <t>적용 운임</t>
    <phoneticPr fontId="3" type="noConversion"/>
  </si>
  <si>
    <t>최소값</t>
    <phoneticPr fontId="3" type="noConversion"/>
  </si>
  <si>
    <t>원순연</t>
    <phoneticPr fontId="3" type="noConversion"/>
  </si>
  <si>
    <t>임홍식</t>
    <phoneticPr fontId="3" type="noConversion"/>
  </si>
  <si>
    <t>Nice to meat you</t>
    <phoneticPr fontId="3" type="noConversion"/>
  </si>
  <si>
    <t>현지 발생 비용</t>
    <phoneticPr fontId="3" type="noConversion"/>
  </si>
  <si>
    <t>한국 세금 계산서 발급시 계좌번호</t>
  </si>
  <si>
    <t>최재혁</t>
    <phoneticPr fontId="3" type="noConversion"/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</si>
  <si>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</si>
  <si>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</si>
  <si>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</si>
  <si>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</si>
  <si>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</si>
  <si>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임은희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</si>
  <si>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</si>
  <si>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</si>
  <si>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</si>
  <si>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</si>
  <si>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</si>
  <si>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</si>
  <si>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라오스 국가대표 야구 감독</t>
    <phoneticPr fontId="3" type="noConversion"/>
  </si>
  <si>
    <t>* 이용해 주셔서 감사합니다.</t>
    <phoneticPr fontId="3" type="noConversion"/>
  </si>
  <si>
    <t>대량 5%, 기부품 10% (사진 첨부 필)</t>
    <phoneticPr fontId="3" type="noConversion"/>
  </si>
  <si>
    <t>홍진혁</t>
    <phoneticPr fontId="3" type="noConversion"/>
  </si>
  <si>
    <t>김창수</t>
    <phoneticPr fontId="3" type="noConversion"/>
  </si>
  <si>
    <t>지방배송</t>
    <phoneticPr fontId="3" type="noConversion"/>
  </si>
  <si>
    <t>이상미</t>
    <phoneticPr fontId="3" type="noConversion"/>
  </si>
  <si>
    <t>이병목/장헤진</t>
    <phoneticPr fontId="3" type="noConversion"/>
  </si>
  <si>
    <t>진정우</t>
    <phoneticPr fontId="3" type="noConversion"/>
  </si>
  <si>
    <t>105호 고객</t>
    <phoneticPr fontId="3" type="noConversion"/>
  </si>
  <si>
    <t>기부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</si>
  <si>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</si>
  <si>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</si>
  <si>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</si>
  <si>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</si>
  <si>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</si>
  <si>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서정진(서이사님)</t>
    <phoneticPr fontId="3" type="noConversion"/>
  </si>
  <si>
    <t>최문영/최보애</t>
    <phoneticPr fontId="3" type="noConversion"/>
  </si>
  <si>
    <t>고객이름</t>
    <phoneticPr fontId="3" type="noConversion"/>
  </si>
  <si>
    <t>전화번호</t>
    <phoneticPr fontId="3" type="noConversion"/>
  </si>
  <si>
    <t>KG</t>
    <phoneticPr fontId="3" type="noConversion"/>
  </si>
  <si>
    <t>Rate(USD)</t>
    <phoneticPr fontId="3" type="noConversion"/>
  </si>
  <si>
    <t>per kg(USD)</t>
    <phoneticPr fontId="3" type="noConversion"/>
  </si>
  <si>
    <t>실제중량 운임</t>
    <phoneticPr fontId="4" type="noConversion"/>
  </si>
  <si>
    <t>용적중량 운임</t>
    <phoneticPr fontId="4" type="noConversion"/>
  </si>
  <si>
    <t>이형준</t>
    <phoneticPr fontId="3" type="noConversion"/>
  </si>
  <si>
    <t>골재 판매</t>
    <phoneticPr fontId="3" type="noConversion"/>
  </si>
  <si>
    <t>이명숙/임기환</t>
    <phoneticPr fontId="3" type="noConversion"/>
  </si>
  <si>
    <t>김종훈/김희영</t>
    <phoneticPr fontId="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</si>
  <si>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</si>
  <si>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</si>
  <si>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</si>
  <si>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</si>
  <si>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Ms.Tadam</t>
    <phoneticPr fontId="3" type="noConversion"/>
  </si>
  <si>
    <t>Rate(CNY)</t>
    <phoneticPr fontId="3" type="noConversion"/>
  </si>
  <si>
    <t>루앙남타-중국 국경통관</t>
    <phoneticPr fontId="3" type="noConversion"/>
  </si>
  <si>
    <t>훙아룬</t>
    <phoneticPr fontId="3" type="noConversion"/>
  </si>
  <si>
    <t>비엔티엔-루앙남타</t>
    <phoneticPr fontId="3" type="noConversion"/>
  </si>
  <si>
    <t>Rate(KIP)</t>
    <phoneticPr fontId="3" type="noConversion"/>
  </si>
  <si>
    <t>중국 국경-중국내 운송</t>
    <phoneticPr fontId="3" type="noConversion"/>
  </si>
  <si>
    <t>RNP</t>
    <phoneticPr fontId="3" type="noConversion"/>
  </si>
  <si>
    <t>Rate(THB)</t>
    <phoneticPr fontId="3" type="noConversion"/>
  </si>
  <si>
    <t>TSC</t>
    <phoneticPr fontId="3" type="noConversion"/>
  </si>
  <si>
    <t>Sample KG</t>
    <phoneticPr fontId="3" type="noConversion"/>
  </si>
  <si>
    <t>0~1kg</t>
    <phoneticPr fontId="3" type="noConversion"/>
  </si>
  <si>
    <t>2~4kg</t>
    <phoneticPr fontId="3" type="noConversion"/>
  </si>
  <si>
    <t>5~8kg</t>
    <phoneticPr fontId="3" type="noConversion"/>
  </si>
  <si>
    <t>9~12kg</t>
    <phoneticPr fontId="3" type="noConversion"/>
  </si>
  <si>
    <t>13~16kg</t>
    <phoneticPr fontId="3" type="noConversion"/>
  </si>
  <si>
    <t>17~19kg</t>
    <phoneticPr fontId="3" type="noConversion"/>
  </si>
  <si>
    <t>20kg 이상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</si>
  <si>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</si>
  <si>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</si>
  <si>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</si>
  <si>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라오스-중국 내륙 xx항차</t>
    <phoneticPr fontId="3" type="noConversion"/>
  </si>
  <si>
    <t>LC2026xx-xx</t>
    <phoneticPr fontId="3" type="noConversion"/>
  </si>
  <si>
    <t>2026-XX-XX</t>
    <phoneticPr fontId="3" type="noConversion"/>
  </si>
  <si>
    <t>LC01-01</t>
    <phoneticPr fontId="3" type="noConversion"/>
  </si>
  <si>
    <t>Lao-Chia 가견적</t>
    <phoneticPr fontId="4" type="noConversion"/>
  </si>
  <si>
    <t>- 기한: 2025년 11월 말, 고객의 요청에 의하여 견적후 배송/출발 지연이 발생할 경우 운임 변동이 있을수 있으니 참고 부탁 드립니다.-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</t>
    <phoneticPr fontId="3" type="noConversion"/>
  </si>
  <si>
    <t>* 모든 비용은 회사의 내규 및 각 물품의 중량/크기 실측을 기준으로 청구되며 최소 운임은 $13.4/kg 이며, 청구중량에 따라 차등 운임이 적용 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</si>
</sst>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center"/>
    </xf>
  </cellStyleXfs>
  <cellXfs count="170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4" xfId="0" applyFont="1" applyBorder="1">
      <alignment vertical="center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9" fontId="22" fillId="0" borderId="4" xfId="7" applyFont="1" applyBorder="1" applyAlignment="1">
      <alignment horizontal="center" vertical="center"/>
    </xf>
    <xf numFmtId="177" fontId="22" fillId="0" borderId="4" xfId="2" applyNumberFormat="1" applyFont="1" applyBorder="1" applyAlignment="1">
      <alignment horizontal="center" vertical="center"/>
    </xf>
    <xf numFmtId="9" fontId="22" fillId="0" borderId="4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77" fontId="2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25" fillId="0" borderId="4" xfId="0" applyFont="1" applyBorder="1" applyAlignment="1">
      <alignment horizontal="center"/>
    </xf>
    <xf numFmtId="9" fontId="22" fillId="0" borderId="4" xfId="7" applyFont="1" applyFill="1" applyBorder="1" applyAlignment="1">
      <alignment horizontal="center" vertical="center"/>
    </xf>
    <xf numFmtId="177" fontId="22" fillId="0" borderId="4" xfId="2" applyNumberFormat="1" applyFont="1" applyFill="1" applyBorder="1" applyAlignment="1">
      <alignment horizontal="center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6" fillId="8" borderId="0" xfId="0" applyFont="1" applyFill="1">
      <alignment vertical="center"/>
    </xf>
    <xf numFmtId="186" fontId="26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 applyAlignment="1">
      <alignment horizontal="center"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6" fillId="0" borderId="2" xfId="3" applyFont="1" applyBorder="1" applyAlignment="1">
      <alignment horizontal="center"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5" xfId="2" applyNumberFormat="1" applyFont="1" applyBorder="1" applyAlignment="1">
      <alignment horizontal="center" vertical="center"/>
    </xf>
    <xf numFmtId="177" fontId="22" fillId="0" borderId="0" xfId="2" applyNumberFormat="1" applyFont="1" applyFill="1" applyBorder="1" applyAlignment="1">
      <alignment horizontal="center" vertical="center"/>
    </xf>
    <xf numFmtId="9" fontId="22" fillId="0" borderId="4" xfId="0" applyNumberFormat="1" applyFont="1" applyBorder="1">
      <alignment vertical="center"/>
    </xf>
    <xf numFmtId="177" fontId="0" fillId="0" borderId="0" xfId="2" applyNumberFormat="1" applyFont="1" applyBorder="1" applyAlignment="1">
      <alignment horizontal="center" vertical="center"/>
    </xf>
    <xf numFmtId="9" fontId="0" fillId="0" borderId="0" xfId="7" applyFont="1">
      <alignment vertical="center"/>
    </xf>
    <xf numFmtId="41" fontId="0" fillId="0" borderId="0" xfId="2" applyFont="1" applyBorder="1">
      <alignment vertical="center"/>
    </xf>
    <xf numFmtId="41" fontId="0" fillId="0" borderId="0" xfId="2" applyFont="1" applyFill="1" applyBorder="1">
      <alignment vertical="center"/>
    </xf>
    <xf numFmtId="41" fontId="0" fillId="0" borderId="0" xfId="2" applyFont="1">
      <alignment vertical="center"/>
    </xf>
    <xf numFmtId="43" fontId="0" fillId="0" borderId="0" xfId="0" applyNumberFormat="1">
      <alignment vertical="center"/>
    </xf>
    <xf numFmtId="4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3" borderId="0" xfId="2" applyNumberFormat="1" applyFont="1" applyFill="1" applyAlignment="1">
      <alignment horizontal="center" vertical="center"/>
    </xf>
    <xf numFmtId="43" fontId="0" fillId="3" borderId="0" xfId="0" applyNumberFormat="1" applyFill="1">
      <alignment vertical="center"/>
    </xf>
    <xf numFmtId="0" fontId="22" fillId="0" borderId="1" xfId="0" applyFont="1" applyBorder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6" fillId="0" borderId="4" xfId="3" quotePrefix="1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33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49" fontId="30" fillId="9" borderId="2" xfId="3" applyNumberFormat="1" applyFont="1" applyFill="1" applyBorder="1" applyAlignment="1">
      <alignment horizontal="center" vertical="center" wrapText="1"/>
    </xf>
    <xf numFmtId="49" fontId="30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2" fillId="9" borderId="2" xfId="3" quotePrefix="1" applyFont="1" applyFill="1" applyBorder="1" applyAlignment="1">
      <alignment horizontal="center" vertical="center"/>
    </xf>
    <xf numFmtId="0" fontId="32" fillId="9" borderId="5" xfId="3" quotePrefix="1" applyFont="1" applyFill="1" applyBorder="1" applyAlignment="1">
      <alignment horizontal="center" vertical="center"/>
    </xf>
    <xf numFmtId="0" fontId="32" fillId="9" borderId="3" xfId="3" quotePrefix="1" applyFont="1" applyFill="1" applyBorder="1" applyAlignment="1">
      <alignment horizontal="center" vertical="center"/>
    </xf>
    <xf numFmtId="0" fontId="31" fillId="9" borderId="8" xfId="3" quotePrefix="1" applyFont="1" applyFill="1" applyBorder="1" applyAlignment="1">
      <alignment horizontal="center" vertical="center"/>
    </xf>
    <xf numFmtId="0" fontId="31" fillId="9" borderId="12" xfId="3" quotePrefix="1" applyFont="1" applyFill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4" fillId="9" borderId="6" xfId="3" quotePrefix="1" applyFont="1" applyFill="1" applyBorder="1" applyAlignment="1">
      <alignment horizontal="center" vertical="center" wrapText="1"/>
    </xf>
    <xf numFmtId="0" fontId="34" fillId="9" borderId="13" xfId="3" quotePrefix="1" applyFont="1" applyFill="1" applyBorder="1" applyAlignment="1">
      <alignment horizontal="center" vertical="center" wrapText="1"/>
    </xf>
    <xf numFmtId="0" fontId="34" fillId="9" borderId="11" xfId="3" quotePrefix="1" applyFont="1" applyFill="1" applyBorder="1" applyAlignment="1">
      <alignment horizontal="center" vertical="center" wrapText="1"/>
    </xf>
    <xf numFmtId="0" fontId="34" fillId="9" borderId="14" xfId="3" quotePrefix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3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emf"/><Relationship Id="rId5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6</xdr:col>
          <xdr:colOff>7620</xdr:colOff>
          <xdr:row>63</xdr:row>
          <xdr:rowOff>7620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41E34C71-FEDE-CA61-D6D1-FFC2A43EF1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5:$F$43" spid="_x0000_s20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0241280"/>
              <a:ext cx="4404360" cy="46405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685800</xdr:colOff>
      <xdr:row>19</xdr:row>
      <xdr:rowOff>0</xdr:rowOff>
    </xdr:from>
    <xdr:to>
      <xdr:col>13</xdr:col>
      <xdr:colOff>3479800</xdr:colOff>
      <xdr:row>20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30175200" y="123190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50800" y="12369800"/>
          <a:ext cx="8229600" cy="3733800"/>
          <a:chOff x="50800" y="15240000"/>
          <a:chExt cx="7899400" cy="373380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0261600" y="12344400"/>
          <a:ext cx="7975600" cy="3759200"/>
          <a:chOff x="9118600" y="15214600"/>
          <a:chExt cx="7975600" cy="3719369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20193000" y="12344399"/>
          <a:ext cx="8026400" cy="3759201"/>
          <a:chOff x="19761200" y="15214599"/>
          <a:chExt cx="8026400" cy="3747978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29</xdr:row>
          <xdr:rowOff>0</xdr:rowOff>
        </xdr:from>
        <xdr:to>
          <xdr:col>14</xdr:col>
          <xdr:colOff>0</xdr:colOff>
          <xdr:row>109</xdr:row>
          <xdr:rowOff>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6FDDC141-7A57-A179-504E-328A47CEA5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0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548600"/>
              <a:ext cx="36017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Y60"/>
  <sheetViews>
    <sheetView workbookViewId="0">
      <selection activeCell="C6" sqref="C6"/>
    </sheetView>
  </sheetViews>
  <sheetFormatPr defaultColWidth="9" defaultRowHeight="19.2"/>
  <cols>
    <col min="1" max="1" width="3.69921875" style="35" customWidth="1"/>
    <col min="2" max="2" width="15.69921875" style="35" bestFit="1" customWidth="1"/>
    <col min="3" max="5" width="11.3984375" style="35" bestFit="1" customWidth="1"/>
    <col min="6" max="7" width="4" style="35" customWidth="1"/>
    <col min="8" max="8" width="15" style="35" bestFit="1" customWidth="1"/>
    <col min="9" max="9" width="9.69921875" style="35" bestFit="1" customWidth="1"/>
    <col min="10" max="10" width="7.69921875" style="35" bestFit="1" customWidth="1"/>
    <col min="11" max="11" width="9.69921875" style="35" bestFit="1" customWidth="1"/>
    <col min="12" max="12" width="11.59765625" style="35" bestFit="1" customWidth="1"/>
    <col min="13" max="13" width="2.59765625" style="50" customWidth="1"/>
    <col min="14" max="14" width="7.69921875" style="50" bestFit="1" customWidth="1"/>
    <col min="15" max="15" width="9.8984375" style="50" bestFit="1" customWidth="1"/>
    <col min="16" max="16" width="26.09765625" style="50" bestFit="1" customWidth="1"/>
    <col min="17" max="17" width="7.69921875" style="50" bestFit="1" customWidth="1"/>
    <col min="18" max="18" width="9.69921875" style="50" bestFit="1" customWidth="1"/>
    <col min="19" max="19" width="15.19921875" style="50" bestFit="1" customWidth="1"/>
    <col min="20" max="20" width="2.5" style="50" customWidth="1"/>
    <col min="21" max="21" width="27.69921875" style="50" bestFit="1" customWidth="1"/>
    <col min="22" max="22" width="22.5" style="50" bestFit="1" customWidth="1"/>
    <col min="23" max="23" width="7.69921875" style="50" bestFit="1" customWidth="1"/>
    <col min="24" max="24" width="9.69921875" style="50" bestFit="1" customWidth="1"/>
    <col min="25" max="25" width="37.19921875" style="50" bestFit="1" customWidth="1"/>
    <col min="26" max="16384" width="9" style="35"/>
  </cols>
  <sheetData>
    <row r="1" spans="2:25">
      <c r="B1" s="163" t="s">
        <v>30</v>
      </c>
      <c r="C1" s="163"/>
      <c r="D1" s="163"/>
      <c r="E1" s="163"/>
      <c r="H1" s="164" t="s">
        <v>62</v>
      </c>
      <c r="I1" s="164"/>
      <c r="J1" s="164"/>
      <c r="K1" s="164"/>
      <c r="L1" s="164"/>
    </row>
    <row r="2" spans="2:25">
      <c r="B2" s="36" t="s">
        <v>26</v>
      </c>
      <c r="C2" s="36" t="s">
        <v>27</v>
      </c>
      <c r="D2" s="36" t="s">
        <v>28</v>
      </c>
      <c r="E2" s="36" t="s">
        <v>29</v>
      </c>
      <c r="H2" s="50"/>
      <c r="I2" s="50"/>
      <c r="J2" s="50"/>
      <c r="K2" s="50"/>
      <c r="L2" s="50"/>
    </row>
    <row r="3" spans="2:25">
      <c r="B3" s="37" t="s">
        <v>0</v>
      </c>
      <c r="C3" s="38">
        <v>23000</v>
      </c>
      <c r="D3" s="39">
        <v>1000</v>
      </c>
      <c r="E3" s="38">
        <f>C3+D3</f>
        <v>24000</v>
      </c>
      <c r="H3" s="166" t="s">
        <v>223</v>
      </c>
      <c r="I3" s="166"/>
      <c r="J3" s="166"/>
      <c r="K3" s="166"/>
      <c r="N3" s="166" t="s">
        <v>194</v>
      </c>
      <c r="O3" s="166"/>
      <c r="P3" s="166"/>
      <c r="Q3" s="166"/>
      <c r="U3" s="166" t="s">
        <v>195</v>
      </c>
      <c r="V3" s="166"/>
      <c r="W3" s="166"/>
      <c r="X3" s="166"/>
    </row>
    <row r="4" spans="2:25">
      <c r="B4" s="40" t="s">
        <v>2</v>
      </c>
      <c r="C4" s="41">
        <v>33</v>
      </c>
      <c r="D4" s="41">
        <v>1</v>
      </c>
      <c r="E4" s="41">
        <f>C4+D4</f>
        <v>34</v>
      </c>
      <c r="H4" s="167" t="s">
        <v>63</v>
      </c>
      <c r="I4" s="168"/>
      <c r="J4" s="167" t="s">
        <v>64</v>
      </c>
      <c r="K4" s="168"/>
      <c r="L4" s="50"/>
      <c r="N4" s="167" t="s">
        <v>63</v>
      </c>
      <c r="O4" s="168"/>
      <c r="P4" s="167" t="s">
        <v>64</v>
      </c>
      <c r="Q4" s="168"/>
      <c r="U4" s="167" t="s">
        <v>63</v>
      </c>
      <c r="V4" s="168"/>
      <c r="W4" s="167" t="s">
        <v>64</v>
      </c>
      <c r="X4" s="168"/>
    </row>
    <row r="5" spans="2:25">
      <c r="B5" s="42" t="s">
        <v>1</v>
      </c>
      <c r="C5" s="43">
        <v>1515</v>
      </c>
      <c r="D5" s="43">
        <v>30</v>
      </c>
      <c r="E5" s="43">
        <f>C5+D5</f>
        <v>1545</v>
      </c>
      <c r="H5" s="47" t="s">
        <v>65</v>
      </c>
      <c r="I5" s="47" t="s">
        <v>66</v>
      </c>
      <c r="J5" s="47" t="s">
        <v>65</v>
      </c>
      <c r="K5" s="47" t="s">
        <v>66</v>
      </c>
      <c r="L5" s="50"/>
      <c r="N5" s="47" t="s">
        <v>65</v>
      </c>
      <c r="O5" s="47" t="s">
        <v>66</v>
      </c>
      <c r="P5" s="47" t="s">
        <v>65</v>
      </c>
      <c r="Q5" s="47" t="s">
        <v>66</v>
      </c>
      <c r="U5" s="47" t="s">
        <v>65</v>
      </c>
      <c r="V5" s="47" t="s">
        <v>66</v>
      </c>
      <c r="W5" s="47" t="s">
        <v>65</v>
      </c>
      <c r="X5" s="47" t="s">
        <v>66</v>
      </c>
    </row>
    <row r="6" spans="2:25">
      <c r="B6" s="50"/>
      <c r="C6" s="99"/>
      <c r="D6" s="99"/>
      <c r="E6" s="99"/>
      <c r="H6" s="100">
        <v>0.2</v>
      </c>
      <c r="I6" s="100">
        <v>0.3</v>
      </c>
      <c r="J6" s="100">
        <v>0.05</v>
      </c>
      <c r="K6" s="100">
        <v>0.1</v>
      </c>
      <c r="L6" s="50"/>
      <c r="N6" s="100">
        <v>0.1</v>
      </c>
      <c r="O6" s="100">
        <v>0.2</v>
      </c>
      <c r="P6" s="100">
        <v>0.05</v>
      </c>
      <c r="Q6" s="100">
        <v>0.1</v>
      </c>
      <c r="U6" s="100" t="s">
        <v>70</v>
      </c>
      <c r="V6" s="100">
        <v>0.2</v>
      </c>
      <c r="W6" s="100">
        <v>0.05</v>
      </c>
      <c r="X6" s="100">
        <v>0.1</v>
      </c>
    </row>
    <row r="7" spans="2:25">
      <c r="C7" s="111"/>
      <c r="D7" s="111"/>
      <c r="H7" s="50"/>
      <c r="I7" s="50"/>
      <c r="J7" s="50"/>
      <c r="K7" s="50"/>
      <c r="L7" s="50"/>
    </row>
    <row r="8" spans="2:25">
      <c r="B8" s="36" t="s">
        <v>208</v>
      </c>
      <c r="C8" s="36" t="s">
        <v>210</v>
      </c>
      <c r="D8" s="36" t="s">
        <v>209</v>
      </c>
      <c r="F8" s="77"/>
      <c r="G8" s="77"/>
      <c r="H8" s="36" t="s">
        <v>67</v>
      </c>
      <c r="I8" s="36"/>
      <c r="J8" s="36" t="s">
        <v>114</v>
      </c>
      <c r="K8" s="36" t="s">
        <v>115</v>
      </c>
      <c r="L8" s="36" t="s">
        <v>198</v>
      </c>
      <c r="N8" s="36" t="s">
        <v>67</v>
      </c>
      <c r="O8" s="36"/>
      <c r="P8" s="36" t="s">
        <v>68</v>
      </c>
      <c r="Q8" s="36" t="s">
        <v>114</v>
      </c>
      <c r="R8" s="36" t="s">
        <v>115</v>
      </c>
      <c r="S8" s="36" t="s">
        <v>198</v>
      </c>
      <c r="U8" s="36" t="s">
        <v>67</v>
      </c>
      <c r="V8" s="36"/>
      <c r="W8" s="36" t="s">
        <v>114</v>
      </c>
      <c r="X8" s="36" t="s">
        <v>115</v>
      </c>
      <c r="Y8" s="36" t="s">
        <v>198</v>
      </c>
    </row>
    <row r="9" spans="2:25">
      <c r="B9" s="36" t="s">
        <v>273</v>
      </c>
      <c r="C9" s="36">
        <v>0</v>
      </c>
      <c r="D9" s="78">
        <f>ROUNDUP(Sheet1!R4,1)+D7</f>
        <v>13.4</v>
      </c>
      <c r="E9" s="77"/>
      <c r="F9" s="77"/>
      <c r="G9" s="77"/>
      <c r="H9" s="36" t="s">
        <v>88</v>
      </c>
      <c r="I9" s="36"/>
      <c r="J9" s="51">
        <v>0.05</v>
      </c>
      <c r="K9" s="52"/>
      <c r="L9" s="52"/>
      <c r="N9" s="48" t="s">
        <v>48</v>
      </c>
      <c r="O9" s="48" t="s">
        <v>181</v>
      </c>
      <c r="P9" s="48" t="s">
        <v>117</v>
      </c>
      <c r="Q9" s="62">
        <v>0.05</v>
      </c>
      <c r="R9" s="63"/>
      <c r="S9" s="63"/>
      <c r="U9" s="36" t="s">
        <v>77</v>
      </c>
      <c r="V9" s="36" t="s">
        <v>78</v>
      </c>
      <c r="W9" s="62">
        <v>0.05</v>
      </c>
      <c r="X9" s="63"/>
      <c r="Y9" s="63"/>
    </row>
    <row r="10" spans="2:25">
      <c r="B10" s="36" t="s">
        <v>274</v>
      </c>
      <c r="C10" s="36">
        <v>2</v>
      </c>
      <c r="D10" s="78">
        <f>ROUNDUP(Sheet1!R5,1)+D7</f>
        <v>10.6</v>
      </c>
      <c r="E10" s="77"/>
      <c r="F10" s="77"/>
      <c r="G10" s="77"/>
      <c r="H10" s="36" t="s">
        <v>108</v>
      </c>
      <c r="I10" s="36"/>
      <c r="J10" s="51">
        <v>0.05</v>
      </c>
      <c r="K10" s="63"/>
      <c r="L10" s="63"/>
      <c r="N10" s="48" t="s">
        <v>160</v>
      </c>
      <c r="O10" s="48" t="s">
        <v>183</v>
      </c>
      <c r="P10" s="48" t="s">
        <v>119</v>
      </c>
      <c r="Q10" s="62">
        <v>0.05</v>
      </c>
      <c r="R10" s="63"/>
      <c r="S10" s="63"/>
      <c r="U10" s="36" t="s">
        <v>245</v>
      </c>
      <c r="V10" s="36"/>
      <c r="W10" s="62">
        <v>0.05</v>
      </c>
      <c r="X10" s="63"/>
      <c r="Y10" s="63"/>
    </row>
    <row r="11" spans="2:25">
      <c r="B11" s="36" t="s">
        <v>275</v>
      </c>
      <c r="C11" s="36">
        <v>5</v>
      </c>
      <c r="D11" s="78">
        <f>ROUNDUP(Sheet1!R8,1)+D7</f>
        <v>9</v>
      </c>
      <c r="E11" s="77"/>
      <c r="F11" s="77"/>
      <c r="G11" s="77"/>
      <c r="H11" s="36" t="s">
        <v>73</v>
      </c>
      <c r="I11" s="36" t="s">
        <v>72</v>
      </c>
      <c r="J11" s="51">
        <v>0.05</v>
      </c>
      <c r="K11" s="63"/>
      <c r="L11" s="63"/>
      <c r="N11" s="48" t="s">
        <v>163</v>
      </c>
      <c r="O11" s="48" t="s">
        <v>185</v>
      </c>
      <c r="P11" s="48" t="s">
        <v>121</v>
      </c>
      <c r="Q11" s="62">
        <v>0.05</v>
      </c>
      <c r="R11" s="63"/>
      <c r="S11" s="63"/>
      <c r="U11" s="36" t="s">
        <v>254</v>
      </c>
      <c r="V11" s="36" t="s">
        <v>255</v>
      </c>
      <c r="W11" s="62">
        <v>0.05</v>
      </c>
      <c r="X11" s="63"/>
      <c r="Y11" s="63"/>
    </row>
    <row r="12" spans="2:25">
      <c r="B12" s="36" t="s">
        <v>276</v>
      </c>
      <c r="C12" s="36">
        <v>9</v>
      </c>
      <c r="D12" s="78">
        <f>ROUNDUP(Sheet1!R12,1)+D7</f>
        <v>8.5</v>
      </c>
      <c r="E12" s="77"/>
      <c r="F12" s="77"/>
      <c r="G12" s="77"/>
      <c r="H12" s="36" t="s">
        <v>100</v>
      </c>
      <c r="I12" s="36"/>
      <c r="J12" s="51">
        <v>0.05</v>
      </c>
      <c r="K12" s="63"/>
      <c r="L12" s="63"/>
      <c r="N12" s="48" t="s">
        <v>167</v>
      </c>
      <c r="O12" s="48" t="s">
        <v>181</v>
      </c>
      <c r="P12" s="48" t="s">
        <v>125</v>
      </c>
      <c r="Q12" s="62">
        <v>0.05</v>
      </c>
      <c r="R12" s="63"/>
      <c r="S12" s="63"/>
      <c r="U12" s="36" t="s">
        <v>212</v>
      </c>
      <c r="V12" s="36"/>
      <c r="W12" s="62">
        <v>0.05</v>
      </c>
      <c r="X12" s="63"/>
      <c r="Y12" s="63"/>
    </row>
    <row r="13" spans="2:25">
      <c r="B13" s="36" t="s">
        <v>277</v>
      </c>
      <c r="C13" s="36">
        <v>13</v>
      </c>
      <c r="D13" s="78">
        <f>ROUNDUP(Sheet1!R16,1)+D7</f>
        <v>8.2999999999999989</v>
      </c>
      <c r="E13" s="77"/>
      <c r="F13" s="77"/>
      <c r="G13" s="77"/>
      <c r="H13" s="36" t="s">
        <v>107</v>
      </c>
      <c r="I13" s="36"/>
      <c r="J13" s="51">
        <v>0.05</v>
      </c>
      <c r="K13" s="63"/>
      <c r="L13" s="63"/>
      <c r="N13" s="48" t="s">
        <v>165</v>
      </c>
      <c r="O13" s="48" t="s">
        <v>181</v>
      </c>
      <c r="P13" s="48" t="s">
        <v>123</v>
      </c>
      <c r="Q13" s="62">
        <v>0.05</v>
      </c>
      <c r="R13" s="63"/>
      <c r="S13" s="63"/>
      <c r="U13" s="36" t="s">
        <v>116</v>
      </c>
      <c r="V13" s="36"/>
      <c r="W13" s="62">
        <v>0.05</v>
      </c>
      <c r="X13" s="63"/>
      <c r="Y13" s="63"/>
    </row>
    <row r="14" spans="2:25">
      <c r="B14" s="36" t="s">
        <v>278</v>
      </c>
      <c r="C14" s="36">
        <v>17</v>
      </c>
      <c r="D14" s="78">
        <f>ROUNDUP(Sheet1!R20,1)+D7</f>
        <v>8.1999999999999993</v>
      </c>
      <c r="E14" s="77"/>
      <c r="F14" s="77"/>
      <c r="G14" s="77"/>
      <c r="H14" s="36" t="s">
        <v>90</v>
      </c>
      <c r="I14" s="36"/>
      <c r="J14" s="51">
        <v>0.05</v>
      </c>
      <c r="K14" s="63"/>
      <c r="L14" s="63"/>
      <c r="N14" s="48" t="s">
        <v>164</v>
      </c>
      <c r="O14" s="48" t="s">
        <v>181</v>
      </c>
      <c r="P14" s="48" t="s">
        <v>122</v>
      </c>
      <c r="Q14" s="62">
        <v>0.05</v>
      </c>
      <c r="R14" s="63"/>
      <c r="S14" s="63"/>
      <c r="U14" s="36" t="s">
        <v>237</v>
      </c>
      <c r="V14" s="36" t="s">
        <v>238</v>
      </c>
      <c r="W14" s="62">
        <v>0.1</v>
      </c>
      <c r="X14" s="63"/>
      <c r="Y14" s="63" t="s">
        <v>239</v>
      </c>
    </row>
    <row r="15" spans="2:25">
      <c r="B15" s="36" t="s">
        <v>279</v>
      </c>
      <c r="C15" s="36">
        <v>20</v>
      </c>
      <c r="D15" s="78">
        <f>ROUNDUP(Sheet1!R23,1)+D7</f>
        <v>8.1</v>
      </c>
      <c r="E15" s="77"/>
      <c r="F15" s="77"/>
      <c r="G15" s="77"/>
      <c r="H15" s="36" t="s">
        <v>96</v>
      </c>
      <c r="I15" s="36"/>
      <c r="J15" s="51">
        <v>0.05</v>
      </c>
      <c r="K15" s="63"/>
      <c r="L15" s="63"/>
      <c r="N15" s="48" t="s">
        <v>171</v>
      </c>
      <c r="O15" s="48" t="s">
        <v>185</v>
      </c>
      <c r="P15" s="61" t="s">
        <v>129</v>
      </c>
      <c r="Q15" s="62">
        <v>0.05</v>
      </c>
      <c r="R15" s="63"/>
      <c r="S15" s="63"/>
      <c r="U15" s="36" t="s">
        <v>75</v>
      </c>
      <c r="V15" s="36" t="s">
        <v>76</v>
      </c>
      <c r="W15" s="62">
        <v>0.05</v>
      </c>
      <c r="X15" s="63"/>
      <c r="Y15" s="63"/>
    </row>
    <row r="16" spans="2:25">
      <c r="B16" s="36"/>
      <c r="C16" s="36"/>
      <c r="D16" s="78"/>
      <c r="E16" s="77"/>
      <c r="F16" s="77"/>
      <c r="G16" s="77"/>
      <c r="H16" s="47" t="s">
        <v>257</v>
      </c>
      <c r="I16" s="36"/>
      <c r="J16" s="51">
        <v>0.05</v>
      </c>
      <c r="K16" s="63"/>
      <c r="L16" s="63"/>
      <c r="N16" s="48" t="s">
        <v>159</v>
      </c>
      <c r="O16" s="48" t="s">
        <v>182</v>
      </c>
      <c r="P16" s="48" t="s">
        <v>118</v>
      </c>
      <c r="Q16" s="62">
        <v>0.05</v>
      </c>
      <c r="R16" s="63"/>
      <c r="S16" s="63"/>
      <c r="U16" s="36" t="s">
        <v>216</v>
      </c>
      <c r="V16" s="36"/>
      <c r="W16" s="62">
        <v>0.05</v>
      </c>
      <c r="X16" s="63"/>
      <c r="Y16" s="63"/>
    </row>
    <row r="17" spans="2:25">
      <c r="B17" s="36"/>
      <c r="C17" s="36"/>
      <c r="D17" s="78"/>
      <c r="E17" s="77"/>
      <c r="H17" s="36" t="s">
        <v>111</v>
      </c>
      <c r="I17" s="36"/>
      <c r="J17" s="51">
        <v>0.05</v>
      </c>
      <c r="K17" s="63"/>
      <c r="L17" s="63"/>
      <c r="N17" s="48" t="s">
        <v>178</v>
      </c>
      <c r="O17" s="48" t="s">
        <v>191</v>
      </c>
      <c r="P17" s="48" t="s">
        <v>135</v>
      </c>
      <c r="Q17" s="62">
        <v>0.05</v>
      </c>
      <c r="R17" s="63"/>
      <c r="S17" s="63"/>
      <c r="U17" s="36" t="s">
        <v>204</v>
      </c>
      <c r="V17" s="36"/>
      <c r="W17" s="62">
        <v>0.05</v>
      </c>
      <c r="X17" s="63"/>
      <c r="Y17" s="63"/>
    </row>
    <row r="18" spans="2:25">
      <c r="H18" s="36" t="s">
        <v>233</v>
      </c>
      <c r="I18" s="36"/>
      <c r="J18" s="51">
        <v>0.05</v>
      </c>
      <c r="K18" s="63"/>
      <c r="L18" s="63" t="s">
        <v>234</v>
      </c>
      <c r="N18" s="48" t="s">
        <v>166</v>
      </c>
      <c r="O18" s="48" t="s">
        <v>181</v>
      </c>
      <c r="P18" s="48" t="s">
        <v>125</v>
      </c>
      <c r="Q18" s="62">
        <v>0.05</v>
      </c>
      <c r="R18" s="63"/>
      <c r="S18" s="63"/>
      <c r="U18" s="36" t="s">
        <v>138</v>
      </c>
      <c r="V18" s="36"/>
      <c r="W18" s="62">
        <v>0.05</v>
      </c>
      <c r="X18" s="63"/>
      <c r="Y18" s="63"/>
    </row>
    <row r="19" spans="2:25">
      <c r="H19" s="36" t="s">
        <v>103</v>
      </c>
      <c r="I19" s="36"/>
      <c r="J19" s="51">
        <v>0.05</v>
      </c>
      <c r="K19" s="63"/>
      <c r="L19" s="63"/>
      <c r="N19" s="48" t="s">
        <v>158</v>
      </c>
      <c r="O19" s="48" t="s">
        <v>181</v>
      </c>
      <c r="P19" s="48" t="s">
        <v>224</v>
      </c>
      <c r="Q19" s="62">
        <v>0.05</v>
      </c>
      <c r="R19" s="63"/>
      <c r="S19" s="63" t="s">
        <v>205</v>
      </c>
      <c r="U19" s="36"/>
      <c r="V19" s="36"/>
      <c r="W19" s="62"/>
      <c r="X19" s="63"/>
      <c r="Y19" s="63"/>
    </row>
    <row r="20" spans="2:25">
      <c r="B20" s="162" t="s">
        <v>215</v>
      </c>
      <c r="C20" s="162"/>
      <c r="D20" s="162"/>
      <c r="E20" s="162"/>
      <c r="H20" s="36" t="s">
        <v>46</v>
      </c>
      <c r="I20" s="36"/>
      <c r="J20" s="51">
        <v>0.05</v>
      </c>
      <c r="K20" s="63"/>
      <c r="L20" s="63"/>
      <c r="N20" s="48" t="s">
        <v>175</v>
      </c>
      <c r="O20" s="48" t="s">
        <v>181</v>
      </c>
      <c r="P20" s="48" t="s">
        <v>133</v>
      </c>
      <c r="Q20" s="62">
        <v>0.05</v>
      </c>
      <c r="R20" s="63"/>
      <c r="S20" s="63"/>
      <c r="U20" s="36"/>
      <c r="V20" s="36"/>
      <c r="W20" s="62"/>
      <c r="X20" s="63"/>
      <c r="Y20" s="63"/>
    </row>
    <row r="21" spans="2:25">
      <c r="B21" s="162" t="s">
        <v>280</v>
      </c>
      <c r="C21" s="162"/>
      <c r="D21" s="162"/>
      <c r="E21" s="162"/>
      <c r="H21" s="36" t="s">
        <v>110</v>
      </c>
      <c r="I21" s="36"/>
      <c r="J21" s="51">
        <v>0.05</v>
      </c>
      <c r="K21" s="63"/>
      <c r="L21" s="63"/>
      <c r="N21" s="48" t="s">
        <v>173</v>
      </c>
      <c r="O21" s="48" t="s">
        <v>188</v>
      </c>
      <c r="P21" s="48" t="s">
        <v>131</v>
      </c>
      <c r="Q21" s="62">
        <v>0.05</v>
      </c>
      <c r="R21" s="63"/>
      <c r="S21" s="63"/>
      <c r="U21" s="165" t="s">
        <v>140</v>
      </c>
      <c r="V21" s="165"/>
      <c r="W21" s="165"/>
      <c r="X21" s="63">
        <f>SUM(X9:X20)</f>
        <v>0</v>
      </c>
      <c r="Y21" s="63"/>
    </row>
    <row r="22" spans="2:25">
      <c r="H22" s="36" t="s">
        <v>113</v>
      </c>
      <c r="I22" s="36" t="s">
        <v>112</v>
      </c>
      <c r="J22" s="51">
        <v>0.05</v>
      </c>
      <c r="K22" s="63"/>
      <c r="L22" s="63"/>
      <c r="N22" s="48" t="s">
        <v>174</v>
      </c>
      <c r="O22" s="48" t="s">
        <v>189</v>
      </c>
      <c r="P22" s="48" t="s">
        <v>132</v>
      </c>
      <c r="Q22" s="62">
        <v>0.05</v>
      </c>
      <c r="R22" s="63"/>
      <c r="S22" s="63"/>
    </row>
    <row r="23" spans="2:25">
      <c r="B23" s="35" t="s">
        <v>281</v>
      </c>
      <c r="E23" s="112"/>
      <c r="H23" s="36" t="s">
        <v>87</v>
      </c>
      <c r="I23" s="36"/>
      <c r="J23" s="51">
        <v>0.05</v>
      </c>
      <c r="K23" s="63"/>
      <c r="L23" s="63"/>
      <c r="N23" s="48" t="s">
        <v>168</v>
      </c>
      <c r="O23" s="48" t="s">
        <v>181</v>
      </c>
      <c r="P23" s="48" t="s">
        <v>126</v>
      </c>
      <c r="Q23" s="62">
        <v>0.05</v>
      </c>
      <c r="R23" s="63"/>
      <c r="S23" s="63"/>
    </row>
    <row r="24" spans="2:25">
      <c r="B24" s="35" t="s">
        <v>282</v>
      </c>
      <c r="C24" s="113"/>
      <c r="H24" s="36" t="s">
        <v>71</v>
      </c>
      <c r="I24" s="36" t="s">
        <v>74</v>
      </c>
      <c r="J24" s="51">
        <v>0.05</v>
      </c>
      <c r="K24" s="63"/>
      <c r="L24" s="63"/>
      <c r="N24" s="48" t="s">
        <v>169</v>
      </c>
      <c r="O24" s="48" t="s">
        <v>185</v>
      </c>
      <c r="P24" s="48" t="s">
        <v>127</v>
      </c>
      <c r="Q24" s="62">
        <v>0.05</v>
      </c>
      <c r="R24" s="63"/>
      <c r="S24" s="63"/>
      <c r="U24" s="166" t="s">
        <v>196</v>
      </c>
      <c r="V24" s="166"/>
      <c r="W24" s="166"/>
      <c r="X24" s="166"/>
      <c r="Y24" s="35"/>
    </row>
    <row r="25" spans="2:25">
      <c r="H25" s="36" t="s">
        <v>49</v>
      </c>
      <c r="I25" s="36"/>
      <c r="J25" s="51">
        <v>0.05</v>
      </c>
      <c r="K25" s="63"/>
      <c r="L25" s="63"/>
      <c r="N25" s="48" t="s">
        <v>172</v>
      </c>
      <c r="O25" s="48" t="s">
        <v>181</v>
      </c>
      <c r="P25" s="48" t="s">
        <v>130</v>
      </c>
      <c r="Q25" s="62">
        <v>0.05</v>
      </c>
      <c r="R25" s="63"/>
      <c r="S25" s="63"/>
      <c r="U25" s="36" t="s">
        <v>67</v>
      </c>
      <c r="V25" s="36" t="s">
        <v>79</v>
      </c>
      <c r="W25" s="36" t="s">
        <v>114</v>
      </c>
      <c r="X25" s="36" t="s">
        <v>115</v>
      </c>
      <c r="Y25" s="36" t="s">
        <v>198</v>
      </c>
    </row>
    <row r="26" spans="2:25">
      <c r="B26" s="35" t="s">
        <v>283</v>
      </c>
      <c r="H26" s="36" t="s">
        <v>84</v>
      </c>
      <c r="I26" s="36"/>
      <c r="J26" s="51">
        <v>0.05</v>
      </c>
      <c r="K26" s="63"/>
      <c r="L26" s="63"/>
      <c r="N26" s="48" t="s">
        <v>162</v>
      </c>
      <c r="O26" s="48" t="s">
        <v>181</v>
      </c>
      <c r="P26" s="48" t="s">
        <v>120</v>
      </c>
      <c r="Q26" s="62">
        <v>0.05</v>
      </c>
      <c r="R26" s="63"/>
      <c r="S26" s="63"/>
      <c r="T26" s="54"/>
      <c r="U26" s="36" t="s">
        <v>25</v>
      </c>
      <c r="V26" s="36" t="s">
        <v>83</v>
      </c>
      <c r="W26" s="53">
        <v>0.05</v>
      </c>
      <c r="X26" s="63"/>
      <c r="Y26" s="47"/>
    </row>
    <row r="27" spans="2:25">
      <c r="B27" s="35" t="s">
        <v>23</v>
      </c>
      <c r="C27" s="35">
        <f>SUM('이름(LCxx-xx)'!R1)</f>
        <v>1</v>
      </c>
      <c r="H27" s="36" t="s">
        <v>95</v>
      </c>
      <c r="I27" s="36"/>
      <c r="J27" s="51">
        <v>0.05</v>
      </c>
      <c r="K27" s="63"/>
      <c r="L27" s="63"/>
      <c r="N27" s="36" t="s">
        <v>81</v>
      </c>
      <c r="O27" s="36" t="s">
        <v>201</v>
      </c>
      <c r="P27" s="36" t="s">
        <v>82</v>
      </c>
      <c r="Q27" s="62">
        <v>0.05</v>
      </c>
      <c r="R27" s="63"/>
      <c r="S27" s="63"/>
      <c r="U27" s="36" t="s">
        <v>213</v>
      </c>
      <c r="V27" s="36"/>
      <c r="W27" s="53">
        <v>0.05</v>
      </c>
      <c r="X27" s="63"/>
      <c r="Y27" s="47"/>
    </row>
    <row r="28" spans="2:25">
      <c r="B28" s="35" t="s">
        <v>24</v>
      </c>
      <c r="C28" s="44">
        <f>SUM('이름(LCxx-xx)'!R2)</f>
        <v>0</v>
      </c>
      <c r="E28" s="76"/>
      <c r="H28" s="36" t="s">
        <v>69</v>
      </c>
      <c r="I28" s="36"/>
      <c r="J28" s="51">
        <v>0.05</v>
      </c>
      <c r="K28" s="63"/>
      <c r="L28" s="63"/>
      <c r="N28" s="48" t="s">
        <v>161</v>
      </c>
      <c r="O28" s="48" t="s">
        <v>184</v>
      </c>
      <c r="P28" s="48" t="s">
        <v>119</v>
      </c>
      <c r="Q28" s="62">
        <v>0.05</v>
      </c>
      <c r="R28" s="63"/>
      <c r="S28" s="63"/>
      <c r="U28" s="36" t="s">
        <v>139</v>
      </c>
      <c r="V28" s="36" t="s">
        <v>80</v>
      </c>
      <c r="W28" s="53">
        <v>0.05</v>
      </c>
      <c r="X28" s="63"/>
      <c r="Y28" s="47"/>
    </row>
    <row r="29" spans="2:25">
      <c r="C29" s="45"/>
      <c r="E29" s="76"/>
      <c r="H29" s="36" t="s">
        <v>92</v>
      </c>
      <c r="I29" s="36"/>
      <c r="J29" s="51">
        <v>0.05</v>
      </c>
      <c r="K29" s="63"/>
      <c r="L29" s="63"/>
      <c r="N29" s="48" t="s">
        <v>179</v>
      </c>
      <c r="O29" s="48" t="s">
        <v>192</v>
      </c>
      <c r="P29" s="49" t="s">
        <v>137</v>
      </c>
      <c r="Q29" s="62">
        <v>0.05</v>
      </c>
      <c r="R29" s="63"/>
      <c r="S29" s="63"/>
      <c r="U29" s="36" t="s">
        <v>229</v>
      </c>
      <c r="V29" s="36"/>
      <c r="W29" s="53">
        <v>0.05</v>
      </c>
      <c r="X29" s="63"/>
      <c r="Y29" s="47" t="s">
        <v>231</v>
      </c>
    </row>
    <row r="30" spans="2:25">
      <c r="B30" s="35" t="s">
        <v>141</v>
      </c>
      <c r="C30" s="44">
        <f>K58+R36+X21+X32</f>
        <v>0</v>
      </c>
      <c r="D30" s="65"/>
      <c r="H30" s="36" t="s">
        <v>93</v>
      </c>
      <c r="I30" s="36"/>
      <c r="J30" s="51">
        <v>0.05</v>
      </c>
      <c r="K30" s="63"/>
      <c r="L30" s="63" t="s">
        <v>199</v>
      </c>
      <c r="N30" s="48" t="s">
        <v>180</v>
      </c>
      <c r="O30" s="48" t="s">
        <v>192</v>
      </c>
      <c r="P30" s="48" t="s">
        <v>136</v>
      </c>
      <c r="Q30" s="62">
        <v>0.05</v>
      </c>
      <c r="R30" s="63"/>
      <c r="S30" s="63"/>
      <c r="U30" s="36" t="s">
        <v>202</v>
      </c>
      <c r="V30" s="36" t="s">
        <v>203</v>
      </c>
      <c r="W30" s="53">
        <v>0.05</v>
      </c>
      <c r="X30" s="36"/>
      <c r="Y30" s="63" t="s">
        <v>199</v>
      </c>
    </row>
    <row r="31" spans="2:25">
      <c r="H31" s="36" t="s">
        <v>54</v>
      </c>
      <c r="I31" s="36"/>
      <c r="J31" s="51">
        <v>0.05</v>
      </c>
      <c r="K31" s="63"/>
      <c r="L31" s="63"/>
      <c r="N31" s="48" t="s">
        <v>53</v>
      </c>
      <c r="O31" s="48" t="s">
        <v>186</v>
      </c>
      <c r="P31" s="48" t="s">
        <v>124</v>
      </c>
      <c r="Q31" s="62">
        <v>0.05</v>
      </c>
      <c r="R31" s="63"/>
      <c r="S31" s="63"/>
      <c r="U31" s="36"/>
      <c r="V31" s="36"/>
      <c r="W31" s="53"/>
      <c r="X31" s="63"/>
      <c r="Y31" s="47"/>
    </row>
    <row r="32" spans="2:25">
      <c r="C32" s="64"/>
      <c r="D32" s="64"/>
      <c r="E32" s="45"/>
      <c r="H32" s="36" t="s">
        <v>207</v>
      </c>
      <c r="I32" s="36"/>
      <c r="J32" s="51">
        <v>0.05</v>
      </c>
      <c r="K32" s="52"/>
      <c r="L32" s="52"/>
      <c r="N32" s="48" t="s">
        <v>170</v>
      </c>
      <c r="O32" s="48" t="s">
        <v>187</v>
      </c>
      <c r="P32" s="48" t="s">
        <v>128</v>
      </c>
      <c r="Q32" s="62">
        <v>0.05</v>
      </c>
      <c r="R32" s="63"/>
      <c r="S32" s="63"/>
      <c r="U32" s="165" t="s">
        <v>140</v>
      </c>
      <c r="V32" s="165"/>
      <c r="W32" s="165"/>
      <c r="X32" s="63">
        <f>SUM(X26:X31)</f>
        <v>0</v>
      </c>
      <c r="Y32" s="47"/>
    </row>
    <row r="33" spans="2:19">
      <c r="B33" s="35" t="s">
        <v>214</v>
      </c>
      <c r="H33" s="36" t="s">
        <v>211</v>
      </c>
      <c r="I33" s="36"/>
      <c r="J33" s="51">
        <v>0.05</v>
      </c>
      <c r="K33" s="52"/>
      <c r="L33" s="52"/>
      <c r="N33" s="48" t="s">
        <v>177</v>
      </c>
      <c r="O33" s="48" t="s">
        <v>190</v>
      </c>
      <c r="P33" s="48" t="s">
        <v>157</v>
      </c>
      <c r="Q33" s="62">
        <v>0.05</v>
      </c>
      <c r="R33" s="63"/>
      <c r="S33" s="63"/>
    </row>
    <row r="34" spans="2:19">
      <c r="B34" s="35" t="s">
        <v>240</v>
      </c>
      <c r="C34" s="50" t="s">
        <v>241</v>
      </c>
      <c r="D34" s="50" t="s">
        <v>242</v>
      </c>
      <c r="H34" s="36" t="s">
        <v>200</v>
      </c>
      <c r="I34" s="36"/>
      <c r="J34" s="51">
        <v>0.05</v>
      </c>
      <c r="K34" s="63"/>
      <c r="L34" s="63" t="s">
        <v>199</v>
      </c>
      <c r="N34" s="48" t="s">
        <v>176</v>
      </c>
      <c r="O34" s="48" t="s">
        <v>185</v>
      </c>
      <c r="P34" s="48" t="s">
        <v>134</v>
      </c>
      <c r="Q34" s="62">
        <v>0.05</v>
      </c>
      <c r="R34" s="63"/>
      <c r="S34" s="63"/>
    </row>
    <row r="35" spans="2:19">
      <c r="B35" s="35" t="s">
        <v>243</v>
      </c>
      <c r="D35" s="64"/>
      <c r="H35" s="36" t="s">
        <v>51</v>
      </c>
      <c r="I35" s="36"/>
      <c r="J35" s="51">
        <v>0.05</v>
      </c>
      <c r="K35" s="63"/>
      <c r="L35" s="63"/>
      <c r="N35" s="36"/>
      <c r="O35" s="36"/>
      <c r="P35" s="36"/>
      <c r="Q35" s="62"/>
      <c r="R35" s="63"/>
      <c r="S35" s="63"/>
    </row>
    <row r="36" spans="2:19">
      <c r="B36" s="35" t="s">
        <v>244</v>
      </c>
      <c r="D36" s="64"/>
      <c r="H36" s="36" t="s">
        <v>197</v>
      </c>
      <c r="I36" s="36"/>
      <c r="J36" s="51">
        <v>0.05</v>
      </c>
      <c r="K36" s="63"/>
      <c r="L36" s="63"/>
      <c r="N36" s="165" t="s">
        <v>140</v>
      </c>
      <c r="O36" s="165"/>
      <c r="P36" s="165"/>
      <c r="Q36" s="165"/>
      <c r="R36" s="52">
        <f>SUM(R9:R35)</f>
        <v>0</v>
      </c>
      <c r="S36" s="52"/>
    </row>
    <row r="37" spans="2:19">
      <c r="D37" s="64"/>
      <c r="H37" s="36" t="s">
        <v>256</v>
      </c>
      <c r="I37" s="36"/>
      <c r="J37" s="62">
        <v>0.05</v>
      </c>
      <c r="K37" s="63"/>
      <c r="L37" s="63"/>
    </row>
    <row r="38" spans="2:19">
      <c r="D38" s="64"/>
      <c r="H38" s="36" t="s">
        <v>236</v>
      </c>
      <c r="I38" s="36"/>
      <c r="J38" s="62">
        <v>0.05</v>
      </c>
      <c r="K38" s="63"/>
      <c r="L38" s="63"/>
    </row>
    <row r="39" spans="2:19">
      <c r="D39" s="70">
        <f>SUM(D35:D38)</f>
        <v>0</v>
      </c>
      <c r="E39" s="66">
        <f>D39/C4</f>
        <v>0</v>
      </c>
      <c r="H39" s="36" t="s">
        <v>235</v>
      </c>
      <c r="I39" s="36"/>
      <c r="J39" s="62">
        <v>0.05</v>
      </c>
      <c r="K39" s="63"/>
      <c r="L39" s="63"/>
    </row>
    <row r="40" spans="2:19">
      <c r="H40" s="36" t="s">
        <v>85</v>
      </c>
      <c r="I40" s="36"/>
      <c r="J40" s="51">
        <v>0.05</v>
      </c>
      <c r="K40" s="63"/>
      <c r="L40" s="63"/>
    </row>
    <row r="41" spans="2:19">
      <c r="H41" s="36" t="s">
        <v>89</v>
      </c>
      <c r="I41" s="36"/>
      <c r="J41" s="51">
        <v>0.05</v>
      </c>
      <c r="K41" s="63"/>
      <c r="L41" s="63"/>
    </row>
    <row r="42" spans="2:19">
      <c r="B42" s="67" t="s">
        <v>206</v>
      </c>
      <c r="C42" s="68">
        <f>C28-E39</f>
        <v>0</v>
      </c>
      <c r="H42" s="36" t="s">
        <v>86</v>
      </c>
      <c r="I42" s="36"/>
      <c r="J42" s="51">
        <v>0.05</v>
      </c>
      <c r="K42" s="63"/>
      <c r="L42" s="63"/>
    </row>
    <row r="43" spans="2:19">
      <c r="H43" s="36" t="s">
        <v>101</v>
      </c>
      <c r="I43" s="36"/>
      <c r="J43" s="51">
        <v>0.05</v>
      </c>
      <c r="K43" s="52"/>
      <c r="L43" s="52"/>
      <c r="N43" s="35"/>
      <c r="O43" s="35"/>
      <c r="P43" s="35"/>
      <c r="Q43" s="35"/>
    </row>
    <row r="44" spans="2:19">
      <c r="H44" s="36" t="s">
        <v>222</v>
      </c>
      <c r="I44" s="36"/>
      <c r="J44" s="51">
        <v>0.05</v>
      </c>
      <c r="K44" s="52"/>
      <c r="L44" s="52"/>
    </row>
    <row r="45" spans="2:19">
      <c r="H45" s="36" t="s">
        <v>97</v>
      </c>
      <c r="I45" s="36"/>
      <c r="J45" s="51">
        <v>0.05</v>
      </c>
      <c r="K45" s="52"/>
      <c r="L45" s="52"/>
    </row>
    <row r="46" spans="2:19">
      <c r="H46" s="36" t="s">
        <v>109</v>
      </c>
      <c r="I46" s="36"/>
      <c r="J46" s="51">
        <v>0.05</v>
      </c>
      <c r="K46" s="52"/>
      <c r="L46" s="52"/>
    </row>
    <row r="47" spans="2:19">
      <c r="H47" s="36" t="s">
        <v>99</v>
      </c>
      <c r="I47" s="36"/>
      <c r="J47" s="51">
        <v>0.05</v>
      </c>
      <c r="K47" s="52"/>
      <c r="L47" s="52"/>
    </row>
    <row r="48" spans="2:19">
      <c r="H48" s="36" t="s">
        <v>102</v>
      </c>
      <c r="I48" s="36"/>
      <c r="J48" s="51">
        <v>0.05</v>
      </c>
      <c r="K48" s="52"/>
      <c r="L48" s="52"/>
      <c r="N48" s="35"/>
      <c r="O48" s="35"/>
      <c r="P48" s="35"/>
      <c r="Q48" s="35"/>
    </row>
    <row r="49" spans="8:12">
      <c r="H49" s="36" t="s">
        <v>98</v>
      </c>
      <c r="I49" s="36"/>
      <c r="J49" s="51">
        <v>0.05</v>
      </c>
      <c r="K49" s="52"/>
      <c r="L49" s="52"/>
    </row>
    <row r="50" spans="8:12">
      <c r="H50" s="36" t="s">
        <v>106</v>
      </c>
      <c r="I50" s="36"/>
      <c r="J50" s="51">
        <v>0.05</v>
      </c>
      <c r="K50" s="52"/>
      <c r="L50" s="52"/>
    </row>
    <row r="51" spans="8:12">
      <c r="H51" s="36" t="s">
        <v>246</v>
      </c>
      <c r="I51" s="36"/>
      <c r="J51" s="62">
        <v>0.05</v>
      </c>
      <c r="K51" s="63"/>
      <c r="L51" s="63"/>
    </row>
    <row r="52" spans="8:12">
      <c r="H52" s="36" t="s">
        <v>91</v>
      </c>
      <c r="I52" s="36"/>
      <c r="J52" s="51">
        <v>0.05</v>
      </c>
      <c r="K52" s="52"/>
      <c r="L52" s="52"/>
    </row>
    <row r="53" spans="8:12">
      <c r="H53" s="36" t="s">
        <v>105</v>
      </c>
      <c r="I53" s="36"/>
      <c r="J53" s="51">
        <v>0.05</v>
      </c>
      <c r="K53" s="52"/>
      <c r="L53" s="52"/>
    </row>
    <row r="54" spans="8:12">
      <c r="H54" s="36" t="s">
        <v>94</v>
      </c>
      <c r="I54" s="36"/>
      <c r="J54" s="51">
        <v>0.05</v>
      </c>
      <c r="K54" s="52"/>
      <c r="L54" s="52"/>
    </row>
    <row r="55" spans="8:12">
      <c r="H55" s="36" t="s">
        <v>232</v>
      </c>
      <c r="I55" s="36"/>
      <c r="J55" s="51">
        <v>0.05</v>
      </c>
      <c r="K55" s="52"/>
      <c r="L55" s="52"/>
    </row>
    <row r="56" spans="8:12">
      <c r="H56" s="36" t="s">
        <v>104</v>
      </c>
      <c r="I56" s="36"/>
      <c r="J56" s="51">
        <v>0.05</v>
      </c>
      <c r="K56" s="52"/>
      <c r="L56" s="52"/>
    </row>
    <row r="57" spans="8:12">
      <c r="H57" s="36"/>
      <c r="I57" s="36"/>
      <c r="J57" s="51"/>
      <c r="K57" s="52"/>
      <c r="L57" s="52"/>
    </row>
    <row r="58" spans="8:12">
      <c r="H58" s="165" t="s">
        <v>140</v>
      </c>
      <c r="I58" s="165"/>
      <c r="J58" s="165"/>
      <c r="K58" s="55">
        <f>SUM(K9:K57)</f>
        <v>0</v>
      </c>
      <c r="L58" s="55"/>
    </row>
    <row r="59" spans="8:12">
      <c r="H59" s="50"/>
      <c r="I59" s="50"/>
      <c r="J59" s="50"/>
      <c r="K59" s="50"/>
      <c r="L59" s="50"/>
    </row>
    <row r="60" spans="8:12">
      <c r="H60" s="50"/>
      <c r="I60" s="50"/>
      <c r="J60" s="50"/>
      <c r="K60" s="50"/>
      <c r="L60" s="50"/>
    </row>
  </sheetData>
  <autoFilter ref="U25:Y25" xr:uid="{00000000-0009-0000-0000-000000000000}">
    <sortState xmlns:xlrd2="http://schemas.microsoft.com/office/spreadsheetml/2017/richdata2" ref="U26:Y30">
      <sortCondition ref="U25"/>
    </sortState>
  </autoFilter>
  <mergeCells count="18">
    <mergeCell ref="H58:J58"/>
    <mergeCell ref="H3:K3"/>
    <mergeCell ref="N3:Q3"/>
    <mergeCell ref="U3:X3"/>
    <mergeCell ref="H4:I4"/>
    <mergeCell ref="J4:K4"/>
    <mergeCell ref="N4:O4"/>
    <mergeCell ref="P4:Q4"/>
    <mergeCell ref="U4:V4"/>
    <mergeCell ref="W4:X4"/>
    <mergeCell ref="U24:X24"/>
    <mergeCell ref="U32:W32"/>
    <mergeCell ref="N36:Q36"/>
    <mergeCell ref="B20:E20"/>
    <mergeCell ref="B21:E21"/>
    <mergeCell ref="B1:E1"/>
    <mergeCell ref="H1:L1"/>
    <mergeCell ref="U21:W21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7.399999999999999"/>
  <cols>
    <col min="1" max="1" width="9.59765625" style="56" bestFit="1" customWidth="1"/>
    <col min="2" max="2" width="95.09765625" style="56" bestFit="1" customWidth="1"/>
    <col min="3" max="3" width="68" style="56" bestFit="1" customWidth="1"/>
    <col min="4" max="16384" width="9" style="56"/>
  </cols>
  <sheetData>
    <row r="1" spans="1:3">
      <c r="A1" s="57" t="s">
        <v>142</v>
      </c>
      <c r="B1" s="57" t="s">
        <v>143</v>
      </c>
      <c r="C1" s="57" t="s">
        <v>144</v>
      </c>
    </row>
    <row r="2" spans="1:3">
      <c r="A2" s="57" t="s">
        <v>31</v>
      </c>
      <c r="B2" s="58" t="s">
        <v>47</v>
      </c>
      <c r="C2" s="58" t="s">
        <v>145</v>
      </c>
    </row>
    <row r="3" spans="1:3">
      <c r="A3" s="57" t="s">
        <v>32</v>
      </c>
      <c r="B3" s="58" t="s">
        <v>146</v>
      </c>
      <c r="C3" s="58"/>
    </row>
    <row r="4" spans="1:3">
      <c r="A4" s="57" t="s">
        <v>39</v>
      </c>
      <c r="B4" s="58" t="s">
        <v>154</v>
      </c>
      <c r="C4" s="58"/>
    </row>
    <row r="5" spans="1:3">
      <c r="A5" s="57" t="s">
        <v>33</v>
      </c>
      <c r="B5" s="58" t="s">
        <v>50</v>
      </c>
      <c r="C5" s="58" t="s">
        <v>147</v>
      </c>
    </row>
    <row r="6" spans="1:3">
      <c r="A6" s="57" t="s">
        <v>40</v>
      </c>
      <c r="B6" s="58" t="s">
        <v>55</v>
      </c>
      <c r="C6" s="58"/>
    </row>
    <row r="7" spans="1:3">
      <c r="A7" s="57" t="s">
        <v>43</v>
      </c>
      <c r="B7" s="58" t="s">
        <v>59</v>
      </c>
      <c r="C7" s="58"/>
    </row>
    <row r="8" spans="1:3">
      <c r="A8" s="57" t="s">
        <v>41</v>
      </c>
      <c r="B8" s="58" t="s">
        <v>56</v>
      </c>
      <c r="C8" s="58"/>
    </row>
    <row r="9" spans="1:3">
      <c r="A9" s="57" t="s">
        <v>42</v>
      </c>
      <c r="B9" s="58" t="s">
        <v>57</v>
      </c>
      <c r="C9" s="58" t="s">
        <v>148</v>
      </c>
    </row>
    <row r="10" spans="1:3">
      <c r="A10" s="57" t="s">
        <v>45</v>
      </c>
      <c r="B10" s="58" t="s">
        <v>61</v>
      </c>
      <c r="C10" s="58" t="s">
        <v>149</v>
      </c>
    </row>
    <row r="11" spans="1:3">
      <c r="A11" s="57" t="s">
        <v>34</v>
      </c>
      <c r="B11" s="58" t="s">
        <v>52</v>
      </c>
      <c r="C11" s="58"/>
    </row>
    <row r="12" spans="1:3">
      <c r="A12" s="59" t="s">
        <v>35</v>
      </c>
      <c r="B12" s="60" t="s">
        <v>150</v>
      </c>
      <c r="C12" s="60" t="s">
        <v>156</v>
      </c>
    </row>
    <row r="13" spans="1:3">
      <c r="A13" s="57" t="s">
        <v>36</v>
      </c>
      <c r="B13" s="58" t="s">
        <v>151</v>
      </c>
      <c r="C13" s="58"/>
    </row>
    <row r="14" spans="1:3">
      <c r="A14" s="57" t="s">
        <v>37</v>
      </c>
      <c r="B14" s="58" t="s">
        <v>152</v>
      </c>
      <c r="C14" s="58" t="s">
        <v>153</v>
      </c>
    </row>
    <row r="15" spans="1:3">
      <c r="A15" s="57"/>
      <c r="B15" s="58" t="s">
        <v>58</v>
      </c>
      <c r="C15" s="58"/>
    </row>
    <row r="16" spans="1:3">
      <c r="A16" s="57" t="s">
        <v>38</v>
      </c>
      <c r="B16" s="58" t="s">
        <v>155</v>
      </c>
      <c r="C16" s="58"/>
    </row>
    <row r="17" spans="1:3">
      <c r="A17" s="57" t="s">
        <v>44</v>
      </c>
      <c r="B17" s="58" t="s">
        <v>60</v>
      </c>
      <c r="C17" s="58"/>
    </row>
  </sheetData>
  <phoneticPr fontId="3" type="noConversion"/>
  <pageMargins left="0.25" right="0.25" top="0.75" bottom="0.75" header="0.3" footer="0.3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M11" sqref="M11"/>
    </sheetView>
  </sheetViews>
  <sheetFormatPr defaultColWidth="9" defaultRowHeight="17.399999999999999"/>
  <cols>
    <col min="1" max="1" width="28.19921875" style="1" customWidth="1"/>
    <col min="2" max="2" width="42.3984375" style="1" customWidth="1"/>
    <col min="3" max="3" width="17.69921875" style="1" bestFit="1" customWidth="1"/>
    <col min="4" max="4" width="19.3984375" style="1" bestFit="1" customWidth="1"/>
    <col min="5" max="5" width="37.3984375" style="1" bestFit="1" customWidth="1"/>
    <col min="6" max="6" width="51.09765625" style="1" bestFit="1" customWidth="1"/>
    <col min="7" max="9" width="16.8984375" style="1" customWidth="1"/>
    <col min="10" max="10" width="39.09765625" style="1" bestFit="1" customWidth="1"/>
    <col min="11" max="11" width="51.69921875" style="1" bestFit="1" customWidth="1"/>
    <col min="12" max="12" width="49.3984375" style="1" bestFit="1" customWidth="1"/>
    <col min="13" max="13" width="39.3984375" style="1" bestFit="1" customWidth="1"/>
    <col min="14" max="14" width="46.19921875" style="1" customWidth="1"/>
    <col min="15" max="15" width="10.8984375" style="1" bestFit="1" customWidth="1"/>
    <col min="16" max="16" width="10.5" style="1" bestFit="1" customWidth="1"/>
    <col min="17" max="17" width="9" style="1"/>
    <col min="18" max="18" width="30.8984375" style="1" customWidth="1"/>
    <col min="19" max="19" width="9" style="1"/>
    <col min="20" max="23" width="36.3984375" style="1" bestFit="1" customWidth="1"/>
    <col min="24" max="16384" width="9" style="1"/>
  </cols>
  <sheetData>
    <row r="1" spans="1:23" ht="162" customHeight="1">
      <c r="C1" s="143" t="s">
        <v>287</v>
      </c>
      <c r="D1" s="143"/>
      <c r="E1" s="143"/>
      <c r="F1" s="143"/>
      <c r="G1" s="143"/>
      <c r="H1" s="143"/>
      <c r="I1" s="143"/>
      <c r="J1" s="143"/>
      <c r="K1" s="143"/>
      <c r="L1" s="86" t="s">
        <v>259</v>
      </c>
      <c r="M1" s="139" t="s">
        <v>284</v>
      </c>
      <c r="N1" s="140"/>
      <c r="R1" s="23">
        <f>D11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39.9" customHeight="1">
      <c r="A2" s="22" t="s">
        <v>3</v>
      </c>
      <c r="B2" s="114" t="s">
        <v>4</v>
      </c>
      <c r="C2" s="114"/>
      <c r="D2" s="22" t="s">
        <v>5</v>
      </c>
      <c r="E2" s="141" t="s">
        <v>285</v>
      </c>
      <c r="F2" s="141"/>
      <c r="G2" s="142"/>
      <c r="H2" s="142"/>
      <c r="I2" s="149" t="s">
        <v>193</v>
      </c>
      <c r="J2" s="150"/>
      <c r="K2" s="151"/>
      <c r="L2" s="158" t="s">
        <v>247</v>
      </c>
      <c r="M2" s="159"/>
      <c r="N2" s="147"/>
      <c r="R2" s="24">
        <f>N16</f>
        <v>0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" customHeight="1">
      <c r="A3" s="22" t="s">
        <v>6</v>
      </c>
      <c r="B3" s="114" t="s">
        <v>225</v>
      </c>
      <c r="C3" s="114"/>
      <c r="D3" s="114"/>
      <c r="E3" s="114"/>
      <c r="F3" s="114"/>
      <c r="G3" s="114"/>
      <c r="H3" s="114"/>
      <c r="I3" s="152"/>
      <c r="J3" s="153"/>
      <c r="K3" s="154"/>
      <c r="L3" s="160"/>
      <c r="M3" s="161"/>
      <c r="N3" s="148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" customHeight="1">
      <c r="A4" s="22" t="s">
        <v>7</v>
      </c>
      <c r="B4" s="114" t="s">
        <v>8</v>
      </c>
      <c r="C4" s="114"/>
      <c r="D4" s="114"/>
      <c r="E4" s="114"/>
      <c r="F4" s="114"/>
      <c r="G4" s="114"/>
      <c r="H4" s="114"/>
      <c r="I4" s="155" t="s">
        <v>9</v>
      </c>
      <c r="J4" s="156"/>
      <c r="K4" s="157"/>
      <c r="L4" s="144" t="s">
        <v>248</v>
      </c>
      <c r="M4" s="145"/>
      <c r="N4" s="146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217</v>
      </c>
      <c r="F5" s="81" t="s">
        <v>218</v>
      </c>
      <c r="G5" s="114" t="s">
        <v>258</v>
      </c>
      <c r="H5" s="114"/>
      <c r="I5" s="114"/>
      <c r="J5" s="22" t="s">
        <v>219</v>
      </c>
      <c r="K5" s="82" t="s">
        <v>220</v>
      </c>
      <c r="L5" s="81" t="s">
        <v>252</v>
      </c>
      <c r="M5" s="82" t="s">
        <v>253</v>
      </c>
      <c r="N5" s="83" t="s">
        <v>221</v>
      </c>
    </row>
    <row r="6" spans="1:23" s="2" customFormat="1" ht="39.9" customHeight="1">
      <c r="A6" s="22">
        <v>1</v>
      </c>
      <c r="B6" s="25" t="s">
        <v>286</v>
      </c>
      <c r="C6" s="69">
        <f>VLOOKUP(MAX(E6,J6),'Row data'!$C$9:$D$15,2,TRUE)</f>
        <v>13.4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data'!$D$9&gt;=C6*F6,'Row data'!$D$9,C6*F6)))</f>
        <v>0</v>
      </c>
      <c r="M6" s="21">
        <f>(IF(0=K6*C6,0,IF('Row data'!$D$9&gt;=K6*C6,'Row data'!$D$9,K6*C6)))</f>
        <v>0</v>
      </c>
      <c r="N6" s="8">
        <f>MAX(L6:M6)</f>
        <v>0</v>
      </c>
    </row>
    <row r="7" spans="1:23" s="2" customFormat="1" ht="39.9" customHeight="1">
      <c r="A7" s="22">
        <v>2</v>
      </c>
      <c r="B7" s="25"/>
      <c r="C7" s="69"/>
      <c r="D7" s="4"/>
      <c r="E7" s="5"/>
      <c r="F7" s="5"/>
      <c r="G7" s="46"/>
      <c r="H7" s="46"/>
      <c r="I7" s="46"/>
      <c r="J7" s="6"/>
      <c r="K7" s="7"/>
      <c r="L7" s="21"/>
      <c r="M7" s="21"/>
      <c r="N7" s="8"/>
    </row>
    <row r="8" spans="1:23" s="2" customFormat="1" ht="39.9" customHeight="1">
      <c r="A8" s="22">
        <v>3</v>
      </c>
      <c r="B8" s="25"/>
      <c r="C8" s="69"/>
      <c r="D8" s="4"/>
      <c r="E8" s="5"/>
      <c r="F8" s="5"/>
      <c r="G8" s="46"/>
      <c r="H8" s="46"/>
      <c r="I8" s="46"/>
      <c r="J8" s="6"/>
      <c r="K8" s="7"/>
      <c r="L8" s="21"/>
      <c r="M8" s="21"/>
      <c r="N8" s="8"/>
    </row>
    <row r="9" spans="1:23" s="2" customFormat="1" ht="39.9" customHeight="1">
      <c r="A9" s="22">
        <v>4</v>
      </c>
      <c r="B9" s="25"/>
      <c r="C9" s="69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" customHeight="1">
      <c r="A10" s="22">
        <v>5</v>
      </c>
      <c r="B10" s="25"/>
      <c r="C10" s="69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" customHeight="1">
      <c r="A11" s="114" t="s">
        <v>14</v>
      </c>
      <c r="B11" s="114"/>
      <c r="C11" s="114"/>
      <c r="D11" s="4">
        <f>SUM(D6:D10)</f>
        <v>1</v>
      </c>
      <c r="E11" s="9"/>
      <c r="F11" s="71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15" t="s">
        <v>226</v>
      </c>
      <c r="B12" s="115"/>
      <c r="C12" s="115"/>
      <c r="D12" s="115"/>
      <c r="E12" s="115"/>
      <c r="F12" s="115" t="s">
        <v>227</v>
      </c>
      <c r="G12" s="115"/>
      <c r="H12" s="115"/>
      <c r="I12" s="115"/>
      <c r="J12" s="115"/>
      <c r="K12" s="115"/>
      <c r="L12" s="114" t="s">
        <v>15</v>
      </c>
      <c r="M12" s="114"/>
      <c r="N12" s="84">
        <f>SUM(N6:N11)</f>
        <v>0</v>
      </c>
      <c r="P12" s="23"/>
    </row>
    <row r="13" spans="1:23" s="2" customFormat="1" ht="52.95" customHeight="1">
      <c r="A13" s="116" t="s">
        <v>288</v>
      </c>
      <c r="B13" s="115"/>
      <c r="C13" s="115"/>
      <c r="D13" s="115"/>
      <c r="E13" s="115"/>
      <c r="F13" s="118"/>
      <c r="G13" s="118"/>
      <c r="H13" s="118"/>
      <c r="I13" s="118"/>
      <c r="J13" s="118"/>
      <c r="K13" s="118"/>
      <c r="L13" s="87" t="s">
        <v>16</v>
      </c>
      <c r="M13" s="91" t="str">
        <f>IFERROR(MID($A$13,FIND(" "&amp;$L$13&amp;" ",$A$13)+4,3)," ")</f>
        <v xml:space="preserve"> </v>
      </c>
      <c r="N13" s="85">
        <f>IFERROR(N12*M13,0)</f>
        <v>0</v>
      </c>
    </row>
    <row r="14" spans="1:23" s="2" customFormat="1" ht="52.95" customHeight="1">
      <c r="A14" s="115"/>
      <c r="B14" s="115"/>
      <c r="C14" s="115"/>
      <c r="D14" s="115"/>
      <c r="E14" s="115"/>
      <c r="F14" s="118"/>
      <c r="G14" s="118"/>
      <c r="H14" s="118"/>
      <c r="I14" s="118"/>
      <c r="J14" s="118"/>
      <c r="K14" s="118"/>
      <c r="L14" s="87" t="s">
        <v>260</v>
      </c>
      <c r="M14" s="91" t="str">
        <f>IFERROR(MID($A$13,FIND(" "&amp;$L$14&amp;" ",$A$13)+6,3)," ")</f>
        <v xml:space="preserve"> </v>
      </c>
      <c r="N14" s="85">
        <f>IFERROR(N12*M14,0)</f>
        <v>0</v>
      </c>
    </row>
    <row r="15" spans="1:23" s="2" customFormat="1" ht="52.95" customHeight="1">
      <c r="A15" s="115"/>
      <c r="B15" s="115"/>
      <c r="C15" s="115"/>
      <c r="D15" s="115"/>
      <c r="E15" s="115"/>
      <c r="F15" s="118"/>
      <c r="G15" s="118"/>
      <c r="H15" s="118"/>
      <c r="I15" s="118"/>
      <c r="J15" s="118"/>
      <c r="K15" s="118"/>
      <c r="L15" s="87" t="s">
        <v>261</v>
      </c>
      <c r="M15" s="91" t="str">
        <f>IFERROR(IF(FIND("세금 계산서",$A$13),10%," ")," ")</f>
        <v xml:space="preserve"> </v>
      </c>
      <c r="N15" s="85">
        <f>IFERROR((N12-N13-N14)*M15,0)</f>
        <v>0</v>
      </c>
    </row>
    <row r="16" spans="1:23" s="2" customFormat="1" ht="54" customHeight="1">
      <c r="A16" s="115"/>
      <c r="B16" s="115"/>
      <c r="C16" s="115"/>
      <c r="D16" s="115"/>
      <c r="E16" s="115"/>
      <c r="F16" s="118"/>
      <c r="G16" s="118"/>
      <c r="H16" s="118"/>
      <c r="I16" s="118"/>
      <c r="J16" s="118"/>
      <c r="K16" s="118"/>
      <c r="L16" s="119" t="s">
        <v>228</v>
      </c>
      <c r="M16" s="88" t="s">
        <v>17</v>
      </c>
      <c r="N16" s="72">
        <f>(N12-N13-N14+N15)</f>
        <v>0</v>
      </c>
    </row>
    <row r="17" spans="1:14" s="2" customFormat="1" ht="46.5" customHeight="1">
      <c r="A17" s="115"/>
      <c r="B17" s="115"/>
      <c r="C17" s="115"/>
      <c r="D17" s="115"/>
      <c r="E17" s="115"/>
      <c r="F17" s="118"/>
      <c r="G17" s="118"/>
      <c r="H17" s="118"/>
      <c r="I17" s="118"/>
      <c r="J17" s="118"/>
      <c r="K17" s="118"/>
      <c r="L17" s="120"/>
      <c r="M17" s="89" t="s">
        <v>18</v>
      </c>
      <c r="N17" s="73">
        <f>ROUNDUP((N16*$W$2),-3)</f>
        <v>0</v>
      </c>
    </row>
    <row r="18" spans="1:14" s="2" customFormat="1" ht="46.5" customHeight="1">
      <c r="A18" s="115"/>
      <c r="B18" s="115"/>
      <c r="C18" s="115"/>
      <c r="D18" s="115"/>
      <c r="E18" s="115"/>
      <c r="F18" s="118"/>
      <c r="G18" s="118"/>
      <c r="H18" s="118"/>
      <c r="I18" s="118"/>
      <c r="J18" s="118"/>
      <c r="K18" s="118"/>
      <c r="L18" s="120"/>
      <c r="M18" s="90" t="s">
        <v>19</v>
      </c>
      <c r="N18" s="74">
        <f>ROUNDUP((N16*$W$3),-1)</f>
        <v>0</v>
      </c>
    </row>
    <row r="19" spans="1:14" s="2" customFormat="1" ht="52.95" customHeight="1">
      <c r="A19" s="117"/>
      <c r="B19" s="117"/>
      <c r="C19" s="117"/>
      <c r="D19" s="117"/>
      <c r="E19" s="117"/>
      <c r="F19" s="118"/>
      <c r="G19" s="118"/>
      <c r="H19" s="118"/>
      <c r="I19" s="118"/>
      <c r="J19" s="118"/>
      <c r="K19" s="118"/>
      <c r="L19" s="120"/>
      <c r="M19" s="14" t="s">
        <v>20</v>
      </c>
      <c r="N19" s="75">
        <f>ROUNDUP((N16*$W$4),-2)</f>
        <v>0</v>
      </c>
    </row>
    <row r="20" spans="1:14" s="2" customFormat="1" ht="297" customHeight="1">
      <c r="A20" s="92"/>
      <c r="B20" s="92"/>
      <c r="C20" s="93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</row>
    <row r="21" spans="1:14" s="2" customFormat="1" ht="39.9" customHeight="1">
      <c r="A21" s="122" t="s">
        <v>289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</row>
    <row r="22" spans="1:14" s="2" customFormat="1" ht="39.9" customHeight="1">
      <c r="A22" s="123" t="s">
        <v>230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</row>
    <row r="23" spans="1:14" s="2" customFormat="1" ht="39.9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</row>
    <row r="24" spans="1:14" s="2" customFormat="1" ht="39.9" customHeight="1">
      <c r="A24" s="124" t="s">
        <v>21</v>
      </c>
      <c r="B24" s="125"/>
      <c r="C24" s="130"/>
      <c r="D24" s="131"/>
      <c r="E24" s="132"/>
      <c r="F24" s="26"/>
      <c r="G24" s="15"/>
      <c r="H24" s="15"/>
      <c r="I24" s="15"/>
      <c r="J24" s="15"/>
      <c r="K24" s="114" t="s">
        <v>22</v>
      </c>
      <c r="L24" s="121"/>
      <c r="M24" s="121"/>
      <c r="N24" s="121"/>
    </row>
    <row r="25" spans="1:14" s="2" customFormat="1" ht="39.9" customHeight="1">
      <c r="A25" s="126"/>
      <c r="B25" s="127"/>
      <c r="C25" s="133"/>
      <c r="D25" s="134"/>
      <c r="E25" s="135"/>
      <c r="F25" s="26"/>
      <c r="G25" s="26"/>
      <c r="H25" s="26"/>
      <c r="I25" s="15"/>
      <c r="J25" s="15"/>
      <c r="K25" s="114"/>
      <c r="L25" s="121"/>
      <c r="M25" s="121"/>
      <c r="N25" s="121"/>
    </row>
    <row r="26" spans="1:14" s="2" customFormat="1" ht="39.9" customHeight="1">
      <c r="A26" s="126"/>
      <c r="B26" s="127"/>
      <c r="C26" s="133"/>
      <c r="D26" s="134"/>
      <c r="E26" s="135"/>
      <c r="F26" s="26"/>
      <c r="G26" s="26"/>
      <c r="H26" s="26"/>
      <c r="I26" s="15"/>
      <c r="J26" s="15"/>
      <c r="K26" s="114"/>
      <c r="L26" s="121"/>
      <c r="M26" s="121"/>
      <c r="N26" s="121"/>
    </row>
    <row r="27" spans="1:14" s="2" customFormat="1" ht="39.9" customHeight="1">
      <c r="A27" s="126"/>
      <c r="B27" s="127"/>
      <c r="C27" s="133"/>
      <c r="D27" s="134"/>
      <c r="E27" s="135"/>
      <c r="F27" s="26"/>
      <c r="G27" s="26"/>
      <c r="H27" s="26"/>
      <c r="I27" s="15"/>
      <c r="J27" s="15"/>
      <c r="K27" s="114"/>
      <c r="L27" s="121"/>
      <c r="M27" s="121"/>
      <c r="N27" s="121"/>
    </row>
    <row r="28" spans="1:14" s="2" customFormat="1" ht="39.9" customHeight="1">
      <c r="A28" s="128"/>
      <c r="B28" s="129"/>
      <c r="C28" s="136"/>
      <c r="D28" s="137"/>
      <c r="E28" s="138"/>
      <c r="F28" s="26"/>
      <c r="G28" s="26"/>
      <c r="H28" s="26"/>
      <c r="I28" s="15"/>
      <c r="J28" s="15"/>
      <c r="K28" s="114"/>
      <c r="L28" s="121"/>
      <c r="M28" s="121"/>
      <c r="N28" s="121"/>
    </row>
    <row r="29" spans="1:14" s="2" customFormat="1" ht="30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0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" customHeight="1"/>
    <row r="38" spans="17:22" ht="24.9" customHeight="1">
      <c r="Q38" s="18"/>
      <c r="R38" s="18"/>
      <c r="S38" s="18"/>
      <c r="T38" s="18"/>
      <c r="U38" s="18"/>
      <c r="V38" s="18"/>
    </row>
    <row r="39" spans="17:22" ht="24.9" customHeight="1">
      <c r="Q39" s="19"/>
    </row>
    <row r="40" spans="17:22" ht="24.9" customHeight="1">
      <c r="Q40" s="19"/>
    </row>
    <row r="41" spans="17:22" ht="24.9" customHeight="1">
      <c r="Q41" s="19"/>
    </row>
    <row r="42" spans="17:22" ht="24.9" customHeight="1">
      <c r="Q42" s="19"/>
    </row>
    <row r="43" spans="17:22" ht="24.9" customHeight="1">
      <c r="Q43" s="19"/>
    </row>
    <row r="44" spans="17:22" ht="24.9" customHeight="1">
      <c r="Q44" s="19"/>
    </row>
    <row r="45" spans="17:22" ht="24.9" customHeight="1">
      <c r="Q45" s="19"/>
    </row>
    <row r="46" spans="17:22" ht="24.9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G5:I5"/>
    <mergeCell ref="A11:C11"/>
    <mergeCell ref="I2:K3"/>
    <mergeCell ref="I4:K4"/>
    <mergeCell ref="L2:M3"/>
    <mergeCell ref="B3:H3"/>
    <mergeCell ref="M1:N1"/>
    <mergeCell ref="B2:C2"/>
    <mergeCell ref="E2:H2"/>
    <mergeCell ref="C1:K1"/>
    <mergeCell ref="L4:N4"/>
    <mergeCell ref="N2:N3"/>
    <mergeCell ref="B4:H4"/>
    <mergeCell ref="K24:K28"/>
    <mergeCell ref="L24:N28"/>
    <mergeCell ref="A21:N21"/>
    <mergeCell ref="A22:N22"/>
    <mergeCell ref="A24:B28"/>
    <mergeCell ref="C24:E28"/>
    <mergeCell ref="A23:N23"/>
    <mergeCell ref="L12:M12"/>
    <mergeCell ref="A12:E12"/>
    <mergeCell ref="A13:E19"/>
    <mergeCell ref="F12:K12"/>
    <mergeCell ref="F13:K19"/>
    <mergeCell ref="L16:L19"/>
  </mergeCells>
  <phoneticPr fontId="3" type="noConversion"/>
  <conditionalFormatting sqref="L6">
    <cfRule type="cellIs" dxfId="2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9"/>
  <sheetViews>
    <sheetView topLeftCell="L1" workbookViewId="0">
      <selection activeCell="Q12" sqref="Q12"/>
    </sheetView>
  </sheetViews>
  <sheetFormatPr defaultRowHeight="17.399999999999999"/>
  <cols>
    <col min="1" max="1" width="22.8984375" style="56" bestFit="1" customWidth="1"/>
    <col min="2" max="2" width="10.09765625" style="56" bestFit="1" customWidth="1"/>
    <col min="3" max="3" width="11.8984375" style="79" bestFit="1" customWidth="1"/>
    <col min="4" max="4" width="13.8984375" style="79" bestFit="1" customWidth="1"/>
    <col min="5" max="5" width="7.3984375" style="79" bestFit="1" customWidth="1"/>
    <col min="6" max="6" width="8.3984375" style="79" bestFit="1" customWidth="1"/>
    <col min="7" max="7" width="7.3984375" style="56" bestFit="1" customWidth="1"/>
    <col min="8" max="8" width="5.5" bestFit="1" customWidth="1"/>
    <col min="9" max="9" width="10" bestFit="1" customWidth="1"/>
    <col min="10" max="10" width="11.8984375" bestFit="1" customWidth="1"/>
    <col min="11" max="11" width="13.8984375" bestFit="1" customWidth="1"/>
    <col min="12" max="12" width="7.3984375" bestFit="1" customWidth="1"/>
    <col min="14" max="14" width="4.69921875" bestFit="1" customWidth="1"/>
    <col min="15" max="15" width="10" bestFit="1" customWidth="1"/>
    <col min="16" max="16" width="11.8984375" bestFit="1" customWidth="1"/>
    <col min="17" max="17" width="13.8984375" bestFit="1" customWidth="1"/>
    <col min="18" max="18" width="9.3984375" bestFit="1" customWidth="1"/>
  </cols>
  <sheetData>
    <row r="1" spans="1:20">
      <c r="A1" s="169" t="s">
        <v>265</v>
      </c>
      <c r="B1" s="169"/>
      <c r="C1" s="79">
        <v>20000</v>
      </c>
      <c r="E1" s="80">
        <v>1.35</v>
      </c>
      <c r="H1" t="s">
        <v>269</v>
      </c>
      <c r="J1">
        <v>32</v>
      </c>
      <c r="L1" s="102">
        <v>1.35</v>
      </c>
      <c r="N1" t="s">
        <v>271</v>
      </c>
      <c r="P1" s="79">
        <v>6.9</v>
      </c>
      <c r="Q1" s="79"/>
      <c r="R1" s="80">
        <v>1.35</v>
      </c>
    </row>
    <row r="2" spans="1:20">
      <c r="A2" s="94" t="s">
        <v>266</v>
      </c>
      <c r="B2" s="94"/>
      <c r="E2" s="80"/>
    </row>
    <row r="3" spans="1:20">
      <c r="A3" s="95" t="s">
        <v>249</v>
      </c>
      <c r="B3" s="95" t="s">
        <v>267</v>
      </c>
      <c r="C3" s="96" t="s">
        <v>250</v>
      </c>
      <c r="D3" s="96" t="s">
        <v>251</v>
      </c>
      <c r="E3" s="96"/>
      <c r="F3" s="96"/>
      <c r="H3" s="95" t="s">
        <v>249</v>
      </c>
      <c r="I3" s="95" t="s">
        <v>270</v>
      </c>
      <c r="J3" s="96" t="s">
        <v>250</v>
      </c>
      <c r="K3" s="96" t="s">
        <v>251</v>
      </c>
      <c r="N3" s="95" t="s">
        <v>249</v>
      </c>
      <c r="O3" s="95" t="s">
        <v>263</v>
      </c>
      <c r="P3" s="96" t="s">
        <v>250</v>
      </c>
      <c r="Q3" s="96" t="s">
        <v>251</v>
      </c>
    </row>
    <row r="4" spans="1:20">
      <c r="A4" s="95">
        <v>1</v>
      </c>
      <c r="B4" s="95">
        <v>12000</v>
      </c>
      <c r="C4" s="96">
        <f>B4/$C$1</f>
        <v>0.6</v>
      </c>
      <c r="D4" s="96">
        <f>C4/A4</f>
        <v>0.6</v>
      </c>
      <c r="E4" s="96">
        <f>D4*$E$1</f>
        <v>0.81</v>
      </c>
      <c r="F4" s="96">
        <f>E4</f>
        <v>0.81</v>
      </c>
      <c r="H4">
        <v>1</v>
      </c>
      <c r="I4" s="103">
        <v>1270</v>
      </c>
      <c r="J4" s="103">
        <f>I4/$J$1</f>
        <v>39.6875</v>
      </c>
      <c r="K4" s="103">
        <f>J4/H4</f>
        <v>39.6875</v>
      </c>
      <c r="L4" s="106">
        <f>K4*$L$1</f>
        <v>53.578125</v>
      </c>
      <c r="N4">
        <v>1</v>
      </c>
      <c r="O4">
        <v>68</v>
      </c>
      <c r="P4" s="103">
        <f>O4/$P$1</f>
        <v>9.8550724637681153</v>
      </c>
      <c r="Q4" s="103">
        <f>P4/N4</f>
        <v>9.8550724637681153</v>
      </c>
      <c r="R4" s="110">
        <f>Q4*$R$1</f>
        <v>13.304347826086957</v>
      </c>
      <c r="T4" s="106">
        <f>R4-Q4</f>
        <v>3.4492753623188417</v>
      </c>
    </row>
    <row r="5" spans="1:20">
      <c r="A5" s="97">
        <v>2</v>
      </c>
      <c r="B5" s="97">
        <v>14000</v>
      </c>
      <c r="C5" s="98">
        <f>B5/$C$1</f>
        <v>0.7</v>
      </c>
      <c r="D5" s="98">
        <f t="shared" ref="D5" si="0">C5/A5</f>
        <v>0.35</v>
      </c>
      <c r="E5" s="98">
        <f>D5*$E$1</f>
        <v>0.47249999999999998</v>
      </c>
      <c r="F5" s="98">
        <f>E5</f>
        <v>0.47249999999999998</v>
      </c>
      <c r="H5">
        <v>1.5</v>
      </c>
      <c r="I5" s="103">
        <v>1505</v>
      </c>
      <c r="J5" s="103">
        <f t="shared" ref="J5:J49" si="1">I5/$J$1</f>
        <v>47.03125</v>
      </c>
      <c r="K5" s="103">
        <f t="shared" ref="K5:K42" si="2">J5/H5</f>
        <v>31.354166666666668</v>
      </c>
      <c r="L5" s="106">
        <f t="shared" ref="L5:L49" si="3">K5*$L$1</f>
        <v>42.328125000000007</v>
      </c>
      <c r="N5">
        <v>2</v>
      </c>
      <c r="O5">
        <v>108</v>
      </c>
      <c r="P5" s="103">
        <f t="shared" ref="P5:P23" si="4">O5/$P$1</f>
        <v>15.652173913043477</v>
      </c>
      <c r="Q5" s="103">
        <f t="shared" ref="Q5:Q23" si="5">P5/N5</f>
        <v>7.8260869565217384</v>
      </c>
      <c r="R5" s="110">
        <f t="shared" ref="R5:R23" si="6">Q5*$R$1</f>
        <v>10.565217391304348</v>
      </c>
      <c r="T5" s="106">
        <f t="shared" ref="T5:T23" si="7">R5-Q5</f>
        <v>2.7391304347826093</v>
      </c>
    </row>
    <row r="6" spans="1:20">
      <c r="A6" s="56">
        <v>3</v>
      </c>
      <c r="B6" s="56">
        <v>16000</v>
      </c>
      <c r="C6" s="101">
        <f t="shared" ref="C6:C28" si="8">B6/$C$1</f>
        <v>0.8</v>
      </c>
      <c r="D6" s="101">
        <f t="shared" ref="D6:D28" si="9">C6/A6</f>
        <v>0.26666666666666666</v>
      </c>
      <c r="E6" s="101">
        <f t="shared" ref="E6:E28" si="10">D6*$E$1</f>
        <v>0.36000000000000004</v>
      </c>
      <c r="F6" s="101">
        <f>(E6+E7)/2</f>
        <v>0.35718750000000005</v>
      </c>
      <c r="H6">
        <v>2</v>
      </c>
      <c r="I6" s="103">
        <v>1590</v>
      </c>
      <c r="J6" s="103">
        <f t="shared" si="1"/>
        <v>49.6875</v>
      </c>
      <c r="K6" s="103">
        <f t="shared" si="2"/>
        <v>24.84375</v>
      </c>
      <c r="L6" s="106">
        <f t="shared" si="3"/>
        <v>33.5390625</v>
      </c>
      <c r="N6">
        <v>3</v>
      </c>
      <c r="O6">
        <v>148</v>
      </c>
      <c r="P6" s="103">
        <f t="shared" si="4"/>
        <v>21.44927536231884</v>
      </c>
      <c r="Q6" s="103">
        <f t="shared" si="5"/>
        <v>7.14975845410628</v>
      </c>
      <c r="R6" s="106">
        <f t="shared" si="6"/>
        <v>9.6521739130434785</v>
      </c>
      <c r="T6" s="106">
        <f t="shared" si="7"/>
        <v>2.5024154589371985</v>
      </c>
    </row>
    <row r="7" spans="1:20">
      <c r="A7" s="95">
        <v>4</v>
      </c>
      <c r="B7" s="95">
        <v>21000</v>
      </c>
      <c r="C7" s="96">
        <f t="shared" si="8"/>
        <v>1.05</v>
      </c>
      <c r="D7" s="96">
        <f t="shared" si="9"/>
        <v>0.26250000000000001</v>
      </c>
      <c r="E7" s="96">
        <f t="shared" si="10"/>
        <v>0.35437500000000005</v>
      </c>
      <c r="F7" s="96"/>
      <c r="H7">
        <v>2.5</v>
      </c>
      <c r="I7" s="104">
        <v>1675</v>
      </c>
      <c r="J7" s="103">
        <f t="shared" si="1"/>
        <v>52.34375</v>
      </c>
      <c r="K7" s="103">
        <f t="shared" si="2"/>
        <v>20.9375</v>
      </c>
      <c r="L7" s="106">
        <f t="shared" si="3"/>
        <v>28.265625000000004</v>
      </c>
      <c r="N7">
        <v>4</v>
      </c>
      <c r="O7">
        <v>188</v>
      </c>
      <c r="P7" s="103">
        <f t="shared" si="4"/>
        <v>27.246376811594203</v>
      </c>
      <c r="Q7" s="103">
        <f t="shared" si="5"/>
        <v>6.8115942028985508</v>
      </c>
      <c r="R7" s="106">
        <f t="shared" si="6"/>
        <v>9.1956521739130448</v>
      </c>
      <c r="T7" s="106">
        <f t="shared" si="7"/>
        <v>2.384057971014494</v>
      </c>
    </row>
    <row r="8" spans="1:20">
      <c r="A8" s="56">
        <v>5</v>
      </c>
      <c r="B8" s="56">
        <v>25000</v>
      </c>
      <c r="C8" s="101">
        <f t="shared" si="8"/>
        <v>1.25</v>
      </c>
      <c r="D8" s="101">
        <f t="shared" si="9"/>
        <v>0.25</v>
      </c>
      <c r="E8" s="101">
        <f t="shared" si="10"/>
        <v>0.33750000000000002</v>
      </c>
      <c r="F8" s="101">
        <f>(E8+E9)/2</f>
        <v>0.32625000000000004</v>
      </c>
      <c r="H8">
        <v>3</v>
      </c>
      <c r="I8" s="104">
        <v>1760</v>
      </c>
      <c r="J8" s="103">
        <f t="shared" si="1"/>
        <v>55</v>
      </c>
      <c r="K8" s="103">
        <f t="shared" si="2"/>
        <v>18.333333333333332</v>
      </c>
      <c r="L8" s="106">
        <f t="shared" si="3"/>
        <v>24.75</v>
      </c>
      <c r="N8">
        <v>5</v>
      </c>
      <c r="O8">
        <v>228</v>
      </c>
      <c r="P8" s="103">
        <f t="shared" si="4"/>
        <v>33.043478260869563</v>
      </c>
      <c r="Q8" s="103">
        <f t="shared" si="5"/>
        <v>6.6086956521739122</v>
      </c>
      <c r="R8" s="110">
        <f t="shared" si="6"/>
        <v>8.9217391304347817</v>
      </c>
      <c r="T8" s="106">
        <f t="shared" si="7"/>
        <v>2.3130434782608695</v>
      </c>
    </row>
    <row r="9" spans="1:20">
      <c r="A9" s="95">
        <v>6</v>
      </c>
      <c r="B9" s="95">
        <v>28000</v>
      </c>
      <c r="C9" s="96">
        <f t="shared" si="8"/>
        <v>1.4</v>
      </c>
      <c r="D9" s="96">
        <f t="shared" si="9"/>
        <v>0.23333333333333331</v>
      </c>
      <c r="E9" s="96">
        <f t="shared" si="10"/>
        <v>0.315</v>
      </c>
      <c r="F9" s="96"/>
      <c r="H9">
        <v>3.5</v>
      </c>
      <c r="I9" s="104">
        <v>1845</v>
      </c>
      <c r="J9" s="103">
        <f t="shared" si="1"/>
        <v>57.65625</v>
      </c>
      <c r="K9" s="103">
        <f t="shared" si="2"/>
        <v>16.473214285714285</v>
      </c>
      <c r="L9" s="106">
        <f t="shared" si="3"/>
        <v>22.238839285714285</v>
      </c>
      <c r="N9">
        <v>6</v>
      </c>
      <c r="O9">
        <v>268</v>
      </c>
      <c r="P9" s="103">
        <f t="shared" si="4"/>
        <v>38.840579710144922</v>
      </c>
      <c r="Q9" s="103">
        <f t="shared" si="5"/>
        <v>6.4734299516908207</v>
      </c>
      <c r="R9" s="106">
        <f t="shared" si="6"/>
        <v>8.7391304347826093</v>
      </c>
      <c r="T9" s="106">
        <f t="shared" si="7"/>
        <v>2.2657004830917886</v>
      </c>
    </row>
    <row r="10" spans="1:20">
      <c r="A10" s="56">
        <v>7</v>
      </c>
      <c r="B10" s="56">
        <v>31000</v>
      </c>
      <c r="C10" s="101">
        <f t="shared" si="8"/>
        <v>1.55</v>
      </c>
      <c r="D10" s="101">
        <f t="shared" si="9"/>
        <v>0.22142857142857145</v>
      </c>
      <c r="E10" s="101">
        <f t="shared" si="10"/>
        <v>0.29892857142857149</v>
      </c>
      <c r="F10" s="101">
        <f>(E10+E11+E12)/3</f>
        <v>0.28776785714285719</v>
      </c>
      <c r="H10">
        <v>4</v>
      </c>
      <c r="I10" s="104">
        <v>1930</v>
      </c>
      <c r="J10" s="103">
        <f t="shared" si="1"/>
        <v>60.3125</v>
      </c>
      <c r="K10" s="103">
        <f t="shared" si="2"/>
        <v>15.078125</v>
      </c>
      <c r="L10" s="106">
        <f t="shared" si="3"/>
        <v>20.35546875</v>
      </c>
      <c r="N10">
        <v>7</v>
      </c>
      <c r="O10">
        <v>308</v>
      </c>
      <c r="P10" s="103">
        <f t="shared" si="4"/>
        <v>44.637681159420289</v>
      </c>
      <c r="Q10" s="103">
        <f t="shared" si="5"/>
        <v>6.3768115942028984</v>
      </c>
      <c r="R10" s="106">
        <f t="shared" si="6"/>
        <v>8.608695652173914</v>
      </c>
      <c r="T10" s="106">
        <f t="shared" si="7"/>
        <v>2.2318840579710155</v>
      </c>
    </row>
    <row r="11" spans="1:20">
      <c r="A11" s="56">
        <v>8</v>
      </c>
      <c r="B11" s="56">
        <v>34000</v>
      </c>
      <c r="C11" s="101">
        <f t="shared" si="8"/>
        <v>1.7</v>
      </c>
      <c r="D11" s="101">
        <f t="shared" si="9"/>
        <v>0.21249999999999999</v>
      </c>
      <c r="E11" s="101">
        <f t="shared" si="10"/>
        <v>0.28687499999999999</v>
      </c>
      <c r="F11" s="101"/>
      <c r="H11">
        <v>4.5</v>
      </c>
      <c r="I11" s="104">
        <v>2165</v>
      </c>
      <c r="J11" s="103">
        <f t="shared" si="1"/>
        <v>67.65625</v>
      </c>
      <c r="K11" s="103">
        <f t="shared" si="2"/>
        <v>15.034722222222221</v>
      </c>
      <c r="L11" s="106">
        <f t="shared" si="3"/>
        <v>20.296875</v>
      </c>
      <c r="N11">
        <v>8</v>
      </c>
      <c r="O11">
        <v>348</v>
      </c>
      <c r="P11" s="103">
        <f t="shared" si="4"/>
        <v>50.434782608695649</v>
      </c>
      <c r="Q11" s="103">
        <f t="shared" si="5"/>
        <v>6.3043478260869561</v>
      </c>
      <c r="R11" s="106">
        <f t="shared" si="6"/>
        <v>8.5108695652173907</v>
      </c>
      <c r="T11" s="106">
        <f t="shared" si="7"/>
        <v>2.2065217391304346</v>
      </c>
    </row>
    <row r="12" spans="1:20">
      <c r="A12" s="95">
        <v>9</v>
      </c>
      <c r="B12" s="95">
        <v>37000</v>
      </c>
      <c r="C12" s="96">
        <f t="shared" si="8"/>
        <v>1.85</v>
      </c>
      <c r="D12" s="96">
        <f t="shared" si="9"/>
        <v>0.20555555555555557</v>
      </c>
      <c r="E12" s="96">
        <f t="shared" si="10"/>
        <v>0.27750000000000002</v>
      </c>
      <c r="F12" s="96"/>
      <c r="H12">
        <v>5</v>
      </c>
      <c r="I12" s="104">
        <v>2250</v>
      </c>
      <c r="J12" s="103">
        <f t="shared" si="1"/>
        <v>70.3125</v>
      </c>
      <c r="K12" s="103">
        <f t="shared" si="2"/>
        <v>14.0625</v>
      </c>
      <c r="L12" s="106">
        <f t="shared" si="3"/>
        <v>18.984375</v>
      </c>
      <c r="N12">
        <v>9</v>
      </c>
      <c r="O12">
        <v>388</v>
      </c>
      <c r="P12" s="103">
        <f t="shared" si="4"/>
        <v>56.231884057971008</v>
      </c>
      <c r="Q12" s="103">
        <f t="shared" si="5"/>
        <v>6.2479871175523343</v>
      </c>
      <c r="R12" s="110">
        <f t="shared" si="6"/>
        <v>8.4347826086956523</v>
      </c>
      <c r="T12" s="106">
        <f t="shared" si="7"/>
        <v>2.1867954911433181</v>
      </c>
    </row>
    <row r="13" spans="1:20">
      <c r="A13" s="56">
        <v>10</v>
      </c>
      <c r="B13" s="56">
        <v>40000</v>
      </c>
      <c r="C13" s="101">
        <f t="shared" si="8"/>
        <v>2</v>
      </c>
      <c r="D13" s="101">
        <f t="shared" si="9"/>
        <v>0.2</v>
      </c>
      <c r="E13" s="101">
        <f t="shared" si="10"/>
        <v>0.27</v>
      </c>
      <c r="F13" s="101">
        <f>(E13+E14+E15)/3</f>
        <v>0.26420454545454547</v>
      </c>
      <c r="H13">
        <v>5.5</v>
      </c>
      <c r="I13" s="104">
        <v>2453</v>
      </c>
      <c r="J13" s="103">
        <f t="shared" si="1"/>
        <v>76.65625</v>
      </c>
      <c r="K13" s="103">
        <f t="shared" si="2"/>
        <v>13.9375</v>
      </c>
      <c r="L13" s="106">
        <f t="shared" si="3"/>
        <v>18.815625000000001</v>
      </c>
      <c r="N13">
        <v>10</v>
      </c>
      <c r="O13">
        <v>428</v>
      </c>
      <c r="P13" s="103">
        <f t="shared" si="4"/>
        <v>62.028985507246375</v>
      </c>
      <c r="Q13" s="103">
        <f t="shared" si="5"/>
        <v>6.2028985507246377</v>
      </c>
      <c r="R13" s="106">
        <f t="shared" si="6"/>
        <v>8.3739130434782609</v>
      </c>
      <c r="T13" s="106">
        <f t="shared" si="7"/>
        <v>2.1710144927536232</v>
      </c>
    </row>
    <row r="14" spans="1:20">
      <c r="A14" s="56">
        <v>11</v>
      </c>
      <c r="B14" s="56">
        <v>43000</v>
      </c>
      <c r="C14" s="101">
        <f t="shared" si="8"/>
        <v>2.15</v>
      </c>
      <c r="D14" s="101">
        <f t="shared" si="9"/>
        <v>0.19545454545454544</v>
      </c>
      <c r="E14" s="101">
        <f t="shared" si="10"/>
        <v>0.26386363636363636</v>
      </c>
      <c r="F14" s="101"/>
      <c r="H14">
        <v>6</v>
      </c>
      <c r="I14" s="104">
        <v>2657</v>
      </c>
      <c r="J14" s="103">
        <f t="shared" si="1"/>
        <v>83.03125</v>
      </c>
      <c r="K14" s="103">
        <f t="shared" si="2"/>
        <v>13.838541666666666</v>
      </c>
      <c r="L14" s="106">
        <f t="shared" si="3"/>
        <v>18.682031250000001</v>
      </c>
      <c r="N14">
        <v>11</v>
      </c>
      <c r="O14">
        <v>468</v>
      </c>
      <c r="P14" s="103">
        <f t="shared" si="4"/>
        <v>67.826086956521735</v>
      </c>
      <c r="Q14" s="103">
        <f t="shared" si="5"/>
        <v>6.1660079051383399</v>
      </c>
      <c r="R14" s="106">
        <f t="shared" si="6"/>
        <v>8.3241106719367597</v>
      </c>
      <c r="T14" s="106">
        <f t="shared" si="7"/>
        <v>2.1581027667984198</v>
      </c>
    </row>
    <row r="15" spans="1:20">
      <c r="A15" s="95">
        <v>12</v>
      </c>
      <c r="B15" s="95">
        <v>46000</v>
      </c>
      <c r="C15" s="96">
        <f t="shared" si="8"/>
        <v>2.2999999999999998</v>
      </c>
      <c r="D15" s="96">
        <f t="shared" si="9"/>
        <v>0.19166666666666665</v>
      </c>
      <c r="E15" s="96">
        <f t="shared" si="10"/>
        <v>0.25874999999999998</v>
      </c>
      <c r="F15" s="96"/>
      <c r="H15">
        <v>6.5</v>
      </c>
      <c r="I15" s="104">
        <v>2860</v>
      </c>
      <c r="J15" s="103">
        <f t="shared" si="1"/>
        <v>89.375</v>
      </c>
      <c r="K15" s="103">
        <f t="shared" si="2"/>
        <v>13.75</v>
      </c>
      <c r="L15" s="106">
        <f t="shared" si="3"/>
        <v>18.5625</v>
      </c>
      <c r="N15">
        <v>12</v>
      </c>
      <c r="O15">
        <v>508</v>
      </c>
      <c r="P15" s="103">
        <f t="shared" si="4"/>
        <v>73.623188405797094</v>
      </c>
      <c r="Q15" s="103">
        <f t="shared" si="5"/>
        <v>6.1352657004830915</v>
      </c>
      <c r="R15" s="106">
        <f t="shared" si="6"/>
        <v>8.2826086956521738</v>
      </c>
      <c r="T15" s="106">
        <f t="shared" si="7"/>
        <v>2.1473429951690823</v>
      </c>
    </row>
    <row r="16" spans="1:20">
      <c r="A16" s="56">
        <v>13</v>
      </c>
      <c r="B16" s="56">
        <v>49000</v>
      </c>
      <c r="C16" s="101">
        <f t="shared" si="8"/>
        <v>2.4500000000000002</v>
      </c>
      <c r="D16" s="101">
        <f t="shared" si="9"/>
        <v>0.18846153846153849</v>
      </c>
      <c r="E16" s="101">
        <f t="shared" si="10"/>
        <v>0.25442307692307697</v>
      </c>
      <c r="F16" s="101">
        <f>(E16+E17+E18)/3</f>
        <v>0.25087912087912095</v>
      </c>
      <c r="H16">
        <v>7</v>
      </c>
      <c r="I16" s="104">
        <v>3063</v>
      </c>
      <c r="J16" s="103">
        <f t="shared" si="1"/>
        <v>95.71875</v>
      </c>
      <c r="K16" s="103">
        <f t="shared" si="2"/>
        <v>13.674107142857142</v>
      </c>
      <c r="L16" s="106">
        <f t="shared" si="3"/>
        <v>18.460044642857142</v>
      </c>
      <c r="N16">
        <v>13</v>
      </c>
      <c r="O16">
        <v>548</v>
      </c>
      <c r="P16" s="103">
        <f t="shared" si="4"/>
        <v>79.420289855072454</v>
      </c>
      <c r="Q16" s="103">
        <f t="shared" si="5"/>
        <v>6.1092530657748041</v>
      </c>
      <c r="R16" s="110">
        <f t="shared" si="6"/>
        <v>8.2474916387959869</v>
      </c>
      <c r="T16" s="106">
        <f t="shared" si="7"/>
        <v>2.1382385730211828</v>
      </c>
    </row>
    <row r="17" spans="1:21">
      <c r="A17" s="56">
        <v>14</v>
      </c>
      <c r="B17" s="56">
        <v>52000</v>
      </c>
      <c r="C17" s="101">
        <f t="shared" si="8"/>
        <v>2.6</v>
      </c>
      <c r="D17" s="101">
        <f t="shared" si="9"/>
        <v>0.18571428571428572</v>
      </c>
      <c r="E17" s="101">
        <f t="shared" si="10"/>
        <v>0.25071428571428572</v>
      </c>
      <c r="F17" s="101"/>
      <c r="H17">
        <v>7.5</v>
      </c>
      <c r="I17" s="104">
        <v>3267</v>
      </c>
      <c r="J17" s="103">
        <f t="shared" si="1"/>
        <v>102.09375</v>
      </c>
      <c r="K17" s="103">
        <f t="shared" si="2"/>
        <v>13.612500000000001</v>
      </c>
      <c r="L17" s="106">
        <f t="shared" si="3"/>
        <v>18.376875000000002</v>
      </c>
      <c r="N17">
        <v>14</v>
      </c>
      <c r="O17">
        <v>588</v>
      </c>
      <c r="P17" s="103">
        <f t="shared" si="4"/>
        <v>85.217391304347828</v>
      </c>
      <c r="Q17" s="103">
        <f t="shared" si="5"/>
        <v>6.0869565217391308</v>
      </c>
      <c r="R17" s="106">
        <f t="shared" si="6"/>
        <v>8.2173913043478279</v>
      </c>
      <c r="T17" s="106">
        <f t="shared" si="7"/>
        <v>2.1304347826086971</v>
      </c>
    </row>
    <row r="18" spans="1:21">
      <c r="A18" s="95">
        <v>15</v>
      </c>
      <c r="B18" s="95">
        <v>55000</v>
      </c>
      <c r="C18" s="96">
        <f t="shared" si="8"/>
        <v>2.75</v>
      </c>
      <c r="D18" s="96">
        <f t="shared" si="9"/>
        <v>0.18333333333333332</v>
      </c>
      <c r="E18" s="96">
        <f t="shared" si="10"/>
        <v>0.2475</v>
      </c>
      <c r="F18" s="96"/>
      <c r="H18">
        <v>8</v>
      </c>
      <c r="I18" s="104">
        <v>3470</v>
      </c>
      <c r="J18" s="103">
        <f t="shared" si="1"/>
        <v>108.4375</v>
      </c>
      <c r="K18" s="103">
        <f t="shared" si="2"/>
        <v>13.5546875</v>
      </c>
      <c r="L18" s="106">
        <f t="shared" si="3"/>
        <v>18.298828125</v>
      </c>
      <c r="N18">
        <v>15</v>
      </c>
      <c r="O18">
        <v>628</v>
      </c>
      <c r="P18" s="103">
        <f t="shared" si="4"/>
        <v>91.014492753623188</v>
      </c>
      <c r="Q18" s="103">
        <f t="shared" si="5"/>
        <v>6.0676328502415462</v>
      </c>
      <c r="R18" s="106">
        <f t="shared" si="6"/>
        <v>8.1913043478260885</v>
      </c>
      <c r="T18" s="106">
        <f t="shared" si="7"/>
        <v>2.1236714975845423</v>
      </c>
    </row>
    <row r="19" spans="1:21">
      <c r="A19" s="56">
        <v>16</v>
      </c>
      <c r="B19" s="56">
        <v>58000</v>
      </c>
      <c r="C19" s="101">
        <f t="shared" si="8"/>
        <v>2.9</v>
      </c>
      <c r="D19" s="101">
        <f t="shared" si="9"/>
        <v>0.18124999999999999</v>
      </c>
      <c r="E19" s="101">
        <f t="shared" si="10"/>
        <v>0.2446875</v>
      </c>
      <c r="F19" s="101">
        <f>(E19+E20+E21+E22+E23)/5</f>
        <v>0.240233939628483</v>
      </c>
      <c r="H19">
        <v>8.5</v>
      </c>
      <c r="I19" s="104">
        <v>3673</v>
      </c>
      <c r="J19" s="103">
        <f t="shared" si="1"/>
        <v>114.78125</v>
      </c>
      <c r="K19" s="103">
        <f t="shared" si="2"/>
        <v>13.503676470588236</v>
      </c>
      <c r="L19" s="106">
        <f t="shared" si="3"/>
        <v>18.229963235294118</v>
      </c>
      <c r="N19">
        <v>16</v>
      </c>
      <c r="O19">
        <v>668</v>
      </c>
      <c r="P19" s="103">
        <f t="shared" si="4"/>
        <v>96.811594202898547</v>
      </c>
      <c r="Q19" s="103">
        <f t="shared" si="5"/>
        <v>6.0507246376811592</v>
      </c>
      <c r="R19" s="106">
        <f t="shared" si="6"/>
        <v>8.1684782608695663</v>
      </c>
      <c r="T19" s="106">
        <f t="shared" si="7"/>
        <v>2.1177536231884071</v>
      </c>
    </row>
    <row r="20" spans="1:21">
      <c r="A20" s="56">
        <v>17</v>
      </c>
      <c r="B20" s="56">
        <v>61000</v>
      </c>
      <c r="C20" s="101">
        <f t="shared" si="8"/>
        <v>3.05</v>
      </c>
      <c r="D20" s="101">
        <f t="shared" si="9"/>
        <v>0.17941176470588235</v>
      </c>
      <c r="E20" s="101">
        <f t="shared" si="10"/>
        <v>0.24220588235294119</v>
      </c>
      <c r="F20" s="101"/>
      <c r="H20">
        <v>9</v>
      </c>
      <c r="I20" s="104">
        <v>3877</v>
      </c>
      <c r="J20" s="103">
        <f t="shared" si="1"/>
        <v>121.15625</v>
      </c>
      <c r="K20" s="103">
        <f t="shared" si="2"/>
        <v>13.461805555555555</v>
      </c>
      <c r="L20" s="106">
        <f t="shared" si="3"/>
        <v>18.173437500000002</v>
      </c>
      <c r="N20">
        <v>17</v>
      </c>
      <c r="O20">
        <v>708</v>
      </c>
      <c r="P20" s="103">
        <f t="shared" si="4"/>
        <v>102.60869565217391</v>
      </c>
      <c r="Q20" s="103">
        <f t="shared" si="5"/>
        <v>6.0358056265984654</v>
      </c>
      <c r="R20" s="110">
        <f t="shared" si="6"/>
        <v>8.1483375959079289</v>
      </c>
      <c r="T20" s="106">
        <f t="shared" si="7"/>
        <v>2.1125319693094635</v>
      </c>
    </row>
    <row r="21" spans="1:21">
      <c r="A21" s="56">
        <v>18</v>
      </c>
      <c r="B21" s="56">
        <v>64000</v>
      </c>
      <c r="C21" s="101">
        <f t="shared" si="8"/>
        <v>3.2</v>
      </c>
      <c r="D21" s="101">
        <f t="shared" si="9"/>
        <v>0.17777777777777778</v>
      </c>
      <c r="E21" s="101">
        <f t="shared" si="10"/>
        <v>0.24000000000000002</v>
      </c>
      <c r="F21" s="101"/>
      <c r="H21">
        <v>9.5</v>
      </c>
      <c r="I21" s="104">
        <v>4080</v>
      </c>
      <c r="J21" s="103">
        <f t="shared" si="1"/>
        <v>127.5</v>
      </c>
      <c r="K21" s="103">
        <f t="shared" si="2"/>
        <v>13.421052631578947</v>
      </c>
      <c r="L21" s="106">
        <f t="shared" si="3"/>
        <v>18.118421052631579</v>
      </c>
      <c r="N21">
        <v>18</v>
      </c>
      <c r="O21">
        <v>748</v>
      </c>
      <c r="P21" s="103">
        <f t="shared" si="4"/>
        <v>108.40579710144927</v>
      </c>
      <c r="Q21" s="103">
        <f t="shared" si="5"/>
        <v>6.0225442834138478</v>
      </c>
      <c r="R21" s="106">
        <f t="shared" si="6"/>
        <v>8.1304347826086953</v>
      </c>
      <c r="T21" s="106">
        <f t="shared" si="7"/>
        <v>2.1078904991948475</v>
      </c>
    </row>
    <row r="22" spans="1:21">
      <c r="A22" s="56">
        <v>19</v>
      </c>
      <c r="B22" s="56">
        <v>67000</v>
      </c>
      <c r="C22" s="101">
        <f t="shared" si="8"/>
        <v>3.35</v>
      </c>
      <c r="D22" s="101">
        <f t="shared" si="9"/>
        <v>0.1763157894736842</v>
      </c>
      <c r="E22" s="101">
        <f t="shared" si="10"/>
        <v>0.2380263157894737</v>
      </c>
      <c r="F22" s="101"/>
      <c r="H22">
        <v>10</v>
      </c>
      <c r="I22" s="104">
        <v>4283</v>
      </c>
      <c r="J22" s="103">
        <f t="shared" si="1"/>
        <v>133.84375</v>
      </c>
      <c r="K22" s="103">
        <f t="shared" si="2"/>
        <v>13.384375</v>
      </c>
      <c r="L22" s="106">
        <f t="shared" si="3"/>
        <v>18.068906250000001</v>
      </c>
      <c r="N22">
        <v>19</v>
      </c>
      <c r="O22">
        <v>788</v>
      </c>
      <c r="P22" s="103">
        <f t="shared" si="4"/>
        <v>114.20289855072463</v>
      </c>
      <c r="Q22" s="103">
        <f t="shared" si="5"/>
        <v>6.0106788710907697</v>
      </c>
      <c r="R22" s="106">
        <f t="shared" si="6"/>
        <v>8.1144164759725399</v>
      </c>
      <c r="T22" s="106">
        <f t="shared" si="7"/>
        <v>2.1037376048817702</v>
      </c>
    </row>
    <row r="23" spans="1:21">
      <c r="A23" s="95">
        <v>20</v>
      </c>
      <c r="B23" s="95">
        <v>70000</v>
      </c>
      <c r="C23" s="96">
        <f t="shared" si="8"/>
        <v>3.5</v>
      </c>
      <c r="D23" s="96">
        <f t="shared" si="9"/>
        <v>0.17499999999999999</v>
      </c>
      <c r="E23" s="96">
        <f t="shared" si="10"/>
        <v>0.23624999999999999</v>
      </c>
      <c r="F23" s="96"/>
      <c r="H23">
        <v>10.5</v>
      </c>
      <c r="I23" s="104">
        <v>4487</v>
      </c>
      <c r="J23" s="103">
        <f t="shared" si="1"/>
        <v>140.21875</v>
      </c>
      <c r="K23" s="103">
        <f t="shared" si="2"/>
        <v>13.354166666666666</v>
      </c>
      <c r="L23" s="106">
        <f t="shared" si="3"/>
        <v>18.028124999999999</v>
      </c>
      <c r="N23">
        <v>20</v>
      </c>
      <c r="O23">
        <v>828</v>
      </c>
      <c r="P23" s="103">
        <f t="shared" si="4"/>
        <v>120</v>
      </c>
      <c r="Q23" s="103">
        <f t="shared" si="5"/>
        <v>6</v>
      </c>
      <c r="R23" s="110">
        <f t="shared" si="6"/>
        <v>8.1000000000000014</v>
      </c>
      <c r="T23" s="106">
        <f t="shared" si="7"/>
        <v>2.1000000000000014</v>
      </c>
    </row>
    <row r="24" spans="1:21">
      <c r="A24" s="56">
        <v>21</v>
      </c>
      <c r="B24" s="56">
        <v>73000</v>
      </c>
      <c r="C24" s="101">
        <f t="shared" si="8"/>
        <v>3.65</v>
      </c>
      <c r="D24" s="101">
        <f t="shared" si="9"/>
        <v>0.1738095238095238</v>
      </c>
      <c r="E24" s="101">
        <f t="shared" si="10"/>
        <v>0.23464285714285715</v>
      </c>
      <c r="F24" s="101">
        <f>(E24+E25+E26+E27+E28)/5</f>
        <v>0.2319595002823264</v>
      </c>
      <c r="H24">
        <v>11</v>
      </c>
      <c r="I24" s="104">
        <v>4690</v>
      </c>
      <c r="J24" s="103">
        <f t="shared" si="1"/>
        <v>146.5625</v>
      </c>
      <c r="K24" s="103">
        <f t="shared" si="2"/>
        <v>13.323863636363637</v>
      </c>
      <c r="L24" s="106">
        <f t="shared" si="3"/>
        <v>17.98721590909091</v>
      </c>
    </row>
    <row r="25" spans="1:21">
      <c r="A25" s="56">
        <v>22</v>
      </c>
      <c r="B25" s="56">
        <v>76000</v>
      </c>
      <c r="C25" s="101">
        <f t="shared" si="8"/>
        <v>3.8</v>
      </c>
      <c r="D25" s="101">
        <f t="shared" si="9"/>
        <v>0.17272727272727273</v>
      </c>
      <c r="E25" s="101">
        <f t="shared" si="10"/>
        <v>0.23318181818181821</v>
      </c>
      <c r="F25" s="101"/>
      <c r="H25">
        <v>11.5</v>
      </c>
      <c r="I25" s="104">
        <v>4893</v>
      </c>
      <c r="J25" s="103">
        <f t="shared" si="1"/>
        <v>152.90625</v>
      </c>
      <c r="K25" s="103">
        <f t="shared" si="2"/>
        <v>13.296195652173912</v>
      </c>
      <c r="L25" s="106">
        <f t="shared" si="3"/>
        <v>17.949864130434783</v>
      </c>
      <c r="U25" s="106"/>
    </row>
    <row r="26" spans="1:21">
      <c r="A26" s="56">
        <v>23</v>
      </c>
      <c r="B26" s="56">
        <v>79000</v>
      </c>
      <c r="C26" s="101">
        <f t="shared" si="8"/>
        <v>3.95</v>
      </c>
      <c r="D26" s="101">
        <f t="shared" si="9"/>
        <v>0.17173913043478262</v>
      </c>
      <c r="E26" s="101">
        <f t="shared" si="10"/>
        <v>0.23184782608695656</v>
      </c>
      <c r="F26" s="101"/>
      <c r="H26">
        <v>12</v>
      </c>
      <c r="I26" s="104">
        <v>5097</v>
      </c>
      <c r="J26" s="103">
        <f t="shared" si="1"/>
        <v>159.28125</v>
      </c>
      <c r="K26" s="103">
        <f t="shared" si="2"/>
        <v>13.2734375</v>
      </c>
      <c r="L26" s="106">
        <f t="shared" si="3"/>
        <v>17.919140625000001</v>
      </c>
    </row>
    <row r="27" spans="1:21">
      <c r="A27" s="56">
        <v>24</v>
      </c>
      <c r="B27" s="56">
        <v>82000</v>
      </c>
      <c r="C27" s="101">
        <f t="shared" si="8"/>
        <v>4.0999999999999996</v>
      </c>
      <c r="D27" s="101">
        <f t="shared" si="9"/>
        <v>0.17083333333333331</v>
      </c>
      <c r="E27" s="101">
        <f t="shared" si="10"/>
        <v>0.23062499999999997</v>
      </c>
      <c r="F27" s="101"/>
      <c r="H27">
        <v>12.5</v>
      </c>
      <c r="I27" s="104">
        <v>5300</v>
      </c>
      <c r="J27" s="103">
        <f t="shared" si="1"/>
        <v>165.625</v>
      </c>
      <c r="K27" s="103">
        <f t="shared" si="2"/>
        <v>13.25</v>
      </c>
      <c r="L27" s="106">
        <f t="shared" si="3"/>
        <v>17.887500000000003</v>
      </c>
    </row>
    <row r="28" spans="1:21">
      <c r="A28" s="56">
        <v>25</v>
      </c>
      <c r="B28" s="56">
        <v>85000</v>
      </c>
      <c r="C28" s="79">
        <f t="shared" si="8"/>
        <v>4.25</v>
      </c>
      <c r="D28" s="79">
        <f t="shared" si="9"/>
        <v>0.17</v>
      </c>
      <c r="E28" s="79">
        <f t="shared" si="10"/>
        <v>0.22950000000000004</v>
      </c>
      <c r="H28">
        <v>13</v>
      </c>
      <c r="I28" s="104">
        <v>5503</v>
      </c>
      <c r="J28" s="103">
        <f t="shared" si="1"/>
        <v>171.96875</v>
      </c>
      <c r="K28" s="103">
        <f t="shared" si="2"/>
        <v>13.228365384615385</v>
      </c>
      <c r="L28" s="106">
        <f t="shared" si="3"/>
        <v>17.858293269230771</v>
      </c>
    </row>
    <row r="29" spans="1:21">
      <c r="H29">
        <v>13.5</v>
      </c>
      <c r="I29" s="104">
        <v>5707</v>
      </c>
      <c r="J29" s="103">
        <f t="shared" si="1"/>
        <v>178.34375</v>
      </c>
      <c r="K29" s="103">
        <f t="shared" si="2"/>
        <v>13.210648148148149</v>
      </c>
      <c r="L29" s="106">
        <f t="shared" si="3"/>
        <v>17.834375000000001</v>
      </c>
    </row>
    <row r="30" spans="1:21">
      <c r="H30">
        <v>14</v>
      </c>
      <c r="I30" s="104">
        <v>5910</v>
      </c>
      <c r="J30" s="103">
        <f t="shared" si="1"/>
        <v>184.6875</v>
      </c>
      <c r="K30" s="103">
        <f t="shared" si="2"/>
        <v>13.191964285714286</v>
      </c>
      <c r="L30" s="106">
        <f t="shared" si="3"/>
        <v>17.809151785714288</v>
      </c>
    </row>
    <row r="31" spans="1:21">
      <c r="A31" s="169" t="s">
        <v>262</v>
      </c>
      <c r="B31" s="169"/>
      <c r="C31" s="79">
        <v>7</v>
      </c>
      <c r="E31" s="80">
        <v>1.35</v>
      </c>
      <c r="H31">
        <v>14.5</v>
      </c>
      <c r="I31" s="104">
        <v>6113</v>
      </c>
      <c r="J31" s="103">
        <f t="shared" si="1"/>
        <v>191.03125</v>
      </c>
      <c r="K31" s="103">
        <f t="shared" si="2"/>
        <v>13.174568965517242</v>
      </c>
      <c r="L31" s="106">
        <f t="shared" si="3"/>
        <v>17.785668103448277</v>
      </c>
    </row>
    <row r="32" spans="1:21">
      <c r="A32" s="94" t="s">
        <v>264</v>
      </c>
      <c r="B32" s="94"/>
      <c r="E32" s="80"/>
      <c r="H32">
        <v>15</v>
      </c>
      <c r="I32" s="104">
        <v>6317</v>
      </c>
      <c r="J32" s="103">
        <f t="shared" si="1"/>
        <v>197.40625</v>
      </c>
      <c r="K32" s="103">
        <f t="shared" si="2"/>
        <v>13.160416666666666</v>
      </c>
      <c r="L32" s="106">
        <f t="shared" si="3"/>
        <v>17.766562499999999</v>
      </c>
    </row>
    <row r="33" spans="1:12">
      <c r="A33" s="56" t="s">
        <v>249</v>
      </c>
      <c r="B33" s="56" t="s">
        <v>263</v>
      </c>
      <c r="C33" s="79" t="s">
        <v>250</v>
      </c>
      <c r="D33" s="79" t="s">
        <v>251</v>
      </c>
      <c r="H33">
        <v>15.5</v>
      </c>
      <c r="I33" s="104">
        <v>6520</v>
      </c>
      <c r="J33" s="103">
        <f t="shared" si="1"/>
        <v>203.75</v>
      </c>
      <c r="K33" s="103">
        <f t="shared" si="2"/>
        <v>13.14516129032258</v>
      </c>
      <c r="L33" s="106">
        <f t="shared" si="3"/>
        <v>17.745967741935484</v>
      </c>
    </row>
    <row r="34" spans="1:12">
      <c r="A34" s="56">
        <v>1</v>
      </c>
      <c r="B34" s="56">
        <v>30</v>
      </c>
      <c r="C34" s="79">
        <f>B34/$C$31</f>
        <v>4.2857142857142856</v>
      </c>
      <c r="D34" s="79">
        <f>C34/A34</f>
        <v>4.2857142857142856</v>
      </c>
      <c r="E34" s="79">
        <f>D34*$E$31</f>
        <v>5.7857142857142856</v>
      </c>
      <c r="H34">
        <v>16</v>
      </c>
      <c r="I34" s="105">
        <v>6723</v>
      </c>
      <c r="J34" s="103">
        <f t="shared" si="1"/>
        <v>210.09375</v>
      </c>
      <c r="K34" s="103">
        <f t="shared" si="2"/>
        <v>13.130859375</v>
      </c>
      <c r="L34" s="106">
        <f t="shared" si="3"/>
        <v>17.726660156250002</v>
      </c>
    </row>
    <row r="35" spans="1:12">
      <c r="A35" s="56">
        <v>1</v>
      </c>
      <c r="B35" s="56">
        <v>50</v>
      </c>
      <c r="C35" s="79">
        <f>B35/$C$31</f>
        <v>7.1428571428571432</v>
      </c>
      <c r="D35" s="79">
        <f t="shared" ref="D35" si="11">C35/A35</f>
        <v>7.1428571428571432</v>
      </c>
      <c r="E35" s="79">
        <f>D35*$E$31</f>
        <v>9.6428571428571441</v>
      </c>
      <c r="H35">
        <v>16.5</v>
      </c>
      <c r="I35" s="105">
        <v>6927</v>
      </c>
      <c r="J35" s="103">
        <f t="shared" si="1"/>
        <v>216.46875</v>
      </c>
      <c r="K35" s="103">
        <f t="shared" si="2"/>
        <v>13.119318181818182</v>
      </c>
      <c r="L35" s="106">
        <f t="shared" si="3"/>
        <v>17.711079545454545</v>
      </c>
    </row>
    <row r="36" spans="1:12">
      <c r="H36">
        <v>17</v>
      </c>
      <c r="I36" s="104">
        <v>7130</v>
      </c>
      <c r="J36" s="103">
        <f t="shared" si="1"/>
        <v>222.8125</v>
      </c>
      <c r="K36" s="103">
        <f t="shared" si="2"/>
        <v>13.106617647058824</v>
      </c>
      <c r="L36" s="106">
        <f t="shared" si="3"/>
        <v>17.693933823529413</v>
      </c>
    </row>
    <row r="37" spans="1:12">
      <c r="H37">
        <v>17.5</v>
      </c>
      <c r="I37" s="104">
        <v>7333</v>
      </c>
      <c r="J37" s="103">
        <f t="shared" si="1"/>
        <v>229.15625</v>
      </c>
      <c r="K37" s="103">
        <f t="shared" si="2"/>
        <v>13.094642857142857</v>
      </c>
      <c r="L37" s="106">
        <f t="shared" si="3"/>
        <v>17.677767857142857</v>
      </c>
    </row>
    <row r="38" spans="1:12">
      <c r="A38" s="169" t="s">
        <v>262</v>
      </c>
      <c r="B38" s="169"/>
      <c r="E38" s="80"/>
      <c r="H38">
        <v>18</v>
      </c>
      <c r="I38" s="104">
        <v>7537</v>
      </c>
      <c r="J38" s="103">
        <f t="shared" si="1"/>
        <v>235.53125</v>
      </c>
      <c r="K38" s="103">
        <f t="shared" si="2"/>
        <v>13.085069444444445</v>
      </c>
      <c r="L38" s="106">
        <f t="shared" si="3"/>
        <v>17.664843750000003</v>
      </c>
    </row>
    <row r="39" spans="1:12">
      <c r="A39" s="94" t="s">
        <v>268</v>
      </c>
      <c r="H39">
        <v>18.5</v>
      </c>
      <c r="I39" s="104">
        <v>7740</v>
      </c>
      <c r="J39" s="103">
        <f t="shared" si="1"/>
        <v>241.875</v>
      </c>
      <c r="K39" s="103">
        <f t="shared" si="2"/>
        <v>13.074324324324325</v>
      </c>
      <c r="L39" s="106">
        <f t="shared" si="3"/>
        <v>17.650337837837839</v>
      </c>
    </row>
    <row r="40" spans="1:12">
      <c r="A40" s="56" t="s">
        <v>249</v>
      </c>
      <c r="B40" s="56" t="s">
        <v>263</v>
      </c>
      <c r="C40" s="79" t="s">
        <v>250</v>
      </c>
      <c r="D40" s="79" t="s">
        <v>251</v>
      </c>
      <c r="H40">
        <v>19</v>
      </c>
      <c r="I40" s="104">
        <v>7943</v>
      </c>
      <c r="J40" s="103">
        <f t="shared" si="1"/>
        <v>248.21875</v>
      </c>
      <c r="K40" s="103">
        <f t="shared" si="2"/>
        <v>13.064144736842104</v>
      </c>
      <c r="L40" s="106">
        <f t="shared" si="3"/>
        <v>17.636595394736844</v>
      </c>
    </row>
    <row r="41" spans="1:12">
      <c r="A41" s="56">
        <v>1</v>
      </c>
      <c r="B41" s="56">
        <v>12</v>
      </c>
      <c r="C41" s="79">
        <f>B41/$C$31</f>
        <v>1.7142857142857142</v>
      </c>
      <c r="D41" s="79">
        <f>C41/A41</f>
        <v>1.7142857142857142</v>
      </c>
      <c r="E41" s="79">
        <f>D41*$E$31</f>
        <v>2.3142857142857145</v>
      </c>
      <c r="H41">
        <v>19.5</v>
      </c>
      <c r="I41" s="104">
        <v>8147</v>
      </c>
      <c r="J41" s="103">
        <f t="shared" si="1"/>
        <v>254.59375</v>
      </c>
      <c r="K41" s="103">
        <f t="shared" si="2"/>
        <v>13.056089743589743</v>
      </c>
      <c r="L41" s="106">
        <f t="shared" si="3"/>
        <v>17.625721153846154</v>
      </c>
    </row>
    <row r="42" spans="1:12">
      <c r="A42" s="56">
        <v>3</v>
      </c>
      <c r="B42" s="56">
        <v>5</v>
      </c>
      <c r="C42" s="79">
        <f>B42/$C$31</f>
        <v>0.7142857142857143</v>
      </c>
      <c r="D42" s="79">
        <f>C42/A42</f>
        <v>0.23809523809523811</v>
      </c>
      <c r="E42" s="79">
        <f t="shared" ref="E42" si="12">D42*$E$31</f>
        <v>0.32142857142857145</v>
      </c>
      <c r="H42">
        <v>20</v>
      </c>
      <c r="I42" s="104">
        <v>8350</v>
      </c>
      <c r="J42" s="103">
        <f t="shared" si="1"/>
        <v>260.9375</v>
      </c>
      <c r="K42" s="103">
        <f t="shared" si="2"/>
        <v>13.046875</v>
      </c>
      <c r="L42" s="106">
        <f t="shared" si="3"/>
        <v>17.61328125</v>
      </c>
    </row>
    <row r="44" spans="1:12">
      <c r="A44" s="56" t="s">
        <v>272</v>
      </c>
      <c r="G44" s="107"/>
      <c r="H44">
        <v>1</v>
      </c>
      <c r="I44" s="104">
        <v>370</v>
      </c>
      <c r="J44" s="103">
        <f t="shared" si="1"/>
        <v>11.5625</v>
      </c>
      <c r="K44" s="103">
        <f>J44/H44</f>
        <v>11.5625</v>
      </c>
      <c r="L44" s="106">
        <f t="shared" si="3"/>
        <v>15.609375000000002</v>
      </c>
    </row>
    <row r="45" spans="1:12">
      <c r="A45" s="108">
        <v>21.8</v>
      </c>
      <c r="B45" s="79">
        <v>56</v>
      </c>
      <c r="C45" s="79">
        <v>36</v>
      </c>
      <c r="D45" s="79">
        <v>24</v>
      </c>
      <c r="E45" s="79">
        <f>D45*C45*B45*0.0002</f>
        <v>9.6768000000000001</v>
      </c>
      <c r="F45" s="109">
        <f>(A45*E42)+(A45*E34)+(A45*F24)</f>
        <v>138.19243139186901</v>
      </c>
      <c r="H45">
        <v>1</v>
      </c>
      <c r="I45" s="104">
        <v>360</v>
      </c>
      <c r="J45" s="103">
        <f t="shared" si="1"/>
        <v>11.25</v>
      </c>
      <c r="K45" s="103">
        <f t="shared" ref="K45:K47" si="13">J45/H45</f>
        <v>11.25</v>
      </c>
      <c r="L45" s="106">
        <f t="shared" si="3"/>
        <v>15.187500000000002</v>
      </c>
    </row>
    <row r="46" spans="1:12">
      <c r="A46" s="108">
        <v>20.8</v>
      </c>
      <c r="B46" s="79">
        <v>56</v>
      </c>
      <c r="C46" s="79">
        <v>36</v>
      </c>
      <c r="D46" s="79">
        <v>24</v>
      </c>
      <c r="E46" s="79">
        <f>D46*C46*B46*0.0002</f>
        <v>9.6768000000000001</v>
      </c>
      <c r="H46">
        <v>1</v>
      </c>
      <c r="I46" s="104">
        <v>355</v>
      </c>
      <c r="J46" s="103">
        <f t="shared" si="1"/>
        <v>11.09375</v>
      </c>
      <c r="K46" s="103">
        <f t="shared" si="13"/>
        <v>11.09375</v>
      </c>
      <c r="L46" s="106">
        <f t="shared" si="3"/>
        <v>14.976562500000002</v>
      </c>
    </row>
    <row r="47" spans="1:12">
      <c r="H47">
        <v>1</v>
      </c>
      <c r="I47" s="104">
        <v>355</v>
      </c>
      <c r="J47" s="103">
        <f t="shared" si="1"/>
        <v>11.09375</v>
      </c>
      <c r="K47" s="103">
        <f t="shared" si="13"/>
        <v>11.09375</v>
      </c>
      <c r="L47" s="106">
        <f t="shared" si="3"/>
        <v>14.976562500000002</v>
      </c>
    </row>
    <row r="48" spans="1:12">
      <c r="H48">
        <v>1</v>
      </c>
      <c r="I48" s="104">
        <v>350</v>
      </c>
      <c r="J48" s="103">
        <f t="shared" si="1"/>
        <v>10.9375</v>
      </c>
      <c r="K48" s="103">
        <f t="shared" ref="K48:K49" si="14">J48/H48</f>
        <v>10.9375</v>
      </c>
      <c r="L48" s="106">
        <f t="shared" si="3"/>
        <v>14.765625000000002</v>
      </c>
    </row>
    <row r="49" spans="8:12">
      <c r="H49">
        <v>1</v>
      </c>
      <c r="I49" s="104">
        <v>350</v>
      </c>
      <c r="J49" s="103">
        <f t="shared" si="1"/>
        <v>10.9375</v>
      </c>
      <c r="K49" s="103">
        <f t="shared" si="14"/>
        <v>10.9375</v>
      </c>
      <c r="L49" s="106">
        <f t="shared" si="3"/>
        <v>14.765625000000002</v>
      </c>
    </row>
  </sheetData>
  <mergeCells count="3">
    <mergeCell ref="A1:B1"/>
    <mergeCell ref="A31:B31"/>
    <mergeCell ref="A38:B3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Row data</vt:lpstr>
      <vt:lpstr>수취인 불명 내역</vt:lpstr>
      <vt:lpstr>이름(LCxx-xx)</vt:lpstr>
      <vt:lpstr>Sheet1</vt:lpstr>
      <vt:lpstr>'이름(LCxx-xx)'!Print_Area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Jin Laos Tenor</cp:lastModifiedBy>
  <cp:lastPrinted>2024-07-08T03:31:14Z</cp:lastPrinted>
  <dcterms:created xsi:type="dcterms:W3CDTF">2022-06-08T08:17:29Z</dcterms:created>
  <dcterms:modified xsi:type="dcterms:W3CDTF">2026-06-18T06:55:21Z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