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G:\다른 컴퓨터\내 컴퓨터\LK Group 관련\4. 라오-태국 운송 관련\고객 견적 확인 요청건\"/>
    </mc:Choice>
  </mc:AlternateContent>
  <xr:revisionPtr revIDLastSave="0" documentId="13_ncr:1_{61659F4E-0A9E-482F-99FB-850C981F9D65}" xr6:coauthVersionLast="47" xr6:coauthVersionMax="47" xr10:uidLastSave="{00000000-0000-0000-0000-000000000000}"/>
  <bookViews>
    <workbookView xWindow="-108" yWindow="-108" windowWidth="23256" windowHeight="12576" tabRatio="908" activeTab="2" xr2:uid="{00000000-000D-0000-FFFF-FFFF00000000}"/>
  </bookViews>
  <sheets>
    <sheet name="Row data" sheetId="3" r:id="rId1"/>
    <sheet name="수취인 불명 내역" sheetId="1592" state="hidden" r:id="rId2"/>
    <sheet name="이름(LTxx-xx)" sheetId="1534" r:id="rId3"/>
    <sheet name="Sheet1" sheetId="1593" r:id="rId4"/>
    <sheet name="Sheet2" sheetId="1594" r:id="rId5"/>
  </sheets>
  <definedNames>
    <definedName name="_xlnm._FilterDatabase" localSheetId="0" hidden="1">'Row data'!$U$25:$Y$25</definedName>
    <definedName name="_xlnm.Print_Area" localSheetId="2">'이름(LTxx-xx)'!$A$1:$N$28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" i="1534" l="1"/>
  <c r="M6" i="1534"/>
  <c r="L6" i="1534"/>
  <c r="T22" i="1593"/>
  <c r="U22" i="1593" s="1"/>
  <c r="T17" i="1593"/>
  <c r="U17" i="1593" s="1"/>
  <c r="T12" i="1593"/>
  <c r="U12" i="1593" s="1"/>
  <c r="T8" i="1593"/>
  <c r="U8" i="1593" s="1"/>
  <c r="U7" i="1593"/>
  <c r="U9" i="1593"/>
  <c r="U10" i="1593"/>
  <c r="U11" i="1593"/>
  <c r="U13" i="1593"/>
  <c r="U14" i="1593"/>
  <c r="U15" i="1593"/>
  <c r="U16" i="1593"/>
  <c r="U18" i="1593"/>
  <c r="U19" i="1593"/>
  <c r="U20" i="1593"/>
  <c r="U21" i="1593"/>
  <c r="U6" i="1593"/>
  <c r="U5" i="1593"/>
  <c r="U4" i="1593"/>
  <c r="T6" i="1593"/>
  <c r="T5" i="1593"/>
  <c r="T4" i="1593"/>
  <c r="T3" i="1593"/>
  <c r="U3" i="1593" s="1"/>
  <c r="D8" i="3"/>
  <c r="S24" i="1593"/>
  <c r="Q24" i="1593"/>
  <c r="Q4" i="1593"/>
  <c r="R4" i="1593" s="1"/>
  <c r="S4" i="1593" s="1"/>
  <c r="Q5" i="1593"/>
  <c r="R5" i="1593" s="1"/>
  <c r="S5" i="1593" s="1"/>
  <c r="Q6" i="1593"/>
  <c r="R6" i="1593" s="1"/>
  <c r="S6" i="1593" s="1"/>
  <c r="Q7" i="1593"/>
  <c r="R7" i="1593" s="1"/>
  <c r="S7" i="1593" s="1"/>
  <c r="Q8" i="1593"/>
  <c r="R8" i="1593" s="1"/>
  <c r="S8" i="1593" s="1"/>
  <c r="Q9" i="1593"/>
  <c r="R9" i="1593" s="1"/>
  <c r="S9" i="1593" s="1"/>
  <c r="Q10" i="1593"/>
  <c r="R10" i="1593" s="1"/>
  <c r="S10" i="1593" s="1"/>
  <c r="Q11" i="1593"/>
  <c r="R11" i="1593" s="1"/>
  <c r="S11" i="1593" s="1"/>
  <c r="Q12" i="1593"/>
  <c r="R12" i="1593" s="1"/>
  <c r="S12" i="1593" s="1"/>
  <c r="Q13" i="1593"/>
  <c r="R13" i="1593" s="1"/>
  <c r="S13" i="1593" s="1"/>
  <c r="Q14" i="1593"/>
  <c r="R14" i="1593" s="1"/>
  <c r="S14" i="1593" s="1"/>
  <c r="Q15" i="1593"/>
  <c r="R15" i="1593"/>
  <c r="S15" i="1593" s="1"/>
  <c r="Q16" i="1593"/>
  <c r="R16" i="1593" s="1"/>
  <c r="S16" i="1593" s="1"/>
  <c r="Q17" i="1593"/>
  <c r="R17" i="1593" s="1"/>
  <c r="S17" i="1593" s="1"/>
  <c r="Q18" i="1593"/>
  <c r="R18" i="1593" s="1"/>
  <c r="S18" i="1593" s="1"/>
  <c r="Q19" i="1593"/>
  <c r="R19" i="1593" s="1"/>
  <c r="S19" i="1593" s="1"/>
  <c r="Q20" i="1593"/>
  <c r="R20" i="1593" s="1"/>
  <c r="S20" i="1593" s="1"/>
  <c r="Q21" i="1593"/>
  <c r="R21" i="1593" s="1"/>
  <c r="S21" i="1593" s="1"/>
  <c r="Q22" i="1593"/>
  <c r="R22" i="1593" s="1"/>
  <c r="S22" i="1593" s="1"/>
  <c r="Q3" i="1593"/>
  <c r="R3" i="1593" s="1"/>
  <c r="S3" i="1593" s="1"/>
  <c r="R46" i="3" l="1"/>
  <c r="M15" i="1534" l="1"/>
  <c r="M14" i="1534"/>
  <c r="M13" i="1534"/>
  <c r="I4" i="1593" l="1"/>
  <c r="I5" i="1593"/>
  <c r="J5" i="1593" s="1"/>
  <c r="K5" i="1593" s="1"/>
  <c r="I6" i="1593"/>
  <c r="J6" i="1593" s="1"/>
  <c r="K6" i="1593" s="1"/>
  <c r="I7" i="1593"/>
  <c r="J7" i="1593" s="1"/>
  <c r="K7" i="1593" s="1"/>
  <c r="I8" i="1593"/>
  <c r="J8" i="1593" s="1"/>
  <c r="K8" i="1593" s="1"/>
  <c r="I9" i="1593"/>
  <c r="J9" i="1593" s="1"/>
  <c r="K9" i="1593" s="1"/>
  <c r="I10" i="1593"/>
  <c r="J10" i="1593" s="1"/>
  <c r="K10" i="1593" s="1"/>
  <c r="I11" i="1593"/>
  <c r="J11" i="1593" s="1"/>
  <c r="K11" i="1593" s="1"/>
  <c r="I12" i="1593"/>
  <c r="J12" i="1593" s="1"/>
  <c r="K12" i="1593" s="1"/>
  <c r="I13" i="1593"/>
  <c r="J13" i="1593" s="1"/>
  <c r="K13" i="1593" s="1"/>
  <c r="I14" i="1593"/>
  <c r="J14" i="1593" s="1"/>
  <c r="K14" i="1593" s="1"/>
  <c r="I15" i="1593"/>
  <c r="J15" i="1593" s="1"/>
  <c r="K15" i="1593" s="1"/>
  <c r="I16" i="1593"/>
  <c r="J16" i="1593" s="1"/>
  <c r="K16" i="1593" s="1"/>
  <c r="I17" i="1593"/>
  <c r="I18" i="1593"/>
  <c r="J18" i="1593" s="1"/>
  <c r="K18" i="1593" s="1"/>
  <c r="I19" i="1593"/>
  <c r="J19" i="1593" s="1"/>
  <c r="K19" i="1593" s="1"/>
  <c r="I20" i="1593"/>
  <c r="J20" i="1593" s="1"/>
  <c r="K20" i="1593" s="1"/>
  <c r="I21" i="1593"/>
  <c r="J21" i="1593" s="1"/>
  <c r="K21" i="1593" s="1"/>
  <c r="I22" i="1593"/>
  <c r="J22" i="1593" s="1"/>
  <c r="K22" i="1593" s="1"/>
  <c r="I23" i="1593"/>
  <c r="J23" i="1593" s="1"/>
  <c r="K23" i="1593" s="1"/>
  <c r="I24" i="1593"/>
  <c r="J24" i="1593" s="1"/>
  <c r="K24" i="1593" s="1"/>
  <c r="I25" i="1593"/>
  <c r="J25" i="1593" s="1"/>
  <c r="K25" i="1593" s="1"/>
  <c r="I26" i="1593"/>
  <c r="J26" i="1593" s="1"/>
  <c r="K26" i="1593" s="1"/>
  <c r="I27" i="1593"/>
  <c r="J27" i="1593" s="1"/>
  <c r="K27" i="1593" s="1"/>
  <c r="I28" i="1593"/>
  <c r="J28" i="1593" s="1"/>
  <c r="K28" i="1593" s="1"/>
  <c r="I29" i="1593"/>
  <c r="J29" i="1593" s="1"/>
  <c r="K29" i="1593" s="1"/>
  <c r="I30" i="1593"/>
  <c r="J30" i="1593" s="1"/>
  <c r="K30" i="1593" s="1"/>
  <c r="I31" i="1593"/>
  <c r="J31" i="1593" s="1"/>
  <c r="K31" i="1593" s="1"/>
  <c r="I32" i="1593"/>
  <c r="I33" i="1593"/>
  <c r="J33" i="1593" s="1"/>
  <c r="K33" i="1593" s="1"/>
  <c r="I34" i="1593"/>
  <c r="I35" i="1593"/>
  <c r="J35" i="1593" s="1"/>
  <c r="K35" i="1593" s="1"/>
  <c r="I36" i="1593"/>
  <c r="J36" i="1593" s="1"/>
  <c r="K36" i="1593" s="1"/>
  <c r="I37" i="1593"/>
  <c r="J37" i="1593" s="1"/>
  <c r="K37" i="1593" s="1"/>
  <c r="I38" i="1593"/>
  <c r="J38" i="1593" s="1"/>
  <c r="K38" i="1593" s="1"/>
  <c r="I39" i="1593"/>
  <c r="J39" i="1593" s="1"/>
  <c r="K39" i="1593" s="1"/>
  <c r="I40" i="1593"/>
  <c r="J40" i="1593" s="1"/>
  <c r="K40" i="1593" s="1"/>
  <c r="I41" i="1593"/>
  <c r="J41" i="1593" s="1"/>
  <c r="K41" i="1593" s="1"/>
  <c r="I42" i="1593"/>
  <c r="J42" i="1593" s="1"/>
  <c r="K42" i="1593" s="1"/>
  <c r="I43" i="1593"/>
  <c r="J43" i="1593" s="1"/>
  <c r="K43" i="1593" s="1"/>
  <c r="I44" i="1593"/>
  <c r="J44" i="1593" s="1"/>
  <c r="K44" i="1593" s="1"/>
  <c r="I45" i="1593"/>
  <c r="J45" i="1593" s="1"/>
  <c r="K45" i="1593" s="1"/>
  <c r="I46" i="1593"/>
  <c r="J46" i="1593" s="1"/>
  <c r="K46" i="1593" s="1"/>
  <c r="I47" i="1593"/>
  <c r="I48" i="1593"/>
  <c r="J48" i="1593" s="1"/>
  <c r="K48" i="1593" s="1"/>
  <c r="I49" i="1593"/>
  <c r="J49" i="1593" s="1"/>
  <c r="K49" i="1593" s="1"/>
  <c r="I50" i="1593"/>
  <c r="J50" i="1593" s="1"/>
  <c r="K50" i="1593" s="1"/>
  <c r="I51" i="1593"/>
  <c r="J51" i="1593" s="1"/>
  <c r="K51" i="1593" s="1"/>
  <c r="I52" i="1593"/>
  <c r="J52" i="1593" s="1"/>
  <c r="K52" i="1593" s="1"/>
  <c r="I53" i="1593"/>
  <c r="J53" i="1593" s="1"/>
  <c r="K53" i="1593" s="1"/>
  <c r="I54" i="1593"/>
  <c r="J54" i="1593" s="1"/>
  <c r="K54" i="1593" s="1"/>
  <c r="I55" i="1593"/>
  <c r="J55" i="1593" s="1"/>
  <c r="K55" i="1593" s="1"/>
  <c r="C4" i="1593"/>
  <c r="C5" i="1593"/>
  <c r="C6" i="1593"/>
  <c r="C7" i="1593"/>
  <c r="C8" i="1593"/>
  <c r="D8" i="1593" s="1"/>
  <c r="E8" i="1593" s="1"/>
  <c r="C9" i="1593"/>
  <c r="D9" i="1593" s="1"/>
  <c r="E9" i="1593" s="1"/>
  <c r="C10" i="1593"/>
  <c r="C11" i="1593"/>
  <c r="D11" i="1593" s="1"/>
  <c r="E11" i="1593" s="1"/>
  <c r="C12" i="1593"/>
  <c r="C13" i="1593"/>
  <c r="C14" i="1593"/>
  <c r="C15" i="1593"/>
  <c r="D15" i="1593" s="1"/>
  <c r="E15" i="1593" s="1"/>
  <c r="C16" i="1593"/>
  <c r="C17" i="1593"/>
  <c r="C18" i="1593"/>
  <c r="C19" i="1593"/>
  <c r="C20" i="1593"/>
  <c r="D20" i="1593" s="1"/>
  <c r="E20" i="1593" s="1"/>
  <c r="C21" i="1593"/>
  <c r="D21" i="1593" s="1"/>
  <c r="E21" i="1593" s="1"/>
  <c r="C22" i="1593"/>
  <c r="C23" i="1593"/>
  <c r="D23" i="1593" s="1"/>
  <c r="E23" i="1593" s="1"/>
  <c r="C24" i="1593"/>
  <c r="C25" i="1593"/>
  <c r="C26" i="1593"/>
  <c r="D26" i="1593" s="1"/>
  <c r="E26" i="1593" s="1"/>
  <c r="C27" i="1593"/>
  <c r="D27" i="1593" s="1"/>
  <c r="E27" i="1593" s="1"/>
  <c r="C28" i="1593"/>
  <c r="C29" i="1593"/>
  <c r="C30" i="1593"/>
  <c r="C31" i="1593"/>
  <c r="C32" i="1593"/>
  <c r="D32" i="1593" s="1"/>
  <c r="E32" i="1593" s="1"/>
  <c r="C33" i="1593"/>
  <c r="D33" i="1593" s="1"/>
  <c r="E33" i="1593" s="1"/>
  <c r="C34" i="1593"/>
  <c r="D34" i="1593" s="1"/>
  <c r="E34" i="1593" s="1"/>
  <c r="C35" i="1593"/>
  <c r="D35" i="1593" s="1"/>
  <c r="E35" i="1593" s="1"/>
  <c r="C36" i="1593"/>
  <c r="D36" i="1593" s="1"/>
  <c r="E36" i="1593" s="1"/>
  <c r="C37" i="1593"/>
  <c r="C38" i="1593"/>
  <c r="D38" i="1593" s="1"/>
  <c r="E38" i="1593" s="1"/>
  <c r="C39" i="1593"/>
  <c r="D39" i="1593" s="1"/>
  <c r="E39" i="1593" s="1"/>
  <c r="C40" i="1593"/>
  <c r="C41" i="1593"/>
  <c r="C42" i="1593"/>
  <c r="C43" i="1593"/>
  <c r="D43" i="1593" s="1"/>
  <c r="E43" i="1593" s="1"/>
  <c r="C44" i="1593"/>
  <c r="D44" i="1593" s="1"/>
  <c r="E44" i="1593" s="1"/>
  <c r="C45" i="1593"/>
  <c r="D45" i="1593" s="1"/>
  <c r="E45" i="1593" s="1"/>
  <c r="C46" i="1593"/>
  <c r="D46" i="1593" s="1"/>
  <c r="E46" i="1593" s="1"/>
  <c r="C47" i="1593"/>
  <c r="D47" i="1593" s="1"/>
  <c r="E47" i="1593" s="1"/>
  <c r="C48" i="1593"/>
  <c r="D48" i="1593" s="1"/>
  <c r="E48" i="1593" s="1"/>
  <c r="C49" i="1593"/>
  <c r="D49" i="1593" s="1"/>
  <c r="E49" i="1593" s="1"/>
  <c r="C50" i="1593"/>
  <c r="C51" i="1593"/>
  <c r="D51" i="1593" s="1"/>
  <c r="E51" i="1593" s="1"/>
  <c r="C52" i="1593"/>
  <c r="C53" i="1593"/>
  <c r="C54" i="1593"/>
  <c r="C55" i="1593"/>
  <c r="D55" i="1593" s="1"/>
  <c r="E55" i="1593" s="1"/>
  <c r="I3" i="1593"/>
  <c r="J3" i="1593" s="1"/>
  <c r="K3" i="1593" s="1"/>
  <c r="C3" i="1593"/>
  <c r="D3" i="1593" s="1"/>
  <c r="E3" i="1593" s="1"/>
  <c r="D54" i="1593"/>
  <c r="E54" i="1593" s="1"/>
  <c r="D53" i="1593"/>
  <c r="E53" i="1593" s="1"/>
  <c r="D52" i="1593"/>
  <c r="E52" i="1593" s="1"/>
  <c r="D50" i="1593"/>
  <c r="E50" i="1593" s="1"/>
  <c r="J47" i="1593"/>
  <c r="K47" i="1593" s="1"/>
  <c r="D42" i="1593"/>
  <c r="E42" i="1593" s="1"/>
  <c r="D41" i="1593"/>
  <c r="E41" i="1593" s="1"/>
  <c r="D40" i="1593"/>
  <c r="E40" i="1593" s="1"/>
  <c r="D37" i="1593"/>
  <c r="E37" i="1593" s="1"/>
  <c r="J34" i="1593"/>
  <c r="K34" i="1593" s="1"/>
  <c r="J32" i="1593"/>
  <c r="K32" i="1593" s="1"/>
  <c r="D31" i="1593"/>
  <c r="E31" i="1593" s="1"/>
  <c r="D30" i="1593"/>
  <c r="E30" i="1593" s="1"/>
  <c r="D29" i="1593"/>
  <c r="E29" i="1593" s="1"/>
  <c r="D28" i="1593"/>
  <c r="E28" i="1593" s="1"/>
  <c r="D25" i="1593"/>
  <c r="E25" i="1593" s="1"/>
  <c r="D24" i="1593"/>
  <c r="E24" i="1593" s="1"/>
  <c r="D22" i="1593"/>
  <c r="E22" i="1593" s="1"/>
  <c r="D19" i="1593"/>
  <c r="E19" i="1593" s="1"/>
  <c r="D18" i="1593"/>
  <c r="E18" i="1593" s="1"/>
  <c r="J17" i="1593"/>
  <c r="K17" i="1593" s="1"/>
  <c r="D17" i="1593"/>
  <c r="E17" i="1593" s="1"/>
  <c r="D16" i="1593"/>
  <c r="E16" i="1593" s="1"/>
  <c r="D14" i="1593"/>
  <c r="E14" i="1593" s="1"/>
  <c r="D13" i="1593"/>
  <c r="E13" i="1593" s="1"/>
  <c r="D12" i="1593"/>
  <c r="E12" i="1593" s="1"/>
  <c r="D10" i="1593"/>
  <c r="E10" i="1593" s="1"/>
  <c r="D7" i="1593"/>
  <c r="E7" i="1593" s="1"/>
  <c r="D6" i="1593"/>
  <c r="E6" i="1593" s="1"/>
  <c r="D5" i="1593"/>
  <c r="E5" i="1593" s="1"/>
  <c r="J4" i="1593"/>
  <c r="K4" i="1593" s="1"/>
  <c r="D4" i="1593"/>
  <c r="E4" i="1593" s="1"/>
  <c r="L45" i="1593" l="1"/>
  <c r="M45" i="1593" s="1"/>
  <c r="D18" i="3" s="1"/>
  <c r="L50" i="1593"/>
  <c r="M50" i="1593" s="1"/>
  <c r="D19" i="3" s="1"/>
  <c r="L30" i="1593"/>
  <c r="M30" i="1593" s="1"/>
  <c r="D15" i="3" s="1"/>
  <c r="L40" i="1593"/>
  <c r="M40" i="1593" s="1"/>
  <c r="D17" i="3" s="1"/>
  <c r="L3" i="1593"/>
  <c r="M3" i="1593" s="1"/>
  <c r="L35" i="1593"/>
  <c r="L26" i="1593"/>
  <c r="M26" i="1593" s="1"/>
  <c r="D14" i="3" s="1"/>
  <c r="L6" i="1593"/>
  <c r="M6" i="1593" s="1"/>
  <c r="D9" i="3" s="1"/>
  <c r="L20" i="1593"/>
  <c r="M20" i="1593" s="1"/>
  <c r="D12" i="3" s="1"/>
  <c r="L11" i="1593"/>
  <c r="M11" i="1593" s="1"/>
  <c r="D10" i="3" s="1"/>
  <c r="L23" i="1593"/>
  <c r="M23" i="1593" s="1"/>
  <c r="D13" i="3" s="1"/>
  <c r="M35" i="1593"/>
  <c r="D16" i="3" s="1"/>
  <c r="L15" i="1593"/>
  <c r="M15" i="1593" s="1"/>
  <c r="D11" i="3" s="1"/>
  <c r="D41" i="3"/>
  <c r="X32" i="3" l="1"/>
  <c r="K59" i="3" l="1"/>
  <c r="X21" i="3"/>
  <c r="C32" i="3" l="1"/>
  <c r="E41" i="3"/>
  <c r="F6" i="1534" l="1"/>
  <c r="D11" i="1534" l="1"/>
  <c r="R1" i="1534" s="1"/>
  <c r="C29" i="3" s="1"/>
  <c r="R7" i="1534"/>
  <c r="R8" i="1534" s="1"/>
  <c r="U4" i="1534"/>
  <c r="W4" i="1534" s="1"/>
  <c r="U3" i="1534"/>
  <c r="W3" i="1534" s="1"/>
  <c r="U2" i="1534"/>
  <c r="W2" i="1534" s="1"/>
  <c r="E5" i="3"/>
  <c r="E4" i="3"/>
  <c r="E3" i="3"/>
  <c r="J6" i="1534" l="1"/>
  <c r="C6" i="1534" s="1"/>
  <c r="F11" i="1534"/>
  <c r="K6" i="1534" l="1"/>
  <c r="K11" i="1534" l="1"/>
  <c r="N12" i="1534" l="1"/>
  <c r="N13" i="1534" l="1"/>
  <c r="N14" i="1534"/>
  <c r="N15" i="1534" l="1"/>
  <c r="N16" i="1534" s="1"/>
  <c r="N18" i="1534" s="1"/>
  <c r="N19" i="1534" l="1"/>
  <c r="R2" i="1534"/>
  <c r="C30" i="3" s="1"/>
  <c r="C44" i="3" s="1"/>
  <c r="N17" i="1534"/>
</calcChain>
</file>

<file path=xl/sharedStrings.xml><?xml version="1.0" encoding="utf-8"?>
<sst xmlns="http://schemas.openxmlformats.org/spreadsheetml/2006/main" count="392" uniqueCount="334">
  <si>
    <t>USD-KIP</t>
    <phoneticPr fontId="3" type="noConversion"/>
  </si>
  <si>
    <t>USD-WON</t>
    <phoneticPr fontId="3" type="noConversion"/>
  </si>
  <si>
    <t>USD-THB</t>
    <phoneticPr fontId="3" type="noConversion"/>
  </si>
  <si>
    <t>회사명</t>
    <phoneticPr fontId="4" type="noConversion"/>
  </si>
  <si>
    <t>엘케이(LK)무역</t>
    <phoneticPr fontId="4" type="noConversion"/>
  </si>
  <si>
    <t>도착일</t>
    <phoneticPr fontId="4" type="noConversion"/>
  </si>
  <si>
    <t>회사 주소</t>
    <phoneticPr fontId="4" type="noConversion"/>
  </si>
  <si>
    <t>전화번호</t>
    <phoneticPr fontId="4" type="noConversion"/>
  </si>
  <si>
    <t>020-9112-6780</t>
    <phoneticPr fontId="3" type="noConversion"/>
  </si>
  <si>
    <t>고객 연락처/회사 연락처</t>
    <phoneticPr fontId="4" type="noConversion"/>
  </si>
  <si>
    <t>No.</t>
    <phoneticPr fontId="4" type="noConversion"/>
  </si>
  <si>
    <t>종류</t>
    <phoneticPr fontId="4" type="noConversion"/>
  </si>
  <si>
    <t>단가</t>
    <phoneticPr fontId="4" type="noConversion"/>
  </si>
  <si>
    <t>수량</t>
    <phoneticPr fontId="4" type="noConversion"/>
  </si>
  <si>
    <t>합 계</t>
  </si>
  <si>
    <t>운임 총합</t>
    <phoneticPr fontId="3" type="noConversion"/>
  </si>
  <si>
    <t>할인</t>
    <phoneticPr fontId="3" type="noConversion"/>
  </si>
  <si>
    <t>USD</t>
    <phoneticPr fontId="3" type="noConversion"/>
  </si>
  <si>
    <t>KIP</t>
    <phoneticPr fontId="3" type="noConversion"/>
  </si>
  <si>
    <t>THB</t>
    <phoneticPr fontId="3" type="noConversion"/>
  </si>
  <si>
    <t>WON</t>
    <phoneticPr fontId="3" type="noConversion"/>
  </si>
  <si>
    <t>엘케이 (LK)무역</t>
    <phoneticPr fontId="3" type="noConversion"/>
  </si>
  <si>
    <t>고객사 서명</t>
    <phoneticPr fontId="3" type="noConversion"/>
  </si>
  <si>
    <t>Total</t>
  </si>
  <si>
    <t>Amount</t>
  </si>
  <si>
    <t>Love STK</t>
  </si>
  <si>
    <t>화폐</t>
    <phoneticPr fontId="3" type="noConversion"/>
  </si>
  <si>
    <t>기준 환율</t>
    <phoneticPr fontId="3" type="noConversion"/>
  </si>
  <si>
    <t>추가 환율</t>
    <phoneticPr fontId="3" type="noConversion"/>
  </si>
  <si>
    <t>적용 환율</t>
    <phoneticPr fontId="3" type="noConversion"/>
  </si>
  <si>
    <t>LK내부 환율</t>
    <phoneticPr fontId="3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</si>
  <si>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</si>
  <si>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</si>
  <si>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</si>
  <si>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</si>
  <si>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</si>
  <si>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</si>
  <si>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</si>
  <si>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</si>
  <si>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</si>
  <si>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</si>
  <si>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</si>
  <si>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</si>
  <si>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</si>
  <si>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</si>
  <si>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</si>
  <si>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박정민</t>
  </si>
  <si>
    <t>5593-8870-9956</t>
  </si>
  <si>
    <t>강병수</t>
  </si>
  <si>
    <t>백대식</t>
  </si>
  <si>
    <t>66597-0117-4099</t>
  </si>
  <si>
    <t>이관택</t>
  </si>
  <si>
    <t>65129-0112-6372</t>
  </si>
  <si>
    <t>정석진</t>
  </si>
  <si>
    <t>신라함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</si>
  <si>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</si>
  <si>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</si>
  <si>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</si>
  <si>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</si>
  <si>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</si>
  <si>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</si>
  <si>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</si>
  <si>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할인 적용 목록</t>
    <phoneticPr fontId="3" type="noConversion"/>
  </si>
  <si>
    <t>해상</t>
    <phoneticPr fontId="3" type="noConversion"/>
  </si>
  <si>
    <t>항공</t>
    <phoneticPr fontId="3" type="noConversion"/>
  </si>
  <si>
    <t>일반</t>
    <phoneticPr fontId="3" type="noConversion"/>
  </si>
  <si>
    <t>기부</t>
    <phoneticPr fontId="3" type="noConversion"/>
  </si>
  <si>
    <t>이름</t>
    <phoneticPr fontId="3" type="noConversion"/>
  </si>
  <si>
    <t>백총명</t>
    <phoneticPr fontId="3" type="noConversion"/>
  </si>
  <si>
    <t>5~10%</t>
    <phoneticPr fontId="3" type="noConversion"/>
  </si>
  <si>
    <t>백규현</t>
    <phoneticPr fontId="3" type="noConversion"/>
  </si>
  <si>
    <t>에즈라</t>
    <phoneticPr fontId="3" type="noConversion"/>
  </si>
  <si>
    <t>김반석</t>
    <phoneticPr fontId="3" type="noConversion"/>
  </si>
  <si>
    <t>샤론스쿨</t>
    <phoneticPr fontId="3" type="noConversion"/>
  </si>
  <si>
    <t>최성식</t>
    <phoneticPr fontId="3" type="noConversion"/>
  </si>
  <si>
    <t>큐빅 바이크</t>
    <phoneticPr fontId="3" type="noConversion"/>
  </si>
  <si>
    <t>김인섭</t>
    <phoneticPr fontId="3" type="noConversion"/>
  </si>
  <si>
    <t>요정 투어 (김요셉 형)</t>
    <phoneticPr fontId="3" type="noConversion"/>
  </si>
  <si>
    <t>제품</t>
  </si>
  <si>
    <t>성경책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</si>
  <si>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</si>
  <si>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</si>
  <si>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</si>
  <si>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</si>
  <si>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</si>
  <si>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</si>
  <si>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</si>
  <si>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</si>
  <si>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</si>
  <si>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</si>
  <si>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</si>
  <si>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</si>
  <si>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</si>
  <si>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</si>
  <si>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</si>
  <si>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</si>
  <si>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</si>
  <si>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</si>
  <si>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</si>
  <si>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</si>
  <si>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</si>
  <si>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김필립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</si>
  <si>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</si>
  <si>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</si>
  <si>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</si>
  <si>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</si>
  <si>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</si>
  <si>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</si>
  <si>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</si>
  <si>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</si>
  <si>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본죽</t>
    <phoneticPr fontId="3" type="noConversion"/>
  </si>
  <si>
    <t>박진경</t>
    <phoneticPr fontId="3" type="noConversion"/>
  </si>
  <si>
    <t>할인율</t>
    <phoneticPr fontId="3" type="noConversion"/>
  </si>
  <si>
    <t>할인금액</t>
    <phoneticPr fontId="3" type="noConversion"/>
  </si>
  <si>
    <t>정석진</t>
    <phoneticPr fontId="3" type="noConversion"/>
  </si>
  <si>
    <t>PNPC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</si>
  <si>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</si>
  <si>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</si>
  <si>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</si>
  <si>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</si>
  <si>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</si>
  <si>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</si>
  <si>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</si>
  <si>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</si>
  <si>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</si>
  <si>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</si>
  <si>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</si>
  <si>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</si>
  <si>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</si>
  <si>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</si>
  <si>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</si>
  <si>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</si>
  <si>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</si>
  <si>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</si>
  <si>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</si>
  <si>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3" type="noConversion"/>
  </si>
  <si>
    <t>최현석</t>
    <phoneticPr fontId="3" type="noConversion"/>
  </si>
  <si>
    <t>Peter Kim/Viengchay</t>
    <phoneticPr fontId="3" type="noConversion"/>
  </si>
  <si>
    <t>할인 총합</t>
    <phoneticPr fontId="3" type="noConversion"/>
  </si>
  <si>
    <t>총 할인 금액</t>
    <phoneticPr fontId="3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</si>
  <si>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</si>
  <si>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</si>
  <si>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</si>
  <si>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</si>
  <si>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</si>
  <si>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</si>
  <si>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</si>
  <si>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</si>
  <si>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</si>
  <si>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</si>
  <si>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</si>
  <si>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</si>
  <si>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</si>
  <si>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3" type="noConversion"/>
  </si>
  <si>
    <t>박주유</t>
    <phoneticPr fontId="3" type="noConversion"/>
  </si>
  <si>
    <t>엘에스엠</t>
  </si>
  <si>
    <t>백지원</t>
  </si>
  <si>
    <t>고영태</t>
  </si>
  <si>
    <t>이창열</t>
  </si>
  <si>
    <t>이제원</t>
  </si>
  <si>
    <t>고중하</t>
  </si>
  <si>
    <t>김일재</t>
  </si>
  <si>
    <t>이재원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</si>
  <si>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</si>
  <si>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</si>
  <si>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</si>
  <si>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</si>
  <si>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</si>
  <si>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</si>
  <si>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</si>
  <si>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</si>
  <si>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</si>
  <si>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</si>
  <si>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</si>
  <si>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</si>
  <si>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</si>
  <si>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</si>
  <si>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</si>
  <si>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</si>
  <si>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</si>
  <si>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</si>
  <si>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</si>
  <si>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</si>
  <si>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</si>
  <si>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</si>
  <si>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4" type="noConversion"/>
  </si>
  <si>
    <t>지상사협의회 회원사 할인</t>
    <phoneticPr fontId="3" type="noConversion"/>
  </si>
  <si>
    <t>대표님 지인 할인</t>
    <phoneticPr fontId="3" type="noConversion"/>
  </si>
  <si>
    <t>기업 할인</t>
    <phoneticPr fontId="3" type="noConversion"/>
  </si>
  <si>
    <t>이규상</t>
    <phoneticPr fontId="3" type="noConversion"/>
  </si>
  <si>
    <t>비 고</t>
    <phoneticPr fontId="3" type="noConversion"/>
  </si>
  <si>
    <t>지방배송</t>
    <phoneticPr fontId="3" type="noConversion"/>
  </si>
  <si>
    <t>이경희</t>
    <phoneticPr fontId="3" type="noConversion"/>
  </si>
  <si>
    <t>이우용/임태준</t>
    <phoneticPr fontId="3" type="noConversion"/>
  </si>
  <si>
    <t>유투버</t>
    <phoneticPr fontId="3" type="noConversion"/>
  </si>
  <si>
    <t>최지호</t>
    <phoneticPr fontId="3" type="noConversion"/>
  </si>
  <si>
    <t>총 합산 액</t>
    <phoneticPr fontId="3" type="noConversion"/>
  </si>
  <si>
    <t>우상봉</t>
    <phoneticPr fontId="3" type="noConversion"/>
  </si>
  <si>
    <t>Kg 구간</t>
    <phoneticPr fontId="3" type="noConversion"/>
  </si>
  <si>
    <t>적용 운임</t>
    <phoneticPr fontId="3" type="noConversion"/>
  </si>
  <si>
    <t>0~1kg</t>
    <phoneticPr fontId="3" type="noConversion"/>
  </si>
  <si>
    <t>2~5kg</t>
    <phoneticPr fontId="3" type="noConversion"/>
  </si>
  <si>
    <t>6~9kg</t>
    <phoneticPr fontId="3" type="noConversion"/>
  </si>
  <si>
    <t>10~14kg</t>
    <phoneticPr fontId="3" type="noConversion"/>
  </si>
  <si>
    <t>최소값</t>
    <phoneticPr fontId="3" type="noConversion"/>
  </si>
  <si>
    <t>원순연</t>
    <phoneticPr fontId="3" type="noConversion"/>
  </si>
  <si>
    <t>임홍식</t>
    <phoneticPr fontId="3" type="noConversion"/>
  </si>
  <si>
    <t>Nice to meat you</t>
    <phoneticPr fontId="3" type="noConversion"/>
  </si>
  <si>
    <t>현지 발생 비용</t>
    <phoneticPr fontId="3" type="noConversion"/>
  </si>
  <si>
    <t>한국 세금 계산서 발급시 계좌번호</t>
  </si>
  <si>
    <t>최재혁</t>
    <phoneticPr fontId="3" type="noConversion"/>
  </si>
  <si>
    <t>실제중량(Kg)</t>
    <phoneticPr fontId="3" type="noConversion"/>
  </si>
  <si>
    <t>실제중량 합산(kg)</t>
    <phoneticPr fontId="3" type="noConversion"/>
  </si>
  <si>
    <t>용적 중량(kg)</t>
    <phoneticPr fontId="3" type="noConversion"/>
  </si>
  <si>
    <t>용적중량 합산(Kg)</t>
    <phoneticPr fontId="3" type="noConversion"/>
  </si>
  <si>
    <t>청구중량 운임</t>
    <phoneticPr fontId="4" type="noConversion"/>
  </si>
  <si>
    <t>임은희</t>
    <phoneticPr fontId="3" type="noConversion"/>
  </si>
  <si>
    <t>라선협 할인</t>
  </si>
  <si>
    <t>코웨포-라오 인터내셔널</t>
  </si>
  <si>
    <t>비엔티엔시, 씨싿따낙구, 싸판텅 느아 09, 11번 골목, 엘케이(LK) 빌딩, 1층 LK Trading</t>
    <phoneticPr fontId="4" type="noConversion"/>
  </si>
  <si>
    <t xml:space="preserve">Remark/비 고             </t>
    <phoneticPr fontId="3" type="noConversion"/>
  </si>
  <si>
    <t>Inland delivery/시내.지방 배송</t>
    <phoneticPr fontId="3" type="noConversion"/>
  </si>
  <si>
    <t>최종
청구 금액</t>
    <phoneticPr fontId="3" type="noConversion"/>
  </si>
  <si>
    <t>라오스 국가대표 야구 감독</t>
    <phoneticPr fontId="3" type="noConversion"/>
  </si>
  <si>
    <t>* 이용해 주셔서 감사합니다.</t>
    <phoneticPr fontId="3" type="noConversion"/>
  </si>
  <si>
    <t>대량 5%, 기부품 10% (사진 첨부 필)</t>
    <phoneticPr fontId="3" type="noConversion"/>
  </si>
  <si>
    <t>홍진혁</t>
    <phoneticPr fontId="3" type="noConversion"/>
  </si>
  <si>
    <t>김창수</t>
    <phoneticPr fontId="3" type="noConversion"/>
  </si>
  <si>
    <t>지방배송</t>
    <phoneticPr fontId="3" type="noConversion"/>
  </si>
  <si>
    <t>이상미</t>
    <phoneticPr fontId="3" type="noConversion"/>
  </si>
  <si>
    <t>이병목/장헤진</t>
    <phoneticPr fontId="3" type="noConversion"/>
  </si>
  <si>
    <t>진정우</t>
    <phoneticPr fontId="3" type="noConversion"/>
  </si>
  <si>
    <t>105호 고객</t>
    <phoneticPr fontId="3" type="noConversion"/>
  </si>
  <si>
    <t>기부</t>
    <phoneticPr fontId="3" type="noConversion"/>
  </si>
  <si>
    <t>날짜</t>
    <phoneticPr fontId="3" type="noConversion"/>
  </si>
  <si>
    <t>내 용</t>
    <phoneticPr fontId="3" type="noConversion"/>
  </si>
  <si>
    <t>킵</t>
    <phoneticPr fontId="3" type="noConversion"/>
  </si>
  <si>
    <t>2024.10.10</t>
    <phoneticPr fontId="3" type="noConversion"/>
  </si>
  <si>
    <t>2024.10.11</t>
  </si>
  <si>
    <t>서정진(서이사님)</t>
    <phoneticPr fontId="3" type="noConversion"/>
  </si>
  <si>
    <t>최문영/최보애</t>
    <phoneticPr fontId="3" type="noConversion"/>
  </si>
  <si>
    <t>15~17kg</t>
    <phoneticPr fontId="3" type="noConversion"/>
  </si>
  <si>
    <t>18~20kg</t>
    <phoneticPr fontId="3" type="noConversion"/>
  </si>
  <si>
    <t>고객이름</t>
    <phoneticPr fontId="3" type="noConversion"/>
  </si>
  <si>
    <t>전화번호</t>
    <phoneticPr fontId="3" type="noConversion"/>
  </si>
  <si>
    <t>21~24kg</t>
    <phoneticPr fontId="3" type="noConversion"/>
  </si>
  <si>
    <t>25~29kg</t>
    <phoneticPr fontId="3" type="noConversion"/>
  </si>
  <si>
    <t>PSV</t>
    <phoneticPr fontId="3" type="noConversion"/>
  </si>
  <si>
    <t>JJ</t>
    <phoneticPr fontId="3" type="noConversion"/>
  </si>
  <si>
    <t>KG</t>
    <phoneticPr fontId="3" type="noConversion"/>
  </si>
  <si>
    <t>Rate(THB)</t>
    <phoneticPr fontId="3" type="noConversion"/>
  </si>
  <si>
    <t>Rate(USD)</t>
    <phoneticPr fontId="3" type="noConversion"/>
  </si>
  <si>
    <t>per kg(USD)</t>
    <phoneticPr fontId="3" type="noConversion"/>
  </si>
  <si>
    <t>* 모든 비용은 회사의 내규 및 각 물품의 중량/크기 실측을 기준으로 청구되며 최소 운임은 $10/kg 이며, 청구중량에 따라 차등 운임이 적용 됩니다.</t>
    <phoneticPr fontId="4" type="noConversion"/>
  </si>
  <si>
    <t>라오스-태국 내륙 xx항차</t>
    <phoneticPr fontId="3" type="noConversion"/>
  </si>
  <si>
    <t>실제중량 운임</t>
    <phoneticPr fontId="4" type="noConversion"/>
  </si>
  <si>
    <t>용적중량 운임</t>
    <phoneticPr fontId="4" type="noConversion"/>
  </si>
  <si>
    <t>이형준</t>
    <phoneticPr fontId="3" type="noConversion"/>
  </si>
  <si>
    <t>골재 판매</t>
    <phoneticPr fontId="3" type="noConversion"/>
  </si>
  <si>
    <t>이명숙/임기환</t>
    <phoneticPr fontId="3" type="noConversion"/>
  </si>
  <si>
    <t>김종훈/김희영</t>
    <phoneticPr fontId="3" type="noConversion"/>
  </si>
  <si>
    <t>규격 (cm)</t>
    <phoneticPr fontId="4" type="noConversion"/>
  </si>
  <si>
    <t>번호(No.)</t>
    <phoneticPr fontId="3" type="noConversion"/>
  </si>
  <si>
    <t>특별할인</t>
    <phoneticPr fontId="3" type="noConversion"/>
  </si>
  <si>
    <t>세금 계산서(VAT)</t>
    <phoneticPr fontId="3" type="noConversion"/>
  </si>
  <si>
    <t>LT01-01</t>
    <phoneticPr fontId="3" type="noConversion"/>
  </si>
  <si>
    <t>김종덕/안선영</t>
    <phoneticPr fontId="3" type="noConversion"/>
  </si>
  <si>
    <t>회사</t>
    <phoneticPr fontId="3" type="noConversion"/>
  </si>
  <si>
    <t>할인율</t>
    <phoneticPr fontId="3" type="noConversion"/>
  </si>
  <si>
    <t>할인금액</t>
    <phoneticPr fontId="3" type="noConversion"/>
  </si>
  <si>
    <t>비 고</t>
    <phoneticPr fontId="3" type="noConversion"/>
  </si>
  <si>
    <t>한조운</t>
    <phoneticPr fontId="3" type="noConversion"/>
  </si>
  <si>
    <t>김지운</t>
    <phoneticPr fontId="3" type="noConversion"/>
  </si>
  <si>
    <t>고현식</t>
    <phoneticPr fontId="3" type="noConversion"/>
  </si>
  <si>
    <t>법인장</t>
    <phoneticPr fontId="3" type="noConversion"/>
  </si>
  <si>
    <r>
      <t xml:space="preserve">BNK </t>
    </r>
    <r>
      <rPr>
        <sz val="11"/>
        <color theme="1"/>
        <rFont val="돋움"/>
        <family val="3"/>
        <charset val="129"/>
      </rPr>
      <t>소액대출</t>
    </r>
    <r>
      <rPr>
        <sz val="11"/>
        <color theme="1"/>
        <rFont val="Calibri"/>
        <family val="2"/>
        <charset val="129"/>
      </rPr>
      <t xml:space="preserve"> MFI</t>
    </r>
    <phoneticPr fontId="3" type="noConversion"/>
  </si>
  <si>
    <t>김민우</t>
    <phoneticPr fontId="3" type="noConversion"/>
  </si>
  <si>
    <r>
      <rPr>
        <sz val="11"/>
        <color theme="1"/>
        <rFont val="돋움"/>
        <family val="3"/>
        <charset val="129"/>
      </rPr>
      <t>오유근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김연희</t>
    </r>
    <phoneticPr fontId="3" type="noConversion"/>
  </si>
  <si>
    <t>최병한</t>
    <phoneticPr fontId="3" type="noConversion"/>
  </si>
  <si>
    <t>부사장</t>
    <phoneticPr fontId="3" type="noConversion"/>
  </si>
  <si>
    <t>주인현</t>
    <phoneticPr fontId="3" type="noConversion"/>
  </si>
  <si>
    <t>박준규/간현진/
박세연/이종원</t>
    <phoneticPr fontId="3" type="noConversion"/>
  </si>
  <si>
    <r>
      <rPr>
        <sz val="11"/>
        <color theme="1"/>
        <rFont val="돋움"/>
        <family val="3"/>
        <charset val="129"/>
      </rPr>
      <t>최완식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고대종</t>
    </r>
    <phoneticPr fontId="3" type="noConversion"/>
  </si>
  <si>
    <t>강남규</t>
    <phoneticPr fontId="3" type="noConversion"/>
  </si>
  <si>
    <t>부장</t>
    <phoneticPr fontId="3" type="noConversion"/>
  </si>
  <si>
    <t>emart</t>
    <phoneticPr fontId="3" type="noConversion"/>
  </si>
  <si>
    <t>정길영</t>
    <phoneticPr fontId="3" type="noConversion"/>
  </si>
  <si>
    <t>행장</t>
    <phoneticPr fontId="3" type="noConversion"/>
  </si>
  <si>
    <t>부영라오은행</t>
    <phoneticPr fontId="3" type="noConversion"/>
  </si>
  <si>
    <t>박대성</t>
    <phoneticPr fontId="3" type="noConversion"/>
  </si>
  <si>
    <t>차장</t>
    <phoneticPr fontId="3" type="noConversion"/>
  </si>
  <si>
    <r>
      <rPr>
        <sz val="11"/>
        <color theme="1"/>
        <rFont val="돋움"/>
        <family val="3"/>
        <charset val="129"/>
      </rPr>
      <t>부영라오</t>
    </r>
    <r>
      <rPr>
        <sz val="11"/>
        <color theme="1"/>
        <rFont val="Calibri"/>
        <family val="2"/>
        <charset val="129"/>
      </rPr>
      <t xml:space="preserve"> </t>
    </r>
    <r>
      <rPr>
        <sz val="11"/>
        <color theme="1"/>
        <rFont val="돋움"/>
        <family val="3"/>
        <charset val="129"/>
      </rPr>
      <t>골프장</t>
    </r>
    <phoneticPr fontId="3" type="noConversion"/>
  </si>
  <si>
    <t>이성한</t>
    <phoneticPr fontId="3" type="noConversion"/>
  </si>
  <si>
    <t>상무</t>
    <phoneticPr fontId="3" type="noConversion"/>
  </si>
  <si>
    <t>한국종합기술</t>
    <phoneticPr fontId="3" type="noConversion"/>
  </si>
  <si>
    <t>김승용</t>
    <phoneticPr fontId="3" type="noConversion"/>
  </si>
  <si>
    <t>대표이사</t>
    <phoneticPr fontId="3" type="noConversion"/>
  </si>
  <si>
    <t>코코넛샤일로</t>
    <phoneticPr fontId="3" type="noConversion"/>
  </si>
  <si>
    <t>한태원</t>
    <phoneticPr fontId="3" type="noConversion"/>
  </si>
  <si>
    <t>CEO</t>
    <phoneticPr fontId="3" type="noConversion"/>
  </si>
  <si>
    <t>엘에스엠 LSM (콕콕 무브)</t>
    <phoneticPr fontId="3" type="noConversion"/>
  </si>
  <si>
    <t>권도하</t>
    <phoneticPr fontId="3" type="noConversion"/>
  </si>
  <si>
    <t>소장</t>
    <phoneticPr fontId="3" type="noConversion"/>
  </si>
  <si>
    <t>Agriculture Center</t>
    <phoneticPr fontId="3" type="noConversion"/>
  </si>
  <si>
    <t>최동훈</t>
    <phoneticPr fontId="3" type="noConversion"/>
  </si>
  <si>
    <t>소장</t>
    <phoneticPr fontId="3" type="noConversion"/>
  </si>
  <si>
    <r>
      <t xml:space="preserve">DESK </t>
    </r>
    <r>
      <rPr>
        <sz val="11"/>
        <color theme="1"/>
        <rFont val="돋움"/>
        <family val="3"/>
        <charset val="129"/>
      </rPr>
      <t>무상</t>
    </r>
    <r>
      <rPr>
        <sz val="11"/>
        <color theme="1"/>
        <rFont val="Calibri"/>
        <family val="2"/>
        <charset val="129"/>
      </rPr>
      <t xml:space="preserve"> ODA</t>
    </r>
    <phoneticPr fontId="3" type="noConversion"/>
  </si>
  <si>
    <t>할인 총합</t>
    <phoneticPr fontId="3" type="noConversion"/>
  </si>
  <si>
    <t>30~34kg</t>
    <phoneticPr fontId="3" type="noConversion"/>
  </si>
  <si>
    <t>35~39kg</t>
    <phoneticPr fontId="3" type="noConversion"/>
  </si>
  <si>
    <t>40~44kg</t>
    <phoneticPr fontId="3" type="noConversion"/>
  </si>
  <si>
    <t>45kg 이상</t>
    <phoneticPr fontId="3" type="noConversion"/>
  </si>
  <si>
    <t>Kg 구간</t>
  </si>
  <si>
    <t>적용 운임</t>
  </si>
  <si>
    <t>0~1kg</t>
  </si>
  <si>
    <t>2~5kg</t>
  </si>
  <si>
    <t>6~9kg</t>
  </si>
  <si>
    <t>10~14kg</t>
  </si>
  <si>
    <t>15~17kg</t>
  </si>
  <si>
    <t>18~20kg</t>
  </si>
  <si>
    <t>21~24kg</t>
  </si>
  <si>
    <t>25~29kg</t>
  </si>
  <si>
    <t>30~34kg</t>
  </si>
  <si>
    <t>35~39kg</t>
  </si>
  <si>
    <t>40~44kg</t>
  </si>
  <si>
    <t>45kg 이상</t>
  </si>
  <si>
    <t>TSC</t>
    <phoneticPr fontId="3" type="noConversion"/>
  </si>
  <si>
    <t>경남은행 2070133424601 박성호(엘케이무역)</t>
    <phoneticPr fontId="3" type="noConversion"/>
  </si>
  <si>
    <t>일반 입금</t>
    <phoneticPr fontId="3" type="noConversion"/>
  </si>
  <si>
    <t>경남은행 571-22-0330221 박성호</t>
    <phoneticPr fontId="3" type="noConversion"/>
  </si>
  <si>
    <t>LKLT2026xx-xx</t>
    <phoneticPr fontId="3" type="noConversion"/>
  </si>
  <si>
    <t>2026-XX-XX</t>
    <phoneticPr fontId="3" type="noConversion"/>
  </si>
  <si>
    <t>Lao-Thai Trucking 가견적</t>
    <phoneticPr fontId="4" type="noConversion"/>
  </si>
  <si>
    <t>- 동 가견적 운임의 중량 및 크기는 단순 예상치이므로 최종 책정 방법인 기준인 실측시 금액 차이가 발생 할수 있으니, 참고용으로만 확인 부탁 드립니다.
- 운임은 USD 기준이며, 이외 화폐는 가견적 안내시의 환율 기준이므로, 최종 운임 책정시의 환율변동으로 인한 운임 차이가 발생할수 있으니, 참고용으로만 확인 부탁 드립니다.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</si>
</sst>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_-;\-* #,##0_-;_-* &quot;-&quot;??_-;_-@_-"/>
  </numFmts>
  <fonts count="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48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1"/>
      <name val="Leelawadee UI"/>
      <family val="2"/>
    </font>
    <font>
      <b/>
      <sz val="35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>
      <alignment vertical="center"/>
    </xf>
    <xf numFmtId="0" fontId="2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176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0" fontId="1" fillId="0" borderId="0"/>
    <xf numFmtId="0" fontId="27" fillId="0" borderId="0">
      <alignment vertical="center"/>
    </xf>
  </cellStyleXfs>
  <cellXfs count="177">
    <xf numFmtId="0" fontId="0" fillId="0" borderId="0" xfId="0">
      <alignment vertical="center"/>
    </xf>
    <xf numFmtId="0" fontId="4" fillId="0" borderId="0" xfId="3">
      <alignment vertical="center"/>
    </xf>
    <xf numFmtId="0" fontId="8" fillId="0" borderId="0" xfId="3" applyFont="1">
      <alignment vertical="center"/>
    </xf>
    <xf numFmtId="0" fontId="9" fillId="0" borderId="0" xfId="3" applyFont="1">
      <alignment vertical="center"/>
    </xf>
    <xf numFmtId="0" fontId="10" fillId="2" borderId="4" xfId="0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80" fontId="10" fillId="2" borderId="4" xfId="0" applyNumberFormat="1" applyFont="1" applyFill="1" applyBorder="1" applyAlignment="1">
      <alignment horizontal="center" vertical="center"/>
    </xf>
    <xf numFmtId="180" fontId="10" fillId="2" borderId="4" xfId="4" applyNumberFormat="1" applyFont="1" applyFill="1" applyBorder="1" applyAlignment="1">
      <alignment horizontal="center" vertical="center"/>
    </xf>
    <xf numFmtId="180" fontId="6" fillId="2" borderId="4" xfId="5" applyNumberFormat="1" applyFont="1" applyFill="1" applyBorder="1" applyAlignment="1">
      <alignment horizontal="center" vertical="center"/>
    </xf>
    <xf numFmtId="178" fontId="12" fillId="2" borderId="4" xfId="0" applyNumberFormat="1" applyFont="1" applyFill="1" applyBorder="1" applyAlignment="1">
      <alignment horizontal="center" vertical="center" wrapText="1"/>
    </xf>
    <xf numFmtId="176" fontId="12" fillId="2" borderId="4" xfId="4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/>
    </xf>
    <xf numFmtId="181" fontId="6" fillId="2" borderId="4" xfId="3" applyNumberFormat="1" applyFont="1" applyFill="1" applyBorder="1" applyAlignment="1">
      <alignment horizontal="center" vertical="center"/>
    </xf>
    <xf numFmtId="181" fontId="6" fillId="2" borderId="4" xfId="5" applyNumberFormat="1" applyFont="1" applyFill="1" applyBorder="1" applyAlignment="1">
      <alignment horizontal="center" vertical="center"/>
    </xf>
    <xf numFmtId="0" fontId="7" fillId="6" borderId="4" xfId="3" applyFont="1" applyFill="1" applyBorder="1" applyAlignment="1">
      <alignment horizontal="center" vertical="center"/>
    </xf>
    <xf numFmtId="0" fontId="6" fillId="0" borderId="0" xfId="3" applyFont="1">
      <alignment vertical="center"/>
    </xf>
    <xf numFmtId="0" fontId="9" fillId="0" borderId="0" xfId="3" applyFont="1" applyAlignment="1">
      <alignment horizontal="center" vertical="center"/>
    </xf>
    <xf numFmtId="0" fontId="16" fillId="0" borderId="0" xfId="3" applyFont="1">
      <alignment vertical="center"/>
    </xf>
    <xf numFmtId="0" fontId="17" fillId="0" borderId="0" xfId="3" applyFont="1">
      <alignment vertical="center"/>
    </xf>
    <xf numFmtId="0" fontId="0" fillId="0" borderId="0" xfId="3" applyFont="1">
      <alignment vertical="center"/>
    </xf>
    <xf numFmtId="181" fontId="6" fillId="0" borderId="4" xfId="3" applyNumberFormat="1" applyFont="1" applyBorder="1" applyAlignment="1">
      <alignment horizontal="center" vertical="center"/>
    </xf>
    <xf numFmtId="180" fontId="6" fillId="0" borderId="4" xfId="3" applyNumberFormat="1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18" fillId="0" borderId="0" xfId="3" applyFont="1">
      <alignment vertical="center"/>
    </xf>
    <xf numFmtId="181" fontId="18" fillId="0" borderId="0" xfId="3" applyNumberFormat="1" applyFont="1">
      <alignment vertical="center"/>
    </xf>
    <xf numFmtId="0" fontId="19" fillId="0" borderId="4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41" fontId="20" fillId="3" borderId="4" xfId="2" applyFont="1" applyFill="1" applyBorder="1" applyAlignment="1">
      <alignment horizontal="center" vertical="center"/>
    </xf>
    <xf numFmtId="177" fontId="20" fillId="3" borderId="4" xfId="2" applyNumberFormat="1" applyFont="1" applyFill="1" applyBorder="1" applyAlignment="1">
      <alignment horizontal="center" vertical="center"/>
    </xf>
    <xf numFmtId="185" fontId="20" fillId="4" borderId="4" xfId="0" applyNumberFormat="1" applyFont="1" applyFill="1" applyBorder="1" applyAlignment="1">
      <alignment horizontal="center" vertical="center"/>
    </xf>
    <xf numFmtId="177" fontId="20" fillId="4" borderId="4" xfId="2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177" fontId="20" fillId="6" borderId="4" xfId="2" applyNumberFormat="1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2" fillId="0" borderId="4" xfId="0" applyFont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41" fontId="22" fillId="3" borderId="4" xfId="2" applyFont="1" applyFill="1" applyBorder="1" applyAlignment="1">
      <alignment horizontal="center" vertical="center"/>
    </xf>
    <xf numFmtId="177" fontId="22" fillId="3" borderId="4" xfId="2" applyNumberFormat="1" applyFont="1" applyFill="1" applyBorder="1" applyAlignment="1">
      <alignment horizontal="center" vertical="center"/>
    </xf>
    <xf numFmtId="185" fontId="22" fillId="4" borderId="4" xfId="0" applyNumberFormat="1" applyFont="1" applyFill="1" applyBorder="1" applyAlignment="1">
      <alignment horizontal="center" vertical="center"/>
    </xf>
    <xf numFmtId="177" fontId="22" fillId="4" borderId="4" xfId="2" applyNumberFormat="1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177" fontId="22" fillId="6" borderId="4" xfId="2" applyNumberFormat="1" applyFont="1" applyFill="1" applyBorder="1" applyAlignment="1">
      <alignment horizontal="center" vertical="center"/>
    </xf>
    <xf numFmtId="186" fontId="22" fillId="0" borderId="0" xfId="6" applyNumberFormat="1" applyFont="1" applyAlignment="1">
      <alignment vertical="center"/>
    </xf>
    <xf numFmtId="176" fontId="22" fillId="0" borderId="0" xfId="6" applyFont="1" applyAlignment="1">
      <alignment vertical="center"/>
    </xf>
    <xf numFmtId="187" fontId="11" fillId="2" borderId="4" xfId="0" applyNumberFormat="1" applyFont="1" applyFill="1" applyBorder="1" applyAlignment="1">
      <alignment horizontal="center" vertical="center" wrapText="1"/>
    </xf>
    <xf numFmtId="0" fontId="22" fillId="0" borderId="4" xfId="0" applyFont="1" applyBorder="1">
      <alignment vertical="center"/>
    </xf>
    <xf numFmtId="9" fontId="22" fillId="0" borderId="4" xfId="0" applyNumberFormat="1" applyFont="1" applyBorder="1">
      <alignment vertical="center"/>
    </xf>
    <xf numFmtId="0" fontId="22" fillId="0" borderId="0" xfId="0" applyFont="1" applyAlignment="1">
      <alignment horizontal="center" vertical="center"/>
    </xf>
    <xf numFmtId="9" fontId="22" fillId="0" borderId="4" xfId="7" applyFont="1" applyBorder="1" applyAlignment="1">
      <alignment horizontal="center" vertical="center"/>
    </xf>
    <xf numFmtId="177" fontId="22" fillId="0" borderId="4" xfId="2" applyNumberFormat="1" applyFont="1" applyBorder="1" applyAlignment="1">
      <alignment horizontal="center" vertical="center"/>
    </xf>
    <xf numFmtId="9" fontId="22" fillId="0" borderId="4" xfId="0" applyNumberFormat="1" applyFont="1" applyBorder="1" applyAlignment="1">
      <alignment horizontal="center" vertical="center"/>
    </xf>
    <xf numFmtId="9" fontId="22" fillId="0" borderId="0" xfId="0" applyNumberFormat="1" applyFont="1" applyAlignment="1">
      <alignment horizontal="center" vertical="center"/>
    </xf>
    <xf numFmtId="177" fontId="2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9" fontId="22" fillId="0" borderId="4" xfId="7" applyFont="1" applyFill="1" applyBorder="1" applyAlignment="1">
      <alignment horizontal="center" vertical="center"/>
    </xf>
    <xf numFmtId="177" fontId="22" fillId="0" borderId="4" xfId="2" applyNumberFormat="1" applyFont="1" applyFill="1" applyBorder="1" applyAlignment="1">
      <alignment horizontal="center" vertical="center"/>
    </xf>
    <xf numFmtId="41" fontId="22" fillId="0" borderId="0" xfId="2" applyFont="1">
      <alignment vertical="center"/>
    </xf>
    <xf numFmtId="188" fontId="22" fillId="0" borderId="0" xfId="0" applyNumberFormat="1" applyFont="1">
      <alignment vertical="center"/>
    </xf>
    <xf numFmtId="186" fontId="22" fillId="0" borderId="0" xfId="0" applyNumberFormat="1" applyFont="1">
      <alignment vertical="center"/>
    </xf>
    <xf numFmtId="0" fontId="26" fillId="8" borderId="0" xfId="0" applyFont="1" applyFill="1">
      <alignment vertical="center"/>
    </xf>
    <xf numFmtId="186" fontId="26" fillId="8" borderId="0" xfId="0" applyNumberFormat="1" applyFont="1" applyFill="1">
      <alignment vertical="center"/>
    </xf>
    <xf numFmtId="179" fontId="6" fillId="0" borderId="4" xfId="3" applyNumberFormat="1" applyFont="1" applyBorder="1" applyAlignment="1">
      <alignment horizontal="center" vertical="center"/>
    </xf>
    <xf numFmtId="41" fontId="22" fillId="0" borderId="0" xfId="0" applyNumberFormat="1" applyFont="1">
      <alignment vertical="center"/>
    </xf>
    <xf numFmtId="179" fontId="6" fillId="0" borderId="4" xfId="3" applyNumberFormat="1" applyFont="1" applyBorder="1">
      <alignment vertical="center"/>
    </xf>
    <xf numFmtId="181" fontId="13" fillId="7" borderId="4" xfId="5" applyNumberFormat="1" applyFont="1" applyFill="1" applyBorder="1" applyAlignment="1">
      <alignment horizontal="center" vertical="center"/>
    </xf>
    <xf numFmtId="182" fontId="13" fillId="7" borderId="4" xfId="5" applyNumberFormat="1" applyFont="1" applyFill="1" applyBorder="1" applyAlignment="1">
      <alignment horizontal="center" vertical="center"/>
    </xf>
    <xf numFmtId="183" fontId="13" fillId="7" borderId="4" xfId="5" applyNumberFormat="1" applyFont="1" applyFill="1" applyBorder="1" applyAlignment="1">
      <alignment horizontal="center" vertical="center"/>
    </xf>
    <xf numFmtId="184" fontId="13" fillId="7" borderId="4" xfId="5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180" fontId="22" fillId="0" borderId="0" xfId="0" applyNumberFormat="1" applyFont="1">
      <alignment vertical="center"/>
    </xf>
    <xf numFmtId="181" fontId="22" fillId="0" borderId="4" xfId="0" applyNumberFormat="1" applyFont="1" applyBorder="1">
      <alignment vertical="center"/>
    </xf>
    <xf numFmtId="177" fontId="0" fillId="0" borderId="0" xfId="2" applyNumberFormat="1" applyFont="1" applyAlignment="1">
      <alignment horizontal="center" vertical="center"/>
    </xf>
    <xf numFmtId="9" fontId="0" fillId="0" borderId="0" xfId="7" applyFont="1" applyAlignment="1">
      <alignment horizontal="center" vertical="center"/>
    </xf>
    <xf numFmtId="9" fontId="0" fillId="0" borderId="0" xfId="7" applyFont="1">
      <alignment vertical="center"/>
    </xf>
    <xf numFmtId="43" fontId="0" fillId="0" borderId="0" xfId="0" applyNumberFormat="1">
      <alignment vertical="center"/>
    </xf>
    <xf numFmtId="0" fontId="6" fillId="10" borderId="4" xfId="3" applyFont="1" applyFill="1" applyBorder="1" applyAlignment="1">
      <alignment horizontal="center" vertical="center"/>
    </xf>
    <xf numFmtId="0" fontId="6" fillId="11" borderId="4" xfId="3" applyFont="1" applyFill="1" applyBorder="1" applyAlignment="1">
      <alignment horizontal="center" vertical="center"/>
    </xf>
    <xf numFmtId="0" fontId="29" fillId="8" borderId="4" xfId="3" applyFont="1" applyFill="1" applyBorder="1" applyAlignment="1">
      <alignment horizontal="center" vertical="center"/>
    </xf>
    <xf numFmtId="181" fontId="7" fillId="0" borderId="4" xfId="3" applyNumberFormat="1" applyFont="1" applyBorder="1" applyAlignment="1">
      <alignment horizontal="center" vertical="center"/>
    </xf>
    <xf numFmtId="181" fontId="7" fillId="0" borderId="4" xfId="5" applyNumberFormat="1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7" fillId="3" borderId="2" xfId="3" applyFont="1" applyFill="1" applyBorder="1" applyAlignment="1">
      <alignment horizontal="center" vertical="center"/>
    </xf>
    <xf numFmtId="0" fontId="7" fillId="4" borderId="2" xfId="3" applyFont="1" applyFill="1" applyBorder="1" applyAlignment="1">
      <alignment horizontal="center" vertical="center"/>
    </xf>
    <xf numFmtId="0" fontId="7" fillId="5" borderId="2" xfId="3" applyFont="1" applyFill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9" fontId="6" fillId="0" borderId="1" xfId="7" applyFont="1" applyBorder="1" applyAlignment="1">
      <alignment horizontal="center" vertical="center"/>
    </xf>
    <xf numFmtId="0" fontId="7" fillId="0" borderId="5" xfId="3" applyFont="1" applyBorder="1">
      <alignment vertical="center"/>
    </xf>
    <xf numFmtId="0" fontId="7" fillId="0" borderId="5" xfId="3" applyFont="1" applyBorder="1" applyAlignment="1">
      <alignment vertical="center" wrapText="1"/>
    </xf>
    <xf numFmtId="0" fontId="23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177" fontId="0" fillId="0" borderId="0" xfId="2" applyNumberFormat="1" applyFont="1" applyBorder="1" applyAlignment="1">
      <alignment horizontal="center" vertical="center"/>
    </xf>
    <xf numFmtId="43" fontId="34" fillId="0" borderId="0" xfId="0" applyNumberFormat="1" applyFont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2" applyNumberFormat="1" applyFont="1" applyBorder="1" applyAlignment="1">
      <alignment horizontal="center" vertical="center"/>
    </xf>
    <xf numFmtId="43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0" borderId="7" xfId="0" applyBorder="1" applyAlignment="1">
      <alignment horizontal="center" vertical="center"/>
    </xf>
    <xf numFmtId="177" fontId="0" fillId="0" borderId="7" xfId="2" applyNumberFormat="1" applyFont="1" applyBorder="1" applyAlignment="1">
      <alignment horizontal="center" vertical="center"/>
    </xf>
    <xf numFmtId="43" fontId="0" fillId="0" borderId="7" xfId="0" applyNumberFormat="1" applyBorder="1">
      <alignment vertical="center"/>
    </xf>
    <xf numFmtId="0" fontId="0" fillId="0" borderId="7" xfId="0" applyBorder="1">
      <alignment vertical="center"/>
    </xf>
    <xf numFmtId="180" fontId="0" fillId="0" borderId="0" xfId="0" applyNumberFormat="1">
      <alignment vertical="center"/>
    </xf>
    <xf numFmtId="186" fontId="0" fillId="0" borderId="4" xfId="7" applyNumberFormat="1" applyFont="1" applyBorder="1" applyAlignment="1">
      <alignment horizontal="center" vertical="center"/>
    </xf>
    <xf numFmtId="43" fontId="0" fillId="3" borderId="0" xfId="0" applyNumberFormat="1" applyFill="1">
      <alignment vertical="center"/>
    </xf>
    <xf numFmtId="177" fontId="0" fillId="0" borderId="1" xfId="2" applyNumberFormat="1" applyFont="1" applyFill="1" applyBorder="1" applyAlignment="1">
      <alignment horizontal="center" vertical="center"/>
    </xf>
    <xf numFmtId="177" fontId="0" fillId="3" borderId="0" xfId="2" applyNumberFormat="1" applyFont="1" applyFill="1" applyAlignment="1">
      <alignment horizontal="center" vertical="center"/>
    </xf>
    <xf numFmtId="0" fontId="0" fillId="3" borderId="0" xfId="0" applyFill="1">
      <alignment vertical="center"/>
    </xf>
    <xf numFmtId="43" fontId="35" fillId="0" borderId="1" xfId="0" applyNumberFormat="1" applyFont="1" applyBorder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  <xf numFmtId="0" fontId="0" fillId="0" borderId="5" xfId="0" applyBorder="1">
      <alignment vertical="center"/>
    </xf>
    <xf numFmtId="43" fontId="0" fillId="0" borderId="5" xfId="0" applyNumberFormat="1" applyBorder="1">
      <alignment vertical="center"/>
    </xf>
    <xf numFmtId="2" fontId="0" fillId="0" borderId="5" xfId="0" applyNumberFormat="1" applyBorder="1">
      <alignment vertical="center"/>
    </xf>
    <xf numFmtId="43" fontId="22" fillId="0" borderId="0" xfId="0" applyNumberFormat="1" applyFont="1">
      <alignment vertical="center"/>
    </xf>
    <xf numFmtId="185" fontId="22" fillId="0" borderId="0" xfId="0" applyNumberFormat="1" applyFont="1">
      <alignment vertical="center"/>
    </xf>
    <xf numFmtId="0" fontId="6" fillId="0" borderId="4" xfId="3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 wrapText="1"/>
    </xf>
    <xf numFmtId="0" fontId="6" fillId="0" borderId="4" xfId="3" quotePrefix="1" applyFont="1" applyBorder="1" applyAlignment="1">
      <alignment horizontal="center" vertical="center" wrapText="1"/>
    </xf>
    <xf numFmtId="0" fontId="6" fillId="0" borderId="15" xfId="3" applyFont="1" applyBorder="1" applyAlignment="1">
      <alignment horizontal="center" vertical="center" wrapText="1"/>
    </xf>
    <xf numFmtId="0" fontId="33" fillId="0" borderId="4" xfId="3" applyFont="1" applyBorder="1" applyAlignment="1">
      <alignment horizontal="center" vertical="center"/>
    </xf>
    <xf numFmtId="0" fontId="7" fillId="3" borderId="3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/>
    </xf>
    <xf numFmtId="0" fontId="15" fillId="0" borderId="4" xfId="3" applyFont="1" applyBorder="1" applyAlignment="1">
      <alignment horizontal="center" vertical="center"/>
    </xf>
    <xf numFmtId="0" fontId="14" fillId="0" borderId="7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7" fillId="0" borderId="6" xfId="3" applyFont="1" applyBorder="1" applyAlignment="1">
      <alignment horizontal="center" vertical="center" wrapText="1"/>
    </xf>
    <xf numFmtId="0" fontId="7" fillId="0" borderId="8" xfId="3" applyFont="1" applyBorder="1" applyAlignment="1">
      <alignment horizontal="center" vertical="center" wrapText="1"/>
    </xf>
    <xf numFmtId="0" fontId="7" fillId="0" borderId="9" xfId="3" applyFont="1" applyBorder="1" applyAlignment="1">
      <alignment horizontal="center" vertical="center" wrapText="1"/>
    </xf>
    <xf numFmtId="0" fontId="7" fillId="0" borderId="10" xfId="3" applyFont="1" applyBorder="1" applyAlignment="1">
      <alignment horizontal="center" vertical="center" wrapText="1"/>
    </xf>
    <xf numFmtId="0" fontId="7" fillId="0" borderId="11" xfId="3" applyFont="1" applyBorder="1" applyAlignment="1">
      <alignment horizontal="center" vertical="center" wrapText="1"/>
    </xf>
    <xf numFmtId="0" fontId="7" fillId="0" borderId="12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0" fontId="6" fillId="0" borderId="8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6" fillId="0" borderId="10" xfId="3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0" fontId="6" fillId="0" borderId="12" xfId="3" applyFont="1" applyBorder="1" applyAlignment="1">
      <alignment horizontal="center" vertical="center"/>
    </xf>
    <xf numFmtId="49" fontId="30" fillId="9" borderId="2" xfId="3" applyNumberFormat="1" applyFont="1" applyFill="1" applyBorder="1" applyAlignment="1">
      <alignment horizontal="center" vertical="center" wrapText="1"/>
    </xf>
    <xf numFmtId="49" fontId="30" fillId="9" borderId="3" xfId="3" applyNumberFormat="1" applyFont="1" applyFill="1" applyBorder="1" applyAlignment="1">
      <alignment horizontal="center" vertical="center" wrapText="1"/>
    </xf>
    <xf numFmtId="14" fontId="6" fillId="9" borderId="4" xfId="3" applyNumberFormat="1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32" fillId="9" borderId="2" xfId="3" quotePrefix="1" applyFont="1" applyFill="1" applyBorder="1" applyAlignment="1">
      <alignment horizontal="center" vertical="center"/>
    </xf>
    <xf numFmtId="0" fontId="32" fillId="9" borderId="5" xfId="3" quotePrefix="1" applyFont="1" applyFill="1" applyBorder="1" applyAlignment="1">
      <alignment horizontal="center" vertical="center"/>
    </xf>
    <xf numFmtId="0" fontId="32" fillId="9" borderId="3" xfId="3" quotePrefix="1" applyFont="1" applyFill="1" applyBorder="1" applyAlignment="1">
      <alignment horizontal="center" vertical="center"/>
    </xf>
    <xf numFmtId="0" fontId="31" fillId="9" borderId="8" xfId="3" quotePrefix="1" applyFont="1" applyFill="1" applyBorder="1" applyAlignment="1">
      <alignment horizontal="center" vertical="center"/>
    </xf>
    <xf numFmtId="0" fontId="31" fillId="9" borderId="12" xfId="3" quotePrefix="1" applyFont="1" applyFill="1" applyBorder="1" applyAlignment="1">
      <alignment horizontal="center" vertical="center"/>
    </xf>
    <xf numFmtId="0" fontId="7" fillId="0" borderId="6" xfId="3" applyFont="1" applyBorder="1" applyAlignment="1">
      <alignment horizontal="center" vertical="center"/>
    </xf>
    <xf numFmtId="0" fontId="7" fillId="0" borderId="7" xfId="3" applyFont="1" applyBorder="1" applyAlignment="1">
      <alignment horizontal="center" vertical="center"/>
    </xf>
    <xf numFmtId="0" fontId="7" fillId="0" borderId="8" xfId="3" applyFont="1" applyBorder="1" applyAlignment="1">
      <alignment horizontal="center" vertical="center"/>
    </xf>
    <xf numFmtId="0" fontId="7" fillId="0" borderId="11" xfId="3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7" fillId="0" borderId="12" xfId="3" applyFont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0" fontId="36" fillId="9" borderId="6" xfId="3" quotePrefix="1" applyFont="1" applyFill="1" applyBorder="1" applyAlignment="1">
      <alignment horizontal="center" vertical="center" wrapText="1"/>
    </xf>
    <xf numFmtId="0" fontId="36" fillId="9" borderId="13" xfId="3" quotePrefix="1" applyFont="1" applyFill="1" applyBorder="1" applyAlignment="1">
      <alignment horizontal="center" vertical="center" wrapText="1"/>
    </xf>
    <xf numFmtId="0" fontId="36" fillId="9" borderId="11" xfId="3" quotePrefix="1" applyFont="1" applyFill="1" applyBorder="1" applyAlignment="1">
      <alignment horizontal="center" vertical="center" wrapText="1"/>
    </xf>
    <xf numFmtId="0" fontId="36" fillId="9" borderId="14" xfId="3" quotePrefix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22" fillId="0" borderId="4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</cellXfs>
  <cellStyles count="10">
    <cellStyle name="Normal 2" xfId="3" xr:uid="{00000000-0005-0000-0000-000000000000}"/>
    <cellStyle name="Normal 3" xfId="8" xr:uid="{00000000-0005-0000-0000-000001000000}"/>
    <cellStyle name="Normal 4" xfId="9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통화 [0] 2" xfId="5" xr:uid="{00000000-0005-0000-0000-000007000000}"/>
    <cellStyle name="표준" xfId="0" builtinId="0"/>
    <cellStyle name="표준 2" xfId="1" xr:uid="{00000000-0005-0000-0000-000009000000}"/>
  </cellStyles>
  <dxfs count="3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emf"/><Relationship Id="rId5" Type="http://schemas.openxmlformats.org/officeDocument/2006/relationships/image" Target="../media/image7.jpg"/><Relationship Id="rId4" Type="http://schemas.openxmlformats.org/officeDocument/2006/relationships/image" Target="../media/image6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45</xdr:row>
          <xdr:rowOff>0</xdr:rowOff>
        </xdr:from>
        <xdr:to>
          <xdr:col>6</xdr:col>
          <xdr:colOff>7620</xdr:colOff>
          <xdr:row>65</xdr:row>
          <xdr:rowOff>7620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95A2411F-D170-657A-95C7-72024AC1589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27:$F$45" spid="_x0000_s207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11216640"/>
              <a:ext cx="4404360" cy="488442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1555750</xdr:colOff>
      <xdr:row>21</xdr:row>
      <xdr:rowOff>95250</xdr:rowOff>
    </xdr:from>
    <xdr:to>
      <xdr:col>4</xdr:col>
      <xdr:colOff>1869970</xdr:colOff>
      <xdr:row>27</xdr:row>
      <xdr:rowOff>430272</xdr:rowOff>
    </xdr:to>
    <xdr:pic>
      <xdr:nvPicPr>
        <xdr:cNvPr id="5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250" y="15176500"/>
          <a:ext cx="3371745" cy="33830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762000</xdr:colOff>
      <xdr:row>19</xdr:row>
      <xdr:rowOff>0</xdr:rowOff>
    </xdr:from>
    <xdr:to>
      <xdr:col>13</xdr:col>
      <xdr:colOff>3556000</xdr:colOff>
      <xdr:row>20</xdr:row>
      <xdr:rowOff>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/>
      </xdr:nvSpPr>
      <xdr:spPr>
        <a:xfrm>
          <a:off x="30251400" y="12319000"/>
          <a:ext cx="5791200" cy="37846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50800" y="12369800"/>
          <a:ext cx="8229600" cy="3733800"/>
          <a:chOff x="50800" y="15240000"/>
          <a:chExt cx="7899400" cy="3733800"/>
        </a:xfrm>
      </xdr:grpSpPr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20" name="그림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20</xdr:row>
      <xdr:rowOff>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10261600" y="12344400"/>
          <a:ext cx="7975600" cy="3759200"/>
          <a:chOff x="9118600" y="15214600"/>
          <a:chExt cx="7975600" cy="3719369"/>
        </a:xfrm>
      </xdr:grpSpPr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3" name="그림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20</xdr:row>
      <xdr:rowOff>0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pSpPr/>
      </xdr:nvGrpSpPr>
      <xdr:grpSpPr>
        <a:xfrm>
          <a:off x="20193000" y="12344399"/>
          <a:ext cx="8026400" cy="3759201"/>
          <a:chOff x="19761200" y="15214599"/>
          <a:chExt cx="8026400" cy="3747978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6" name="그림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29</xdr:row>
          <xdr:rowOff>0</xdr:rowOff>
        </xdr:from>
        <xdr:to>
          <xdr:col>14</xdr:col>
          <xdr:colOff>0</xdr:colOff>
          <xdr:row>109</xdr:row>
          <xdr:rowOff>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7C4822D9-B9C0-3C5B-F29A-B2EBF96EA4E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8" spid="_x0000_s1092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0" y="20548600"/>
              <a:ext cx="36093400" cy="20167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Y61"/>
  <sheetViews>
    <sheetView workbookViewId="0">
      <selection activeCell="C6" sqref="C6"/>
    </sheetView>
  </sheetViews>
  <sheetFormatPr defaultColWidth="9" defaultRowHeight="19.2"/>
  <cols>
    <col min="1" max="1" width="3.69921875" style="35" customWidth="1"/>
    <col min="2" max="2" width="15.69921875" style="35" bestFit="1" customWidth="1"/>
    <col min="3" max="5" width="11.3984375" style="35" bestFit="1" customWidth="1"/>
    <col min="6" max="7" width="4" style="35" customWidth="1"/>
    <col min="8" max="8" width="15.19921875" style="35" customWidth="1"/>
    <col min="9" max="9" width="9.69921875" style="35" bestFit="1" customWidth="1"/>
    <col min="10" max="10" width="7.69921875" style="35" bestFit="1" customWidth="1"/>
    <col min="11" max="11" width="9.69921875" style="35" bestFit="1" customWidth="1"/>
    <col min="12" max="12" width="11.59765625" style="35" bestFit="1" customWidth="1"/>
    <col min="13" max="13" width="2.59765625" style="49" customWidth="1"/>
    <col min="14" max="14" width="15.19921875" style="49" customWidth="1"/>
    <col min="15" max="15" width="9.8984375" style="49" bestFit="1" customWidth="1"/>
    <col min="16" max="16" width="26.09765625" style="49" bestFit="1" customWidth="1"/>
    <col min="17" max="17" width="7.69921875" style="49" bestFit="1" customWidth="1"/>
    <col min="18" max="18" width="9.69921875" style="49" bestFit="1" customWidth="1"/>
    <col min="19" max="19" width="15.19921875" style="49" bestFit="1" customWidth="1"/>
    <col min="20" max="20" width="2.5" style="49" customWidth="1"/>
    <col min="21" max="21" width="27.69921875" style="49" bestFit="1" customWidth="1"/>
    <col min="22" max="22" width="22.5" style="49" bestFit="1" customWidth="1"/>
    <col min="23" max="23" width="7.69921875" style="49" bestFit="1" customWidth="1"/>
    <col min="24" max="24" width="9.69921875" style="49" bestFit="1" customWidth="1"/>
    <col min="25" max="25" width="37.19921875" style="49" bestFit="1" customWidth="1"/>
    <col min="26" max="16384" width="9" style="35"/>
  </cols>
  <sheetData>
    <row r="1" spans="2:25">
      <c r="B1" s="172" t="s">
        <v>30</v>
      </c>
      <c r="C1" s="172"/>
      <c r="D1" s="172"/>
      <c r="E1" s="172"/>
      <c r="H1" s="173" t="s">
        <v>62</v>
      </c>
      <c r="I1" s="173"/>
      <c r="J1" s="173"/>
      <c r="K1" s="173"/>
      <c r="L1" s="173"/>
    </row>
    <row r="2" spans="2:25">
      <c r="B2" s="36" t="s">
        <v>26</v>
      </c>
      <c r="C2" s="36" t="s">
        <v>27</v>
      </c>
      <c r="D2" s="36" t="s">
        <v>28</v>
      </c>
      <c r="E2" s="36" t="s">
        <v>29</v>
      </c>
      <c r="H2" s="49"/>
      <c r="I2" s="49"/>
      <c r="J2" s="49"/>
      <c r="K2" s="49"/>
      <c r="L2" s="49"/>
    </row>
    <row r="3" spans="2:25">
      <c r="B3" s="37" t="s">
        <v>0</v>
      </c>
      <c r="C3" s="38">
        <v>23000</v>
      </c>
      <c r="D3" s="39">
        <v>1000</v>
      </c>
      <c r="E3" s="38">
        <f>C3+D3</f>
        <v>24000</v>
      </c>
      <c r="H3" s="174" t="s">
        <v>217</v>
      </c>
      <c r="I3" s="174"/>
      <c r="J3" s="174"/>
      <c r="K3" s="174"/>
      <c r="N3" s="174" t="s">
        <v>186</v>
      </c>
      <c r="O3" s="174"/>
      <c r="P3" s="174"/>
      <c r="Q3" s="174"/>
      <c r="U3" s="174" t="s">
        <v>187</v>
      </c>
      <c r="V3" s="174"/>
      <c r="W3" s="174"/>
      <c r="X3" s="174"/>
    </row>
    <row r="4" spans="2:25">
      <c r="B4" s="40" t="s">
        <v>2</v>
      </c>
      <c r="C4" s="41">
        <v>33</v>
      </c>
      <c r="D4" s="41">
        <v>1</v>
      </c>
      <c r="E4" s="41">
        <f>C4+D4</f>
        <v>34</v>
      </c>
      <c r="H4" s="175" t="s">
        <v>63</v>
      </c>
      <c r="I4" s="176"/>
      <c r="J4" s="175" t="s">
        <v>64</v>
      </c>
      <c r="K4" s="176"/>
      <c r="L4" s="49"/>
      <c r="N4" s="175" t="s">
        <v>63</v>
      </c>
      <c r="O4" s="176"/>
      <c r="P4" s="175" t="s">
        <v>64</v>
      </c>
      <c r="Q4" s="176"/>
      <c r="U4" s="175" t="s">
        <v>63</v>
      </c>
      <c r="V4" s="176"/>
      <c r="W4" s="175" t="s">
        <v>64</v>
      </c>
      <c r="X4" s="176"/>
    </row>
    <row r="5" spans="2:25">
      <c r="B5" s="42" t="s">
        <v>1</v>
      </c>
      <c r="C5" s="43">
        <v>1515</v>
      </c>
      <c r="D5" s="43">
        <v>30</v>
      </c>
      <c r="E5" s="43">
        <f>C5+D5</f>
        <v>1545</v>
      </c>
      <c r="H5" s="47" t="s">
        <v>65</v>
      </c>
      <c r="I5" s="47" t="s">
        <v>66</v>
      </c>
      <c r="J5" s="47" t="s">
        <v>65</v>
      </c>
      <c r="K5" s="47" t="s">
        <v>66</v>
      </c>
      <c r="L5" s="49"/>
      <c r="N5" s="47" t="s">
        <v>65</v>
      </c>
      <c r="O5" s="47" t="s">
        <v>66</v>
      </c>
      <c r="P5" s="47" t="s">
        <v>65</v>
      </c>
      <c r="Q5" s="47" t="s">
        <v>66</v>
      </c>
      <c r="U5" s="47" t="s">
        <v>65</v>
      </c>
      <c r="V5" s="47" t="s">
        <v>66</v>
      </c>
      <c r="W5" s="47" t="s">
        <v>65</v>
      </c>
      <c r="X5" s="47" t="s">
        <v>66</v>
      </c>
    </row>
    <row r="6" spans="2:25">
      <c r="H6" s="48">
        <v>0.2</v>
      </c>
      <c r="I6" s="48">
        <v>0.3</v>
      </c>
      <c r="J6" s="48">
        <v>0.05</v>
      </c>
      <c r="K6" s="48">
        <v>0.1</v>
      </c>
      <c r="L6" s="49"/>
      <c r="N6" s="48">
        <v>0.1</v>
      </c>
      <c r="O6" s="48">
        <v>0.2</v>
      </c>
      <c r="P6" s="48">
        <v>0.05</v>
      </c>
      <c r="Q6" s="48">
        <v>0.1</v>
      </c>
      <c r="U6" s="48" t="s">
        <v>69</v>
      </c>
      <c r="V6" s="48">
        <v>0.2</v>
      </c>
      <c r="W6" s="48">
        <v>0.05</v>
      </c>
      <c r="X6" s="48">
        <v>0.1</v>
      </c>
    </row>
    <row r="7" spans="2:25">
      <c r="B7" s="36" t="s">
        <v>198</v>
      </c>
      <c r="C7" s="36" t="s">
        <v>204</v>
      </c>
      <c r="D7" s="36" t="s">
        <v>199</v>
      </c>
      <c r="H7" s="49"/>
      <c r="I7" s="49"/>
      <c r="J7" s="49"/>
      <c r="K7" s="49"/>
      <c r="L7" s="49"/>
    </row>
    <row r="8" spans="2:25">
      <c r="B8" s="36" t="s">
        <v>200</v>
      </c>
      <c r="C8" s="36">
        <v>0</v>
      </c>
      <c r="D8" s="76">
        <f>Sheet1!M3</f>
        <v>12.4</v>
      </c>
      <c r="E8" s="75"/>
      <c r="F8" s="75"/>
      <c r="G8" s="75"/>
      <c r="H8" s="36" t="s">
        <v>67</v>
      </c>
      <c r="I8" s="36"/>
      <c r="J8" s="36" t="s">
        <v>112</v>
      </c>
      <c r="K8" s="36" t="s">
        <v>113</v>
      </c>
      <c r="L8" s="36" t="s">
        <v>190</v>
      </c>
      <c r="N8" s="36" t="s">
        <v>67</v>
      </c>
      <c r="O8" s="36"/>
      <c r="P8" s="36" t="s">
        <v>267</v>
      </c>
      <c r="Q8" s="36" t="s">
        <v>268</v>
      </c>
      <c r="R8" s="36" t="s">
        <v>269</v>
      </c>
      <c r="S8" s="36" t="s">
        <v>270</v>
      </c>
      <c r="U8" s="36" t="s">
        <v>67</v>
      </c>
      <c r="V8" s="36"/>
      <c r="W8" s="36" t="s">
        <v>112</v>
      </c>
      <c r="X8" s="36" t="s">
        <v>113</v>
      </c>
      <c r="Y8" s="36" t="s">
        <v>190</v>
      </c>
    </row>
    <row r="9" spans="2:25">
      <c r="B9" s="36" t="s">
        <v>201</v>
      </c>
      <c r="C9" s="36">
        <v>2</v>
      </c>
      <c r="D9" s="76">
        <f>Sheet1!M6</f>
        <v>5.3</v>
      </c>
      <c r="E9" s="75"/>
      <c r="F9" s="75"/>
      <c r="G9" s="75"/>
      <c r="H9" s="36" t="s">
        <v>86</v>
      </c>
      <c r="I9" s="36"/>
      <c r="J9" s="50">
        <v>0.05</v>
      </c>
      <c r="K9" s="51"/>
      <c r="L9" s="51"/>
      <c r="N9" s="94" t="s">
        <v>48</v>
      </c>
      <c r="O9" s="94" t="s">
        <v>173</v>
      </c>
      <c r="P9" s="94" t="s">
        <v>115</v>
      </c>
      <c r="Q9" s="60">
        <v>0.05</v>
      </c>
      <c r="R9" s="61"/>
      <c r="S9" s="61"/>
      <c r="U9" s="36" t="s">
        <v>76</v>
      </c>
      <c r="V9" s="36" t="s">
        <v>77</v>
      </c>
      <c r="W9" s="60">
        <v>0.05</v>
      </c>
      <c r="X9" s="61"/>
      <c r="Y9" s="61"/>
    </row>
    <row r="10" spans="2:25">
      <c r="B10" s="36" t="s">
        <v>202</v>
      </c>
      <c r="C10" s="36">
        <v>6</v>
      </c>
      <c r="D10" s="76">
        <f>Sheet1!M11</f>
        <v>3.6</v>
      </c>
      <c r="E10" s="75"/>
      <c r="F10" s="75"/>
      <c r="G10" s="75"/>
      <c r="H10" s="36" t="s">
        <v>106</v>
      </c>
      <c r="I10" s="36"/>
      <c r="J10" s="50">
        <v>0.05</v>
      </c>
      <c r="K10" s="61"/>
      <c r="L10" s="61"/>
      <c r="N10" s="94" t="s">
        <v>157</v>
      </c>
      <c r="O10" s="94" t="s">
        <v>175</v>
      </c>
      <c r="P10" s="94" t="s">
        <v>117</v>
      </c>
      <c r="Q10" s="60">
        <v>0.05</v>
      </c>
      <c r="R10" s="61"/>
      <c r="S10" s="61"/>
      <c r="U10" s="36" t="s">
        <v>239</v>
      </c>
      <c r="V10" s="36"/>
      <c r="W10" s="60">
        <v>0.05</v>
      </c>
      <c r="X10" s="61"/>
      <c r="Y10" s="61"/>
    </row>
    <row r="11" spans="2:25">
      <c r="B11" s="36" t="s">
        <v>203</v>
      </c>
      <c r="C11" s="36">
        <v>10</v>
      </c>
      <c r="D11" s="76">
        <f>Sheet1!M15</f>
        <v>3.6</v>
      </c>
      <c r="E11" s="75"/>
      <c r="F11" s="75"/>
      <c r="G11" s="75"/>
      <c r="H11" s="36" t="s">
        <v>72</v>
      </c>
      <c r="I11" s="36" t="s">
        <v>71</v>
      </c>
      <c r="J11" s="50">
        <v>0.05</v>
      </c>
      <c r="K11" s="61"/>
      <c r="L11" s="61"/>
      <c r="N11" s="94" t="s">
        <v>160</v>
      </c>
      <c r="O11" s="94" t="s">
        <v>177</v>
      </c>
      <c r="P11" s="94" t="s">
        <v>119</v>
      </c>
      <c r="Q11" s="60">
        <v>0.05</v>
      </c>
      <c r="R11" s="61"/>
      <c r="S11" s="61"/>
      <c r="U11" s="36" t="s">
        <v>257</v>
      </c>
      <c r="V11" s="36" t="s">
        <v>258</v>
      </c>
      <c r="W11" s="60">
        <v>0.05</v>
      </c>
      <c r="X11" s="61"/>
      <c r="Y11" s="61"/>
    </row>
    <row r="12" spans="2:25">
      <c r="B12" s="36" t="s">
        <v>241</v>
      </c>
      <c r="C12" s="36">
        <v>15</v>
      </c>
      <c r="D12" s="76">
        <f>Sheet1!M20</f>
        <v>3.3000000000000003</v>
      </c>
      <c r="E12" s="75"/>
      <c r="F12" s="75"/>
      <c r="G12" s="75"/>
      <c r="H12" s="36" t="s">
        <v>98</v>
      </c>
      <c r="I12" s="36"/>
      <c r="J12" s="50">
        <v>0.05</v>
      </c>
      <c r="K12" s="61"/>
      <c r="L12" s="61"/>
      <c r="N12" s="95" t="s">
        <v>271</v>
      </c>
      <c r="O12" s="94" t="s">
        <v>173</v>
      </c>
      <c r="P12" s="94" t="s">
        <v>123</v>
      </c>
      <c r="Q12" s="60">
        <v>0.05</v>
      </c>
      <c r="R12" s="61"/>
      <c r="S12" s="61"/>
      <c r="U12" s="36" t="s">
        <v>206</v>
      </c>
      <c r="V12" s="36"/>
      <c r="W12" s="60">
        <v>0.05</v>
      </c>
      <c r="X12" s="61"/>
      <c r="Y12" s="61"/>
    </row>
    <row r="13" spans="2:25">
      <c r="B13" s="36" t="s">
        <v>242</v>
      </c>
      <c r="C13" s="36">
        <v>18</v>
      </c>
      <c r="D13" s="76">
        <f>Sheet1!M23</f>
        <v>3.4</v>
      </c>
      <c r="E13" s="75"/>
      <c r="F13" s="75"/>
      <c r="G13" s="75"/>
      <c r="H13" s="36" t="s">
        <v>105</v>
      </c>
      <c r="I13" s="36"/>
      <c r="J13" s="50">
        <v>0.05</v>
      </c>
      <c r="K13" s="61"/>
      <c r="L13" s="61"/>
      <c r="N13" s="95" t="s">
        <v>272</v>
      </c>
      <c r="O13" s="94" t="s">
        <v>173</v>
      </c>
      <c r="P13" s="94" t="s">
        <v>121</v>
      </c>
      <c r="Q13" s="60">
        <v>0.05</v>
      </c>
      <c r="R13" s="61"/>
      <c r="S13" s="61"/>
      <c r="U13" s="36" t="s">
        <v>114</v>
      </c>
      <c r="V13" s="36"/>
      <c r="W13" s="60">
        <v>0.05</v>
      </c>
      <c r="X13" s="61"/>
      <c r="Y13" s="61"/>
    </row>
    <row r="14" spans="2:25">
      <c r="B14" s="36" t="s">
        <v>245</v>
      </c>
      <c r="C14" s="36">
        <v>21</v>
      </c>
      <c r="D14" s="76">
        <f>Sheet1!M26</f>
        <v>3.5</v>
      </c>
      <c r="E14" s="75"/>
      <c r="F14" s="75"/>
      <c r="G14" s="75"/>
      <c r="H14" s="36" t="s">
        <v>88</v>
      </c>
      <c r="I14" s="36"/>
      <c r="J14" s="50">
        <v>0.05</v>
      </c>
      <c r="K14" s="61"/>
      <c r="L14" s="61"/>
      <c r="N14" s="95" t="s">
        <v>273</v>
      </c>
      <c r="O14" s="95" t="s">
        <v>274</v>
      </c>
      <c r="P14" s="94" t="s">
        <v>275</v>
      </c>
      <c r="Q14" s="60">
        <v>0.05</v>
      </c>
      <c r="R14" s="61"/>
      <c r="S14" s="61"/>
      <c r="U14" s="36" t="s">
        <v>231</v>
      </c>
      <c r="V14" s="36" t="s">
        <v>232</v>
      </c>
      <c r="W14" s="60">
        <v>0.1</v>
      </c>
      <c r="X14" s="61"/>
      <c r="Y14" s="61" t="s">
        <v>233</v>
      </c>
    </row>
    <row r="15" spans="2:25">
      <c r="B15" s="36" t="s">
        <v>246</v>
      </c>
      <c r="C15" s="36">
        <v>25</v>
      </c>
      <c r="D15" s="76">
        <f>Sheet1!M30</f>
        <v>3.7</v>
      </c>
      <c r="E15" s="75"/>
      <c r="F15" s="75"/>
      <c r="G15" s="75"/>
      <c r="H15" s="36" t="s">
        <v>94</v>
      </c>
      <c r="I15" s="36"/>
      <c r="J15" s="50">
        <v>0.05</v>
      </c>
      <c r="K15" s="61"/>
      <c r="L15" s="61"/>
      <c r="N15" s="94" t="s">
        <v>161</v>
      </c>
      <c r="O15" s="94" t="s">
        <v>173</v>
      </c>
      <c r="P15" s="94" t="s">
        <v>120</v>
      </c>
      <c r="Q15" s="60">
        <v>0.05</v>
      </c>
      <c r="R15" s="61"/>
      <c r="S15" s="61"/>
      <c r="U15" s="36" t="s">
        <v>74</v>
      </c>
      <c r="V15" s="36" t="s">
        <v>75</v>
      </c>
      <c r="W15" s="60">
        <v>0.05</v>
      </c>
      <c r="X15" s="61"/>
      <c r="Y15" s="61"/>
    </row>
    <row r="16" spans="2:25">
      <c r="B16" s="36" t="s">
        <v>308</v>
      </c>
      <c r="C16" s="36">
        <v>30</v>
      </c>
      <c r="D16" s="76">
        <f>Sheet1!M35</f>
        <v>3.8000000000000003</v>
      </c>
      <c r="E16" s="75"/>
      <c r="F16" s="75"/>
      <c r="G16" s="75"/>
      <c r="H16" s="47" t="s">
        <v>260</v>
      </c>
      <c r="I16" s="36"/>
      <c r="J16" s="50">
        <v>0.05</v>
      </c>
      <c r="K16" s="61"/>
      <c r="L16" s="61"/>
      <c r="N16" s="94" t="s">
        <v>163</v>
      </c>
      <c r="O16" s="94" t="s">
        <v>177</v>
      </c>
      <c r="P16" s="96" t="s">
        <v>127</v>
      </c>
      <c r="Q16" s="60">
        <v>0.05</v>
      </c>
      <c r="R16" s="61"/>
      <c r="S16" s="61"/>
      <c r="U16" s="36" t="s">
        <v>210</v>
      </c>
      <c r="V16" s="36"/>
      <c r="W16" s="60">
        <v>0.05</v>
      </c>
      <c r="X16" s="61"/>
      <c r="Y16" s="61"/>
    </row>
    <row r="17" spans="2:25">
      <c r="B17" s="36" t="s">
        <v>309</v>
      </c>
      <c r="C17" s="36">
        <v>35</v>
      </c>
      <c r="D17" s="76">
        <f>Sheet1!M40</f>
        <v>3.9</v>
      </c>
      <c r="H17" s="36" t="s">
        <v>109</v>
      </c>
      <c r="I17" s="36"/>
      <c r="J17" s="50">
        <v>0.05</v>
      </c>
      <c r="K17" s="61"/>
      <c r="L17" s="61"/>
      <c r="N17" s="94" t="s">
        <v>156</v>
      </c>
      <c r="O17" s="94" t="s">
        <v>174</v>
      </c>
      <c r="P17" s="94" t="s">
        <v>116</v>
      </c>
      <c r="Q17" s="60">
        <v>0.05</v>
      </c>
      <c r="R17" s="61"/>
      <c r="S17" s="61"/>
      <c r="U17" s="36" t="s">
        <v>195</v>
      </c>
      <c r="V17" s="36"/>
      <c r="W17" s="60">
        <v>0.05</v>
      </c>
      <c r="X17" s="61"/>
      <c r="Y17" s="61"/>
    </row>
    <row r="18" spans="2:25">
      <c r="B18" s="36" t="s">
        <v>310</v>
      </c>
      <c r="C18" s="36">
        <v>40</v>
      </c>
      <c r="D18" s="76">
        <f>Sheet1!M45</f>
        <v>4</v>
      </c>
      <c r="H18" s="36" t="s">
        <v>227</v>
      </c>
      <c r="I18" s="36"/>
      <c r="J18" s="50">
        <v>0.05</v>
      </c>
      <c r="K18" s="61"/>
      <c r="L18" s="61" t="s">
        <v>228</v>
      </c>
      <c r="N18" s="94" t="s">
        <v>170</v>
      </c>
      <c r="O18" s="94" t="s">
        <v>183</v>
      </c>
      <c r="P18" s="94" t="s">
        <v>133</v>
      </c>
      <c r="Q18" s="60">
        <v>0.05</v>
      </c>
      <c r="R18" s="61"/>
      <c r="S18" s="61"/>
      <c r="U18" s="36" t="s">
        <v>136</v>
      </c>
      <c r="V18" s="36"/>
      <c r="W18" s="60">
        <v>0.05</v>
      </c>
      <c r="X18" s="61"/>
      <c r="Y18" s="61"/>
    </row>
    <row r="19" spans="2:25">
      <c r="B19" s="36" t="s">
        <v>311</v>
      </c>
      <c r="C19" s="36">
        <v>45</v>
      </c>
      <c r="D19" s="76">
        <f>Sheet1!M50</f>
        <v>4</v>
      </c>
      <c r="H19" s="36" t="s">
        <v>101</v>
      </c>
      <c r="I19" s="36"/>
      <c r="J19" s="50">
        <v>0.05</v>
      </c>
      <c r="K19" s="61"/>
      <c r="L19" s="61"/>
      <c r="N19" s="95" t="s">
        <v>276</v>
      </c>
      <c r="O19" s="94" t="s">
        <v>173</v>
      </c>
      <c r="P19" s="94" t="s">
        <v>123</v>
      </c>
      <c r="Q19" s="60">
        <v>0.05</v>
      </c>
      <c r="R19" s="61"/>
      <c r="S19" s="61"/>
      <c r="U19" s="36"/>
      <c r="V19" s="36"/>
      <c r="W19" s="60"/>
      <c r="X19" s="61"/>
      <c r="Y19" s="61"/>
    </row>
    <row r="20" spans="2:25">
      <c r="H20" s="36" t="s">
        <v>46</v>
      </c>
      <c r="I20" s="36"/>
      <c r="J20" s="50">
        <v>0.05</v>
      </c>
      <c r="K20" s="61"/>
      <c r="L20" s="61"/>
      <c r="N20" s="94" t="s">
        <v>277</v>
      </c>
      <c r="O20" s="94" t="s">
        <v>173</v>
      </c>
      <c r="P20" s="94" t="s">
        <v>218</v>
      </c>
      <c r="Q20" s="60">
        <v>0.05</v>
      </c>
      <c r="R20" s="61"/>
      <c r="S20" s="61"/>
      <c r="U20" s="36"/>
      <c r="V20" s="36"/>
      <c r="W20" s="60"/>
      <c r="X20" s="61"/>
      <c r="Y20" s="61"/>
    </row>
    <row r="21" spans="2:25">
      <c r="H21" s="36" t="s">
        <v>108</v>
      </c>
      <c r="I21" s="36"/>
      <c r="J21" s="50">
        <v>0.05</v>
      </c>
      <c r="K21" s="61"/>
      <c r="L21" s="61"/>
      <c r="N21" s="94" t="s">
        <v>167</v>
      </c>
      <c r="O21" s="94" t="s">
        <v>173</v>
      </c>
      <c r="P21" s="94" t="s">
        <v>131</v>
      </c>
      <c r="Q21" s="60">
        <v>0.05</v>
      </c>
      <c r="R21" s="61"/>
      <c r="S21" s="61"/>
      <c r="U21" s="171" t="s">
        <v>138</v>
      </c>
      <c r="V21" s="171"/>
      <c r="W21" s="171"/>
      <c r="X21" s="61">
        <f>SUM(X9:X20)</f>
        <v>0</v>
      </c>
      <c r="Y21" s="61"/>
    </row>
    <row r="22" spans="2:25">
      <c r="B22" s="170" t="s">
        <v>209</v>
      </c>
      <c r="C22" s="170"/>
      <c r="D22" s="170"/>
      <c r="E22" s="170"/>
      <c r="H22" s="36" t="s">
        <v>111</v>
      </c>
      <c r="I22" s="36" t="s">
        <v>110</v>
      </c>
      <c r="J22" s="50">
        <v>0.05</v>
      </c>
      <c r="K22" s="61"/>
      <c r="L22" s="61"/>
      <c r="N22" s="95" t="s">
        <v>278</v>
      </c>
      <c r="O22" s="95" t="s">
        <v>279</v>
      </c>
      <c r="P22" s="94" t="s">
        <v>129</v>
      </c>
      <c r="Q22" s="60">
        <v>0.05</v>
      </c>
      <c r="R22" s="61"/>
      <c r="S22" s="61"/>
    </row>
    <row r="23" spans="2:25">
      <c r="B23" s="170" t="s">
        <v>327</v>
      </c>
      <c r="C23" s="170"/>
      <c r="D23" s="170"/>
      <c r="E23" s="170"/>
      <c r="H23" s="36" t="s">
        <v>85</v>
      </c>
      <c r="I23" s="36"/>
      <c r="J23" s="50">
        <v>0.05</v>
      </c>
      <c r="K23" s="61"/>
      <c r="L23" s="61"/>
      <c r="N23" s="94" t="s">
        <v>165</v>
      </c>
      <c r="O23" s="94" t="s">
        <v>180</v>
      </c>
      <c r="P23" s="94" t="s">
        <v>129</v>
      </c>
      <c r="Q23" s="60">
        <v>0.05</v>
      </c>
      <c r="R23" s="61"/>
      <c r="S23" s="61"/>
    </row>
    <row r="24" spans="2:25">
      <c r="H24" s="36" t="s">
        <v>70</v>
      </c>
      <c r="I24" s="36" t="s">
        <v>73</v>
      </c>
      <c r="J24" s="50">
        <v>0.05</v>
      </c>
      <c r="K24" s="61"/>
      <c r="L24" s="61"/>
      <c r="N24" s="94" t="s">
        <v>166</v>
      </c>
      <c r="O24" s="94" t="s">
        <v>181</v>
      </c>
      <c r="P24" s="94" t="s">
        <v>130</v>
      </c>
      <c r="Q24" s="60">
        <v>0.05</v>
      </c>
      <c r="R24" s="61"/>
      <c r="S24" s="61"/>
      <c r="U24" s="174" t="s">
        <v>188</v>
      </c>
      <c r="V24" s="174"/>
      <c r="W24" s="174"/>
      <c r="X24" s="174"/>
      <c r="Y24" s="35"/>
    </row>
    <row r="25" spans="2:25">
      <c r="B25" s="35" t="s">
        <v>328</v>
      </c>
      <c r="E25" s="120"/>
      <c r="H25" s="36" t="s">
        <v>49</v>
      </c>
      <c r="I25" s="36"/>
      <c r="J25" s="50">
        <v>0.05</v>
      </c>
      <c r="K25" s="61"/>
      <c r="L25" s="61"/>
      <c r="N25" s="95" t="s">
        <v>280</v>
      </c>
      <c r="O25" s="94" t="s">
        <v>173</v>
      </c>
      <c r="P25" s="94" t="s">
        <v>124</v>
      </c>
      <c r="Q25" s="60">
        <v>0.05</v>
      </c>
      <c r="R25" s="61"/>
      <c r="S25" s="61"/>
      <c r="U25" s="36" t="s">
        <v>67</v>
      </c>
      <c r="V25" s="36" t="s">
        <v>78</v>
      </c>
      <c r="W25" s="36" t="s">
        <v>112</v>
      </c>
      <c r="X25" s="36" t="s">
        <v>113</v>
      </c>
      <c r="Y25" s="36" t="s">
        <v>190</v>
      </c>
    </row>
    <row r="26" spans="2:25">
      <c r="B26" s="35" t="s">
        <v>329</v>
      </c>
      <c r="C26" s="121"/>
      <c r="H26" s="36" t="s">
        <v>82</v>
      </c>
      <c r="I26" s="36"/>
      <c r="J26" s="50">
        <v>0.05</v>
      </c>
      <c r="K26" s="61"/>
      <c r="L26" s="61"/>
      <c r="N26" s="94" t="s">
        <v>162</v>
      </c>
      <c r="O26" s="94" t="s">
        <v>177</v>
      </c>
      <c r="P26" s="94" t="s">
        <v>125</v>
      </c>
      <c r="Q26" s="60">
        <v>0.05</v>
      </c>
      <c r="R26" s="61"/>
      <c r="S26" s="61"/>
      <c r="T26" s="53"/>
      <c r="U26" s="36" t="s">
        <v>25</v>
      </c>
      <c r="V26" s="36" t="s">
        <v>81</v>
      </c>
      <c r="W26" s="52">
        <v>0.05</v>
      </c>
      <c r="X26" s="61"/>
      <c r="Y26" s="47"/>
    </row>
    <row r="27" spans="2:25">
      <c r="E27" s="74"/>
      <c r="H27" s="36" t="s">
        <v>93</v>
      </c>
      <c r="I27" s="36"/>
      <c r="J27" s="50">
        <v>0.05</v>
      </c>
      <c r="K27" s="61"/>
      <c r="L27" s="61"/>
      <c r="N27" s="94" t="s">
        <v>164</v>
      </c>
      <c r="O27" s="94" t="s">
        <v>173</v>
      </c>
      <c r="P27" s="94" t="s">
        <v>128</v>
      </c>
      <c r="Q27" s="60">
        <v>0.05</v>
      </c>
      <c r="R27" s="61"/>
      <c r="S27" s="61"/>
      <c r="U27" s="36" t="s">
        <v>207</v>
      </c>
      <c r="V27" s="36"/>
      <c r="W27" s="52">
        <v>0.05</v>
      </c>
      <c r="X27" s="61"/>
      <c r="Y27" s="47"/>
    </row>
    <row r="28" spans="2:25">
      <c r="B28" s="35" t="s">
        <v>254</v>
      </c>
      <c r="E28" s="74"/>
      <c r="H28" s="36" t="s">
        <v>68</v>
      </c>
      <c r="I28" s="36"/>
      <c r="J28" s="50">
        <v>0.05</v>
      </c>
      <c r="K28" s="61"/>
      <c r="L28" s="61"/>
      <c r="N28" s="94" t="s">
        <v>159</v>
      </c>
      <c r="O28" s="94" t="s">
        <v>173</v>
      </c>
      <c r="P28" s="94" t="s">
        <v>118</v>
      </c>
      <c r="Q28" s="60">
        <v>0.05</v>
      </c>
      <c r="R28" s="61"/>
      <c r="S28" s="61"/>
      <c r="U28" s="36" t="s">
        <v>137</v>
      </c>
      <c r="V28" s="36" t="s">
        <v>79</v>
      </c>
      <c r="W28" s="52">
        <v>0.05</v>
      </c>
      <c r="X28" s="61"/>
      <c r="Y28" s="47"/>
    </row>
    <row r="29" spans="2:25" ht="38.4">
      <c r="B29" s="35" t="s">
        <v>23</v>
      </c>
      <c r="C29" s="35">
        <f>SUM('이름(LTxx-xx)'!R1)</f>
        <v>1</v>
      </c>
      <c r="H29" s="36" t="s">
        <v>90</v>
      </c>
      <c r="I29" s="36"/>
      <c r="J29" s="50">
        <v>0.05</v>
      </c>
      <c r="K29" s="61"/>
      <c r="L29" s="61"/>
      <c r="N29" s="97" t="s">
        <v>281</v>
      </c>
      <c r="O29" s="36"/>
      <c r="P29" s="36" t="s">
        <v>80</v>
      </c>
      <c r="Q29" s="60">
        <v>0.05</v>
      </c>
      <c r="R29" s="61"/>
      <c r="S29" s="61"/>
      <c r="U29" s="36" t="s">
        <v>223</v>
      </c>
      <c r="V29" s="36"/>
      <c r="W29" s="52">
        <v>0.05</v>
      </c>
      <c r="X29" s="61"/>
      <c r="Y29" s="47" t="s">
        <v>225</v>
      </c>
    </row>
    <row r="30" spans="2:25">
      <c r="B30" s="35" t="s">
        <v>24</v>
      </c>
      <c r="C30" s="44">
        <f>SUM('이름(LTxx-xx)'!R2)</f>
        <v>0</v>
      </c>
      <c r="H30" s="36" t="s">
        <v>91</v>
      </c>
      <c r="I30" s="36"/>
      <c r="J30" s="50">
        <v>0.05</v>
      </c>
      <c r="K30" s="61"/>
      <c r="L30" s="61" t="s">
        <v>191</v>
      </c>
      <c r="N30" s="94" t="s">
        <v>158</v>
      </c>
      <c r="O30" s="94" t="s">
        <v>176</v>
      </c>
      <c r="P30" s="94" t="s">
        <v>117</v>
      </c>
      <c r="Q30" s="60">
        <v>0.05</v>
      </c>
      <c r="R30" s="61"/>
      <c r="S30" s="61"/>
      <c r="U30" s="36" t="s">
        <v>193</v>
      </c>
      <c r="V30" s="36" t="s">
        <v>194</v>
      </c>
      <c r="W30" s="52">
        <v>0.05</v>
      </c>
      <c r="X30" s="36"/>
      <c r="Y30" s="61" t="s">
        <v>191</v>
      </c>
    </row>
    <row r="31" spans="2:25">
      <c r="C31" s="45"/>
      <c r="E31" s="45"/>
      <c r="H31" s="36" t="s">
        <v>54</v>
      </c>
      <c r="I31" s="36"/>
      <c r="J31" s="50">
        <v>0.05</v>
      </c>
      <c r="K31" s="61"/>
      <c r="L31" s="61"/>
      <c r="N31" s="94" t="s">
        <v>171</v>
      </c>
      <c r="O31" s="94" t="s">
        <v>184</v>
      </c>
      <c r="P31" s="95" t="s">
        <v>135</v>
      </c>
      <c r="Q31" s="60">
        <v>0.05</v>
      </c>
      <c r="R31" s="61"/>
      <c r="S31" s="61"/>
      <c r="U31" s="36"/>
      <c r="V31" s="36"/>
      <c r="W31" s="52"/>
      <c r="X31" s="61"/>
      <c r="Y31" s="47"/>
    </row>
    <row r="32" spans="2:25">
      <c r="B32" s="35" t="s">
        <v>139</v>
      </c>
      <c r="C32" s="44">
        <f>K59+R46+X21+X32</f>
        <v>0</v>
      </c>
      <c r="D32" s="63"/>
      <c r="H32" s="36" t="s">
        <v>197</v>
      </c>
      <c r="I32" s="36"/>
      <c r="J32" s="50">
        <v>0.05</v>
      </c>
      <c r="K32" s="51"/>
      <c r="L32" s="51"/>
      <c r="N32" s="94" t="s">
        <v>172</v>
      </c>
      <c r="O32" s="94" t="s">
        <v>184</v>
      </c>
      <c r="P32" s="94" t="s">
        <v>134</v>
      </c>
      <c r="Q32" s="60">
        <v>0.05</v>
      </c>
      <c r="R32" s="61"/>
      <c r="S32" s="61"/>
      <c r="U32" s="171" t="s">
        <v>138</v>
      </c>
      <c r="V32" s="171"/>
      <c r="W32" s="171"/>
      <c r="X32" s="61">
        <f>SUM(X26:X31)</f>
        <v>0</v>
      </c>
      <c r="Y32" s="47"/>
    </row>
    <row r="33" spans="2:19">
      <c r="H33" s="36" t="s">
        <v>205</v>
      </c>
      <c r="I33" s="36"/>
      <c r="J33" s="50">
        <v>0.05</v>
      </c>
      <c r="K33" s="51"/>
      <c r="L33" s="51"/>
      <c r="N33" s="94" t="s">
        <v>53</v>
      </c>
      <c r="O33" s="94" t="s">
        <v>178</v>
      </c>
      <c r="P33" s="94" t="s">
        <v>122</v>
      </c>
      <c r="Q33" s="60">
        <v>0.05</v>
      </c>
      <c r="R33" s="61"/>
      <c r="S33" s="61"/>
    </row>
    <row r="34" spans="2:19">
      <c r="C34" s="62"/>
      <c r="D34" s="62"/>
      <c r="H34" s="36" t="s">
        <v>192</v>
      </c>
      <c r="I34" s="36"/>
      <c r="J34" s="50">
        <v>0.05</v>
      </c>
      <c r="K34" s="61"/>
      <c r="L34" s="61" t="s">
        <v>191</v>
      </c>
      <c r="N34" s="94" t="s">
        <v>282</v>
      </c>
      <c r="O34" s="94" t="s">
        <v>179</v>
      </c>
      <c r="P34" s="94" t="s">
        <v>126</v>
      </c>
      <c r="Q34" s="60">
        <v>0.05</v>
      </c>
      <c r="R34" s="61"/>
      <c r="S34" s="61"/>
    </row>
    <row r="35" spans="2:19">
      <c r="B35" s="35" t="s">
        <v>208</v>
      </c>
      <c r="H35" s="36" t="s">
        <v>51</v>
      </c>
      <c r="I35" s="36"/>
      <c r="J35" s="50">
        <v>0.05</v>
      </c>
      <c r="K35" s="61"/>
      <c r="L35" s="61"/>
      <c r="N35" s="94" t="s">
        <v>169</v>
      </c>
      <c r="O35" s="94" t="s">
        <v>182</v>
      </c>
      <c r="P35" s="94" t="s">
        <v>155</v>
      </c>
      <c r="Q35" s="60">
        <v>0.05</v>
      </c>
      <c r="R35" s="61"/>
      <c r="S35" s="61"/>
    </row>
    <row r="36" spans="2:19">
      <c r="B36" s="35" t="s">
        <v>234</v>
      </c>
      <c r="C36" s="49" t="s">
        <v>235</v>
      </c>
      <c r="D36" s="49" t="s">
        <v>236</v>
      </c>
      <c r="H36" s="36" t="s">
        <v>189</v>
      </c>
      <c r="I36" s="36"/>
      <c r="J36" s="50">
        <v>0.05</v>
      </c>
      <c r="K36" s="61"/>
      <c r="L36" s="61"/>
      <c r="N36" s="94" t="s">
        <v>168</v>
      </c>
      <c r="O36" s="94" t="s">
        <v>177</v>
      </c>
      <c r="P36" s="94" t="s">
        <v>132</v>
      </c>
      <c r="Q36" s="60">
        <v>0.05</v>
      </c>
      <c r="R36" s="61"/>
      <c r="S36" s="61"/>
    </row>
    <row r="37" spans="2:19">
      <c r="B37" s="35" t="s">
        <v>237</v>
      </c>
      <c r="D37" s="62"/>
      <c r="H37" s="36" t="s">
        <v>259</v>
      </c>
      <c r="I37" s="36"/>
      <c r="J37" s="60">
        <v>0.05</v>
      </c>
      <c r="K37" s="61"/>
      <c r="L37" s="61"/>
      <c r="N37" s="95" t="s">
        <v>283</v>
      </c>
      <c r="O37" s="95" t="s">
        <v>284</v>
      </c>
      <c r="P37" s="94" t="s">
        <v>285</v>
      </c>
      <c r="Q37" s="60">
        <v>0.05</v>
      </c>
      <c r="R37" s="61"/>
      <c r="S37" s="61"/>
    </row>
    <row r="38" spans="2:19">
      <c r="B38" s="35" t="s">
        <v>238</v>
      </c>
      <c r="D38" s="62"/>
      <c r="H38" s="36" t="s">
        <v>230</v>
      </c>
      <c r="I38" s="36"/>
      <c r="J38" s="60">
        <v>0.05</v>
      </c>
      <c r="K38" s="61"/>
      <c r="L38" s="61"/>
      <c r="N38" s="95" t="s">
        <v>286</v>
      </c>
      <c r="O38" s="95" t="s">
        <v>287</v>
      </c>
      <c r="P38" s="95" t="s">
        <v>288</v>
      </c>
      <c r="Q38" s="60">
        <v>0.05</v>
      </c>
      <c r="R38" s="61"/>
      <c r="S38" s="61"/>
    </row>
    <row r="39" spans="2:19">
      <c r="D39" s="62"/>
      <c r="H39" s="36" t="s">
        <v>229</v>
      </c>
      <c r="I39" s="36"/>
      <c r="J39" s="60">
        <v>0.05</v>
      </c>
      <c r="K39" s="61"/>
      <c r="L39" s="61"/>
      <c r="N39" s="95" t="s">
        <v>289</v>
      </c>
      <c r="O39" s="95" t="s">
        <v>290</v>
      </c>
      <c r="P39" s="94" t="s">
        <v>291</v>
      </c>
      <c r="Q39" s="60">
        <v>0.05</v>
      </c>
      <c r="R39" s="61"/>
      <c r="S39" s="61"/>
    </row>
    <row r="40" spans="2:19">
      <c r="D40" s="62"/>
      <c r="H40" s="36" t="s">
        <v>83</v>
      </c>
      <c r="I40" s="36"/>
      <c r="J40" s="50">
        <v>0.05</v>
      </c>
      <c r="K40" s="61"/>
      <c r="L40" s="61"/>
      <c r="N40" s="95" t="s">
        <v>292</v>
      </c>
      <c r="O40" s="95" t="s">
        <v>293</v>
      </c>
      <c r="P40" s="95" t="s">
        <v>294</v>
      </c>
      <c r="Q40" s="60">
        <v>0.05</v>
      </c>
      <c r="R40" s="61"/>
      <c r="S40" s="61"/>
    </row>
    <row r="41" spans="2:19">
      <c r="D41" s="68">
        <f>SUM(D37:D40)</f>
        <v>0</v>
      </c>
      <c r="E41" s="64">
        <f>D41/C4</f>
        <v>0</v>
      </c>
      <c r="H41" s="36" t="s">
        <v>87</v>
      </c>
      <c r="I41" s="36"/>
      <c r="J41" s="50">
        <v>0.05</v>
      </c>
      <c r="K41" s="61"/>
      <c r="L41" s="61"/>
      <c r="N41" s="95" t="s">
        <v>295</v>
      </c>
      <c r="O41" s="95" t="s">
        <v>296</v>
      </c>
      <c r="P41" s="95" t="s">
        <v>297</v>
      </c>
      <c r="Q41" s="60">
        <v>0.05</v>
      </c>
      <c r="R41" s="61"/>
      <c r="S41" s="61"/>
    </row>
    <row r="42" spans="2:19">
      <c r="H42" s="36" t="s">
        <v>84</v>
      </c>
      <c r="I42" s="36"/>
      <c r="J42" s="50">
        <v>0.05</v>
      </c>
      <c r="K42" s="61"/>
      <c r="L42" s="61"/>
      <c r="N42" s="95" t="s">
        <v>298</v>
      </c>
      <c r="O42" s="95" t="s">
        <v>299</v>
      </c>
      <c r="P42" s="95" t="s">
        <v>300</v>
      </c>
      <c r="Q42" s="60">
        <v>0.05</v>
      </c>
      <c r="R42" s="61"/>
      <c r="S42" s="61"/>
    </row>
    <row r="43" spans="2:19">
      <c r="H43" s="36" t="s">
        <v>99</v>
      </c>
      <c r="I43" s="36"/>
      <c r="J43" s="50">
        <v>0.05</v>
      </c>
      <c r="K43" s="51"/>
      <c r="L43" s="51"/>
      <c r="N43" s="95" t="s">
        <v>301</v>
      </c>
      <c r="O43" s="95" t="s">
        <v>302</v>
      </c>
      <c r="P43" s="95" t="s">
        <v>303</v>
      </c>
      <c r="Q43" s="60">
        <v>0.05</v>
      </c>
      <c r="R43" s="61"/>
      <c r="S43" s="61"/>
    </row>
    <row r="44" spans="2:19">
      <c r="B44" s="65" t="s">
        <v>196</v>
      </c>
      <c r="C44" s="66">
        <f>C30-E41</f>
        <v>0</v>
      </c>
      <c r="H44" s="36" t="s">
        <v>216</v>
      </c>
      <c r="I44" s="36"/>
      <c r="J44" s="50">
        <v>0.05</v>
      </c>
      <c r="K44" s="51"/>
      <c r="L44" s="51"/>
      <c r="N44" s="95" t="s">
        <v>304</v>
      </c>
      <c r="O44" s="95" t="s">
        <v>305</v>
      </c>
      <c r="P44" s="94" t="s">
        <v>306</v>
      </c>
      <c r="Q44" s="60">
        <v>0.05</v>
      </c>
      <c r="R44" s="61"/>
      <c r="S44" s="61"/>
    </row>
    <row r="45" spans="2:19">
      <c r="H45" s="36" t="s">
        <v>95</v>
      </c>
      <c r="I45" s="36"/>
      <c r="J45" s="50">
        <v>0.05</v>
      </c>
      <c r="K45" s="51"/>
      <c r="L45" s="51"/>
      <c r="N45" s="36"/>
      <c r="O45" s="36"/>
      <c r="P45" s="36"/>
      <c r="Q45" s="60"/>
      <c r="R45" s="61"/>
      <c r="S45" s="61"/>
    </row>
    <row r="46" spans="2:19">
      <c r="H46" s="36" t="s">
        <v>107</v>
      </c>
      <c r="I46" s="36"/>
      <c r="J46" s="50">
        <v>0.05</v>
      </c>
      <c r="K46" s="51"/>
      <c r="L46" s="51"/>
      <c r="N46" s="171" t="s">
        <v>307</v>
      </c>
      <c r="O46" s="171"/>
      <c r="P46" s="171"/>
      <c r="Q46" s="171"/>
      <c r="R46" s="51">
        <f>SUM(R9:R45)</f>
        <v>0</v>
      </c>
      <c r="S46" s="51"/>
    </row>
    <row r="47" spans="2:19">
      <c r="H47" s="36" t="s">
        <v>97</v>
      </c>
      <c r="I47" s="36"/>
      <c r="J47" s="50">
        <v>0.05</v>
      </c>
      <c r="K47" s="51"/>
      <c r="L47" s="51"/>
    </row>
    <row r="48" spans="2:19">
      <c r="H48" s="36" t="s">
        <v>100</v>
      </c>
      <c r="I48" s="36"/>
      <c r="J48" s="50">
        <v>0.05</v>
      </c>
      <c r="K48" s="51"/>
      <c r="L48" s="51"/>
      <c r="N48" s="35"/>
      <c r="O48" s="35"/>
      <c r="P48" s="35"/>
      <c r="Q48" s="35"/>
    </row>
    <row r="49" spans="8:12">
      <c r="H49" s="36" t="s">
        <v>96</v>
      </c>
      <c r="I49" s="36"/>
      <c r="J49" s="50">
        <v>0.05</v>
      </c>
      <c r="K49" s="51"/>
      <c r="L49" s="51"/>
    </row>
    <row r="50" spans="8:12">
      <c r="H50" s="36" t="s">
        <v>104</v>
      </c>
      <c r="I50" s="36"/>
      <c r="J50" s="50">
        <v>0.05</v>
      </c>
      <c r="K50" s="51"/>
      <c r="L50" s="51"/>
    </row>
    <row r="51" spans="8:12">
      <c r="H51" s="36" t="s">
        <v>240</v>
      </c>
      <c r="I51" s="36"/>
      <c r="J51" s="60">
        <v>0.05</v>
      </c>
      <c r="K51" s="61"/>
      <c r="L51" s="61"/>
    </row>
    <row r="52" spans="8:12">
      <c r="H52" s="36" t="s">
        <v>89</v>
      </c>
      <c r="I52" s="36"/>
      <c r="J52" s="50">
        <v>0.05</v>
      </c>
      <c r="K52" s="51"/>
      <c r="L52" s="51"/>
    </row>
    <row r="53" spans="8:12">
      <c r="H53" s="36" t="s">
        <v>103</v>
      </c>
      <c r="I53" s="36"/>
      <c r="J53" s="50">
        <v>0.05</v>
      </c>
      <c r="K53" s="51"/>
      <c r="L53" s="51"/>
    </row>
    <row r="54" spans="8:12">
      <c r="H54" s="36" t="s">
        <v>92</v>
      </c>
      <c r="I54" s="36"/>
      <c r="J54" s="50">
        <v>0.05</v>
      </c>
      <c r="K54" s="51"/>
      <c r="L54" s="51"/>
    </row>
    <row r="55" spans="8:12">
      <c r="H55" s="36" t="s">
        <v>226</v>
      </c>
      <c r="I55" s="36"/>
      <c r="J55" s="50">
        <v>0.05</v>
      </c>
      <c r="K55" s="51"/>
      <c r="L55" s="51"/>
    </row>
    <row r="56" spans="8:12">
      <c r="H56" s="36" t="s">
        <v>102</v>
      </c>
      <c r="I56" s="36"/>
      <c r="J56" s="50">
        <v>0.05</v>
      </c>
      <c r="K56" s="51"/>
      <c r="L56" s="51"/>
    </row>
    <row r="57" spans="8:12">
      <c r="H57" s="36" t="s">
        <v>266</v>
      </c>
      <c r="I57" s="36"/>
      <c r="J57" s="50">
        <v>0.05</v>
      </c>
      <c r="K57" s="51"/>
      <c r="L57" s="51"/>
    </row>
    <row r="58" spans="8:12">
      <c r="H58" s="36"/>
      <c r="I58" s="36"/>
      <c r="J58" s="50"/>
      <c r="K58" s="51"/>
      <c r="L58" s="51"/>
    </row>
    <row r="59" spans="8:12">
      <c r="H59" s="171" t="s">
        <v>138</v>
      </c>
      <c r="I59" s="171"/>
      <c r="J59" s="171"/>
      <c r="K59" s="54">
        <f>SUM(K9:K58)</f>
        <v>0</v>
      </c>
      <c r="L59" s="54"/>
    </row>
    <row r="60" spans="8:12">
      <c r="H60" s="49"/>
      <c r="I60" s="49"/>
      <c r="J60" s="49"/>
      <c r="K60" s="49"/>
      <c r="L60" s="49"/>
    </row>
    <row r="61" spans="8:12">
      <c r="H61" s="49"/>
      <c r="I61" s="49"/>
      <c r="J61" s="49"/>
      <c r="K61" s="49"/>
      <c r="L61" s="49"/>
    </row>
  </sheetData>
  <autoFilter ref="U25:Y25" xr:uid="{00000000-0009-0000-0000-000000000000}">
    <sortState xmlns:xlrd2="http://schemas.microsoft.com/office/spreadsheetml/2017/richdata2" ref="U26:Y30">
      <sortCondition ref="U25"/>
    </sortState>
  </autoFilter>
  <mergeCells count="18">
    <mergeCell ref="U21:W21"/>
    <mergeCell ref="H59:J59"/>
    <mergeCell ref="H3:K3"/>
    <mergeCell ref="N3:Q3"/>
    <mergeCell ref="U3:X3"/>
    <mergeCell ref="H4:I4"/>
    <mergeCell ref="J4:K4"/>
    <mergeCell ref="N4:O4"/>
    <mergeCell ref="P4:Q4"/>
    <mergeCell ref="U4:V4"/>
    <mergeCell ref="W4:X4"/>
    <mergeCell ref="U24:X24"/>
    <mergeCell ref="U32:W32"/>
    <mergeCell ref="B22:E22"/>
    <mergeCell ref="B23:E23"/>
    <mergeCell ref="N46:Q46"/>
    <mergeCell ref="B1:E1"/>
    <mergeCell ref="H1:L1"/>
  </mergeCells>
  <phoneticPr fontId="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7.399999999999999"/>
  <cols>
    <col min="1" max="1" width="9.59765625" style="55" bestFit="1" customWidth="1"/>
    <col min="2" max="2" width="95.09765625" style="55" bestFit="1" customWidth="1"/>
    <col min="3" max="3" width="68" style="55" bestFit="1" customWidth="1"/>
    <col min="4" max="16384" width="9" style="55"/>
  </cols>
  <sheetData>
    <row r="1" spans="1:3">
      <c r="A1" s="56" t="s">
        <v>140</v>
      </c>
      <c r="B1" s="56" t="s">
        <v>141</v>
      </c>
      <c r="C1" s="56" t="s">
        <v>142</v>
      </c>
    </row>
    <row r="2" spans="1:3">
      <c r="A2" s="56" t="s">
        <v>31</v>
      </c>
      <c r="B2" s="57" t="s">
        <v>47</v>
      </c>
      <c r="C2" s="57" t="s">
        <v>143</v>
      </c>
    </row>
    <row r="3" spans="1:3">
      <c r="A3" s="56" t="s">
        <v>32</v>
      </c>
      <c r="B3" s="57" t="s">
        <v>144</v>
      </c>
      <c r="C3" s="57"/>
    </row>
    <row r="4" spans="1:3">
      <c r="A4" s="56" t="s">
        <v>39</v>
      </c>
      <c r="B4" s="57" t="s">
        <v>152</v>
      </c>
      <c r="C4" s="57"/>
    </row>
    <row r="5" spans="1:3">
      <c r="A5" s="56" t="s">
        <v>33</v>
      </c>
      <c r="B5" s="57" t="s">
        <v>50</v>
      </c>
      <c r="C5" s="57" t="s">
        <v>145</v>
      </c>
    </row>
    <row r="6" spans="1:3">
      <c r="A6" s="56" t="s">
        <v>40</v>
      </c>
      <c r="B6" s="57" t="s">
        <v>55</v>
      </c>
      <c r="C6" s="57"/>
    </row>
    <row r="7" spans="1:3">
      <c r="A7" s="56" t="s">
        <v>43</v>
      </c>
      <c r="B7" s="57" t="s">
        <v>59</v>
      </c>
      <c r="C7" s="57"/>
    </row>
    <row r="8" spans="1:3">
      <c r="A8" s="56" t="s">
        <v>41</v>
      </c>
      <c r="B8" s="57" t="s">
        <v>56</v>
      </c>
      <c r="C8" s="57"/>
    </row>
    <row r="9" spans="1:3">
      <c r="A9" s="56" t="s">
        <v>42</v>
      </c>
      <c r="B9" s="57" t="s">
        <v>57</v>
      </c>
      <c r="C9" s="57" t="s">
        <v>146</v>
      </c>
    </row>
    <row r="10" spans="1:3">
      <c r="A10" s="56" t="s">
        <v>45</v>
      </c>
      <c r="B10" s="57" t="s">
        <v>61</v>
      </c>
      <c r="C10" s="57" t="s">
        <v>147</v>
      </c>
    </row>
    <row r="11" spans="1:3">
      <c r="A11" s="56" t="s">
        <v>34</v>
      </c>
      <c r="B11" s="57" t="s">
        <v>52</v>
      </c>
      <c r="C11" s="57"/>
    </row>
    <row r="12" spans="1:3">
      <c r="A12" s="58" t="s">
        <v>35</v>
      </c>
      <c r="B12" s="59" t="s">
        <v>148</v>
      </c>
      <c r="C12" s="59" t="s">
        <v>154</v>
      </c>
    </row>
    <row r="13" spans="1:3">
      <c r="A13" s="56" t="s">
        <v>36</v>
      </c>
      <c r="B13" s="57" t="s">
        <v>149</v>
      </c>
      <c r="C13" s="57"/>
    </row>
    <row r="14" spans="1:3">
      <c r="A14" s="56" t="s">
        <v>37</v>
      </c>
      <c r="B14" s="57" t="s">
        <v>150</v>
      </c>
      <c r="C14" s="57" t="s">
        <v>151</v>
      </c>
    </row>
    <row r="15" spans="1:3">
      <c r="A15" s="56"/>
      <c r="B15" s="57" t="s">
        <v>58</v>
      </c>
      <c r="C15" s="57"/>
    </row>
    <row r="16" spans="1:3">
      <c r="A16" s="56" t="s">
        <v>38</v>
      </c>
      <c r="B16" s="57" t="s">
        <v>153</v>
      </c>
      <c r="C16" s="57"/>
    </row>
    <row r="17" spans="1:3">
      <c r="A17" s="56" t="s">
        <v>44</v>
      </c>
      <c r="B17" s="57" t="s">
        <v>60</v>
      </c>
      <c r="C17" s="57"/>
    </row>
  </sheetData>
  <phoneticPr fontId="3" type="noConversion"/>
  <pageMargins left="0.25" right="0.25" top="0.75" bottom="0.75" header="0.3" footer="0.3"/>
  <pageSetup paperSize="9" scale="77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4">
    <tabColor rgb="FFFFFF00"/>
    <pageSetUpPr fitToPage="1"/>
  </sheetPr>
  <dimension ref="A1:W62"/>
  <sheetViews>
    <sheetView showGridLines="0" tabSelected="1" view="pageBreakPreview" zoomScale="30" zoomScaleNormal="30" zoomScaleSheetLayoutView="30" workbookViewId="0">
      <selection activeCell="M7" sqref="M7"/>
    </sheetView>
  </sheetViews>
  <sheetFormatPr defaultColWidth="9" defaultRowHeight="17.399999999999999"/>
  <cols>
    <col min="1" max="1" width="28.19921875" style="1" customWidth="1"/>
    <col min="2" max="2" width="42.3984375" style="1" customWidth="1"/>
    <col min="3" max="3" width="17.69921875" style="1" bestFit="1" customWidth="1"/>
    <col min="4" max="4" width="19.3984375" style="1" bestFit="1" customWidth="1"/>
    <col min="5" max="5" width="37.3984375" style="1" bestFit="1" customWidth="1"/>
    <col min="6" max="6" width="51.09765625" style="1" bestFit="1" customWidth="1"/>
    <col min="7" max="9" width="16.8984375" style="1" customWidth="1"/>
    <col min="10" max="10" width="39.09765625" style="1" bestFit="1" customWidth="1"/>
    <col min="11" max="11" width="51.69921875" style="1" bestFit="1" customWidth="1"/>
    <col min="12" max="12" width="49.3984375" style="1" bestFit="1" customWidth="1"/>
    <col min="13" max="13" width="39.3984375" style="1" bestFit="1" customWidth="1"/>
    <col min="14" max="14" width="47.19921875" style="1" customWidth="1"/>
    <col min="15" max="15" width="10.8984375" style="1" bestFit="1" customWidth="1"/>
    <col min="16" max="16" width="10.5" style="1" bestFit="1" customWidth="1"/>
    <col min="17" max="17" width="9" style="1"/>
    <col min="18" max="18" width="30.8984375" style="1" customWidth="1"/>
    <col min="19" max="19" width="9" style="1"/>
    <col min="20" max="23" width="36.3984375" style="1" bestFit="1" customWidth="1"/>
    <col min="24" max="16384" width="9" style="1"/>
  </cols>
  <sheetData>
    <row r="1" spans="1:23" ht="162" customHeight="1">
      <c r="C1" s="151" t="s">
        <v>332</v>
      </c>
      <c r="D1" s="151"/>
      <c r="E1" s="151"/>
      <c r="F1" s="151"/>
      <c r="G1" s="151"/>
      <c r="H1" s="151"/>
      <c r="I1" s="151"/>
      <c r="J1" s="151"/>
      <c r="K1" s="151"/>
      <c r="L1" s="86" t="s">
        <v>262</v>
      </c>
      <c r="M1" s="147" t="s">
        <v>330</v>
      </c>
      <c r="N1" s="148"/>
      <c r="R1" s="23">
        <f>D11</f>
        <v>1</v>
      </c>
      <c r="T1" s="27" t="s">
        <v>26</v>
      </c>
      <c r="U1" s="27" t="s">
        <v>27</v>
      </c>
      <c r="V1" s="27" t="s">
        <v>28</v>
      </c>
      <c r="W1" s="27" t="s">
        <v>29</v>
      </c>
    </row>
    <row r="2" spans="1:23" s="2" customFormat="1" ht="39.9" customHeight="1">
      <c r="A2" s="22" t="s">
        <v>3</v>
      </c>
      <c r="B2" s="122" t="s">
        <v>4</v>
      </c>
      <c r="C2" s="122"/>
      <c r="D2" s="22" t="s">
        <v>5</v>
      </c>
      <c r="E2" s="149" t="s">
        <v>331</v>
      </c>
      <c r="F2" s="149"/>
      <c r="G2" s="150"/>
      <c r="H2" s="150"/>
      <c r="I2" s="157" t="s">
        <v>185</v>
      </c>
      <c r="J2" s="158"/>
      <c r="K2" s="159"/>
      <c r="L2" s="166" t="s">
        <v>243</v>
      </c>
      <c r="M2" s="167"/>
      <c r="N2" s="155"/>
      <c r="R2" s="24">
        <f>N16</f>
        <v>0</v>
      </c>
      <c r="T2" s="28" t="s">
        <v>0</v>
      </c>
      <c r="U2" s="29">
        <f>'Row data'!C3</f>
        <v>23000</v>
      </c>
      <c r="V2" s="30">
        <v>1000</v>
      </c>
      <c r="W2" s="29">
        <f>U2+V2</f>
        <v>24000</v>
      </c>
    </row>
    <row r="3" spans="1:23" s="2" customFormat="1" ht="39.9" customHeight="1">
      <c r="A3" s="22" t="s">
        <v>6</v>
      </c>
      <c r="B3" s="122" t="s">
        <v>219</v>
      </c>
      <c r="C3" s="122"/>
      <c r="D3" s="122"/>
      <c r="E3" s="122"/>
      <c r="F3" s="122"/>
      <c r="G3" s="122"/>
      <c r="H3" s="122"/>
      <c r="I3" s="160"/>
      <c r="J3" s="161"/>
      <c r="K3" s="162"/>
      <c r="L3" s="168"/>
      <c r="M3" s="169"/>
      <c r="N3" s="156"/>
      <c r="Q3" s="3"/>
      <c r="R3" s="3"/>
      <c r="S3" s="3"/>
      <c r="T3" s="31" t="s">
        <v>2</v>
      </c>
      <c r="U3" s="30">
        <f>'Row data'!C4</f>
        <v>33</v>
      </c>
      <c r="V3" s="32">
        <v>1</v>
      </c>
      <c r="W3" s="32">
        <f>U3+V3</f>
        <v>34</v>
      </c>
    </row>
    <row r="4" spans="1:23" s="2" customFormat="1" ht="39.9" customHeight="1">
      <c r="A4" s="22" t="s">
        <v>7</v>
      </c>
      <c r="B4" s="122" t="s">
        <v>8</v>
      </c>
      <c r="C4" s="122"/>
      <c r="D4" s="122"/>
      <c r="E4" s="122"/>
      <c r="F4" s="122"/>
      <c r="G4" s="122"/>
      <c r="H4" s="122"/>
      <c r="I4" s="163" t="s">
        <v>9</v>
      </c>
      <c r="J4" s="164"/>
      <c r="K4" s="165"/>
      <c r="L4" s="152" t="s">
        <v>244</v>
      </c>
      <c r="M4" s="153"/>
      <c r="N4" s="154"/>
      <c r="T4" s="33" t="s">
        <v>1</v>
      </c>
      <c r="U4" s="30">
        <f>'Row data'!C5</f>
        <v>1515</v>
      </c>
      <c r="V4" s="34">
        <v>30</v>
      </c>
      <c r="W4" s="34">
        <f>U4+V4</f>
        <v>1545</v>
      </c>
    </row>
    <row r="5" spans="1:23" s="2" customFormat="1" ht="39.9" customHeight="1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211</v>
      </c>
      <c r="F5" s="81" t="s">
        <v>212</v>
      </c>
      <c r="G5" s="122" t="s">
        <v>261</v>
      </c>
      <c r="H5" s="122"/>
      <c r="I5" s="122"/>
      <c r="J5" s="22" t="s">
        <v>213</v>
      </c>
      <c r="K5" s="82" t="s">
        <v>214</v>
      </c>
      <c r="L5" s="81" t="s">
        <v>255</v>
      </c>
      <c r="M5" s="82" t="s">
        <v>256</v>
      </c>
      <c r="N5" s="83" t="s">
        <v>215</v>
      </c>
    </row>
    <row r="6" spans="1:23" s="2" customFormat="1" ht="39.9" customHeight="1">
      <c r="A6" s="22">
        <v>1</v>
      </c>
      <c r="B6" s="25" t="s">
        <v>265</v>
      </c>
      <c r="C6" s="67">
        <f>VLOOKUP(MAX(E6,J6),'Row data'!$C$8:$D$19,2,TRUE)</f>
        <v>12.4</v>
      </c>
      <c r="D6" s="4">
        <v>1</v>
      </c>
      <c r="E6" s="5"/>
      <c r="F6" s="5">
        <f>E6*D6</f>
        <v>0</v>
      </c>
      <c r="G6" s="46"/>
      <c r="H6" s="46"/>
      <c r="I6" s="46"/>
      <c r="J6" s="6">
        <f>(G6*H6*I6)*0.00022</f>
        <v>0</v>
      </c>
      <c r="K6" s="7">
        <f>J6*D6</f>
        <v>0</v>
      </c>
      <c r="L6" s="21">
        <f>(IF(0=F6*C6,0,IF('Row data'!$D$8&gt;=C6*F6,'Row data'!$D$8,C6*F6)))</f>
        <v>0</v>
      </c>
      <c r="M6" s="21">
        <f>(IF(0=K6*C6,0,IF('Row data'!$D$8&gt;=K6*C6,'Row data'!$D$8,K6*C6)))</f>
        <v>0</v>
      </c>
      <c r="N6" s="8">
        <f>MAX(L6:M6)</f>
        <v>0</v>
      </c>
    </row>
    <row r="7" spans="1:23" s="2" customFormat="1" ht="39.9" customHeight="1">
      <c r="A7" s="22">
        <v>2</v>
      </c>
      <c r="B7" s="25"/>
      <c r="C7" s="67"/>
      <c r="D7" s="4"/>
      <c r="E7" s="5"/>
      <c r="F7" s="5"/>
      <c r="G7" s="46"/>
      <c r="H7" s="46"/>
      <c r="I7" s="46"/>
      <c r="J7" s="6"/>
      <c r="K7" s="7"/>
      <c r="L7" s="21"/>
      <c r="M7" s="21"/>
      <c r="N7" s="8"/>
      <c r="R7" s="2">
        <f>1800000</f>
        <v>1800000</v>
      </c>
    </row>
    <row r="8" spans="1:23" s="2" customFormat="1" ht="39.9" customHeight="1">
      <c r="A8" s="22">
        <v>3</v>
      </c>
      <c r="B8" s="25"/>
      <c r="C8" s="67"/>
      <c r="D8" s="4"/>
      <c r="E8" s="5"/>
      <c r="F8" s="5"/>
      <c r="G8" s="46"/>
      <c r="H8" s="46"/>
      <c r="I8" s="46"/>
      <c r="J8" s="6"/>
      <c r="K8" s="7"/>
      <c r="L8" s="21"/>
      <c r="M8" s="21"/>
      <c r="N8" s="8"/>
      <c r="R8" s="2">
        <f>R7/26000</f>
        <v>69.230769230769226</v>
      </c>
    </row>
    <row r="9" spans="1:23" s="2" customFormat="1" ht="39.9" customHeight="1">
      <c r="A9" s="22">
        <v>4</v>
      </c>
      <c r="B9" s="25"/>
      <c r="C9" s="67"/>
      <c r="D9" s="4"/>
      <c r="E9" s="5"/>
      <c r="F9" s="5"/>
      <c r="G9" s="46"/>
      <c r="H9" s="46"/>
      <c r="I9" s="46"/>
      <c r="J9" s="6"/>
      <c r="K9" s="7"/>
      <c r="L9" s="21"/>
      <c r="M9" s="21"/>
      <c r="N9" s="8"/>
    </row>
    <row r="10" spans="1:23" s="2" customFormat="1" ht="39.9" customHeight="1">
      <c r="A10" s="22">
        <v>5</v>
      </c>
      <c r="B10" s="25"/>
      <c r="C10" s="67"/>
      <c r="D10" s="4"/>
      <c r="E10" s="5"/>
      <c r="F10" s="5"/>
      <c r="G10" s="46"/>
      <c r="H10" s="46"/>
      <c r="I10" s="46"/>
      <c r="J10" s="6"/>
      <c r="K10" s="7"/>
      <c r="L10" s="21"/>
      <c r="M10" s="21"/>
      <c r="N10" s="8"/>
    </row>
    <row r="11" spans="1:23" s="2" customFormat="1" ht="39.9" customHeight="1">
      <c r="A11" s="122" t="s">
        <v>14</v>
      </c>
      <c r="B11" s="122"/>
      <c r="C11" s="122"/>
      <c r="D11" s="4">
        <f>SUM(D6:D10)</f>
        <v>1</v>
      </c>
      <c r="E11" s="9"/>
      <c r="F11" s="69">
        <f>SUM(F6:F10)</f>
        <v>0</v>
      </c>
      <c r="G11" s="10"/>
      <c r="H11" s="4"/>
      <c r="I11" s="4"/>
      <c r="J11" s="4"/>
      <c r="K11" s="11">
        <f>SUM(K6:K10)</f>
        <v>0</v>
      </c>
      <c r="L11" s="20"/>
      <c r="M11" s="12"/>
      <c r="N11" s="13"/>
    </row>
    <row r="12" spans="1:23" s="2" customFormat="1" ht="54" customHeight="1">
      <c r="A12" s="123" t="s">
        <v>220</v>
      </c>
      <c r="B12" s="123"/>
      <c r="C12" s="123"/>
      <c r="D12" s="123"/>
      <c r="E12" s="123"/>
      <c r="F12" s="123" t="s">
        <v>221</v>
      </c>
      <c r="G12" s="123"/>
      <c r="H12" s="123"/>
      <c r="I12" s="123"/>
      <c r="J12" s="123"/>
      <c r="K12" s="123"/>
      <c r="L12" s="122" t="s">
        <v>15</v>
      </c>
      <c r="M12" s="122"/>
      <c r="N12" s="84">
        <f>SUM(N6:N11)</f>
        <v>0</v>
      </c>
      <c r="P12" s="23"/>
    </row>
    <row r="13" spans="1:23" s="2" customFormat="1" ht="52.95" customHeight="1">
      <c r="A13" s="124" t="s">
        <v>333</v>
      </c>
      <c r="B13" s="123"/>
      <c r="C13" s="123"/>
      <c r="D13" s="123"/>
      <c r="E13" s="123"/>
      <c r="F13" s="126"/>
      <c r="G13" s="126"/>
      <c r="H13" s="126"/>
      <c r="I13" s="126"/>
      <c r="J13" s="126"/>
      <c r="K13" s="126"/>
      <c r="L13" s="90" t="s">
        <v>16</v>
      </c>
      <c r="M13" s="91" t="str">
        <f>IFERROR(MID($A$13,FIND(" "&amp;$L$13&amp;" ",$A$13)+4,3)," ")</f>
        <v xml:space="preserve"> </v>
      </c>
      <c r="N13" s="85">
        <f>IFERROR(N12*M13,0)</f>
        <v>0</v>
      </c>
    </row>
    <row r="14" spans="1:23" s="2" customFormat="1" ht="52.95" customHeight="1">
      <c r="A14" s="123"/>
      <c r="B14" s="123"/>
      <c r="C14" s="123"/>
      <c r="D14" s="123"/>
      <c r="E14" s="123"/>
      <c r="F14" s="126"/>
      <c r="G14" s="126"/>
      <c r="H14" s="126"/>
      <c r="I14" s="126"/>
      <c r="J14" s="126"/>
      <c r="K14" s="126"/>
      <c r="L14" s="90" t="s">
        <v>263</v>
      </c>
      <c r="M14" s="91" t="str">
        <f>IFERROR(MID($A$13,FIND(" "&amp;$L$14&amp;" ",$A$13)+6,3)," ")</f>
        <v xml:space="preserve"> </v>
      </c>
      <c r="N14" s="85">
        <f>IFERROR(N12*M14,0)</f>
        <v>0</v>
      </c>
    </row>
    <row r="15" spans="1:23" s="2" customFormat="1" ht="52.95" customHeight="1">
      <c r="A15" s="123"/>
      <c r="B15" s="123"/>
      <c r="C15" s="123"/>
      <c r="D15" s="123"/>
      <c r="E15" s="123"/>
      <c r="F15" s="126"/>
      <c r="G15" s="126"/>
      <c r="H15" s="126"/>
      <c r="I15" s="126"/>
      <c r="J15" s="126"/>
      <c r="K15" s="126"/>
      <c r="L15" s="90" t="s">
        <v>264</v>
      </c>
      <c r="M15" s="91" t="str">
        <f>IFERROR(IF(FIND("세금 계산서",$A$13),10%," ")," ")</f>
        <v xml:space="preserve"> </v>
      </c>
      <c r="N15" s="85">
        <f>IFERROR((N12-N13-N14)*M15,0)</f>
        <v>0</v>
      </c>
    </row>
    <row r="16" spans="1:23" s="2" customFormat="1" ht="54" customHeight="1">
      <c r="A16" s="123"/>
      <c r="B16" s="123"/>
      <c r="C16" s="123"/>
      <c r="D16" s="123"/>
      <c r="E16" s="123"/>
      <c r="F16" s="126"/>
      <c r="G16" s="126"/>
      <c r="H16" s="126"/>
      <c r="I16" s="126"/>
      <c r="J16" s="126"/>
      <c r="K16" s="126"/>
      <c r="L16" s="127" t="s">
        <v>222</v>
      </c>
      <c r="M16" s="87" t="s">
        <v>17</v>
      </c>
      <c r="N16" s="70">
        <f>(N12-N13-N14+N15)</f>
        <v>0</v>
      </c>
    </row>
    <row r="17" spans="1:14" s="2" customFormat="1" ht="46.5" customHeight="1">
      <c r="A17" s="123"/>
      <c r="B17" s="123"/>
      <c r="C17" s="123"/>
      <c r="D17" s="123"/>
      <c r="E17" s="123"/>
      <c r="F17" s="126"/>
      <c r="G17" s="126"/>
      <c r="H17" s="126"/>
      <c r="I17" s="126"/>
      <c r="J17" s="126"/>
      <c r="K17" s="126"/>
      <c r="L17" s="128"/>
      <c r="M17" s="88" t="s">
        <v>18</v>
      </c>
      <c r="N17" s="71">
        <f>ROUNDUP((N16*$W$2),-3)</f>
        <v>0</v>
      </c>
    </row>
    <row r="18" spans="1:14" s="2" customFormat="1" ht="46.5" customHeight="1">
      <c r="A18" s="123"/>
      <c r="B18" s="123"/>
      <c r="C18" s="123"/>
      <c r="D18" s="123"/>
      <c r="E18" s="123"/>
      <c r="F18" s="126"/>
      <c r="G18" s="126"/>
      <c r="H18" s="126"/>
      <c r="I18" s="126"/>
      <c r="J18" s="126"/>
      <c r="K18" s="126"/>
      <c r="L18" s="128"/>
      <c r="M18" s="89" t="s">
        <v>19</v>
      </c>
      <c r="N18" s="72">
        <f>ROUNDUP((N16*$W$3),-1)</f>
        <v>0</v>
      </c>
    </row>
    <row r="19" spans="1:14" s="2" customFormat="1" ht="52.95" customHeight="1">
      <c r="A19" s="125"/>
      <c r="B19" s="125"/>
      <c r="C19" s="125"/>
      <c r="D19" s="125"/>
      <c r="E19" s="125"/>
      <c r="F19" s="126"/>
      <c r="G19" s="126"/>
      <c r="H19" s="126"/>
      <c r="I19" s="126"/>
      <c r="J19" s="126"/>
      <c r="K19" s="126"/>
      <c r="L19" s="128"/>
      <c r="M19" s="14" t="s">
        <v>20</v>
      </c>
      <c r="N19" s="73">
        <f>ROUNDUP((N16*$W$4),-2)</f>
        <v>0</v>
      </c>
    </row>
    <row r="20" spans="1:14" s="2" customFormat="1" ht="297" customHeight="1">
      <c r="A20" s="92"/>
      <c r="B20" s="92"/>
      <c r="C20" s="93"/>
      <c r="D20" s="92"/>
      <c r="E20" s="92"/>
      <c r="F20" s="92"/>
      <c r="G20" s="92"/>
      <c r="H20" s="92"/>
      <c r="I20" s="92"/>
      <c r="J20" s="92"/>
      <c r="K20" s="92"/>
      <c r="L20" s="92"/>
      <c r="M20" s="92"/>
      <c r="N20" s="92"/>
    </row>
    <row r="21" spans="1:14" s="2" customFormat="1" ht="39.9" customHeight="1">
      <c r="A21" s="130" t="s">
        <v>253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</row>
    <row r="22" spans="1:14" s="2" customFormat="1" ht="39.9" customHeight="1">
      <c r="A22" s="131" t="s">
        <v>224</v>
      </c>
      <c r="B22" s="131"/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1"/>
    </row>
    <row r="23" spans="1:14" s="2" customFormat="1" ht="39.9" customHeight="1">
      <c r="A23" s="131"/>
      <c r="B23" s="131"/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</row>
    <row r="24" spans="1:14" s="2" customFormat="1" ht="39.9" customHeight="1">
      <c r="A24" s="132" t="s">
        <v>21</v>
      </c>
      <c r="B24" s="133"/>
      <c r="C24" s="138"/>
      <c r="D24" s="139"/>
      <c r="E24" s="140"/>
      <c r="F24" s="26"/>
      <c r="G24" s="15"/>
      <c r="H24" s="15"/>
      <c r="I24" s="15"/>
      <c r="J24" s="15"/>
      <c r="K24" s="122" t="s">
        <v>22</v>
      </c>
      <c r="L24" s="129"/>
      <c r="M24" s="129"/>
      <c r="N24" s="129"/>
    </row>
    <row r="25" spans="1:14" s="2" customFormat="1" ht="39.9" customHeight="1">
      <c r="A25" s="134"/>
      <c r="B25" s="135"/>
      <c r="C25" s="141"/>
      <c r="D25" s="142"/>
      <c r="E25" s="143"/>
      <c r="F25" s="26"/>
      <c r="G25" s="26"/>
      <c r="H25" s="26"/>
      <c r="I25" s="15"/>
      <c r="J25" s="15"/>
      <c r="K25" s="122"/>
      <c r="L25" s="129"/>
      <c r="M25" s="129"/>
      <c r="N25" s="129"/>
    </row>
    <row r="26" spans="1:14" s="2" customFormat="1" ht="39.9" customHeight="1">
      <c r="A26" s="134"/>
      <c r="B26" s="135"/>
      <c r="C26" s="141"/>
      <c r="D26" s="142"/>
      <c r="E26" s="143"/>
      <c r="F26" s="26"/>
      <c r="G26" s="26"/>
      <c r="H26" s="26"/>
      <c r="I26" s="15"/>
      <c r="J26" s="15"/>
      <c r="K26" s="122"/>
      <c r="L26" s="129"/>
      <c r="M26" s="129"/>
      <c r="N26" s="129"/>
    </row>
    <row r="27" spans="1:14" s="2" customFormat="1" ht="39.9" customHeight="1">
      <c r="A27" s="134"/>
      <c r="B27" s="135"/>
      <c r="C27" s="141"/>
      <c r="D27" s="142"/>
      <c r="E27" s="143"/>
      <c r="F27" s="26"/>
      <c r="G27" s="26"/>
      <c r="H27" s="26"/>
      <c r="I27" s="15"/>
      <c r="J27" s="15"/>
      <c r="K27" s="122"/>
      <c r="L27" s="129"/>
      <c r="M27" s="129"/>
      <c r="N27" s="129"/>
    </row>
    <row r="28" spans="1:14" s="2" customFormat="1" ht="39.9" customHeight="1">
      <c r="A28" s="136"/>
      <c r="B28" s="137"/>
      <c r="C28" s="144"/>
      <c r="D28" s="145"/>
      <c r="E28" s="146"/>
      <c r="F28" s="26"/>
      <c r="G28" s="26"/>
      <c r="H28" s="26"/>
      <c r="I28" s="15"/>
      <c r="J28" s="15"/>
      <c r="K28" s="122"/>
      <c r="L28" s="129"/>
      <c r="M28" s="129"/>
      <c r="N28" s="129"/>
    </row>
    <row r="29" spans="1:14" s="2" customFormat="1" ht="30">
      <c r="A29" s="3"/>
      <c r="B29" s="3"/>
      <c r="C29" s="16"/>
      <c r="D29" s="16"/>
      <c r="E29" s="16"/>
      <c r="F29" s="16"/>
      <c r="G29" s="16"/>
      <c r="H29" s="16"/>
      <c r="I29" s="3"/>
      <c r="J29" s="3"/>
      <c r="K29" s="3"/>
      <c r="L29" s="3"/>
      <c r="M29" s="3"/>
      <c r="N29" s="3"/>
    </row>
    <row r="30" spans="1:14" s="2" customFormat="1" ht="30">
      <c r="A30" s="3"/>
      <c r="B30" s="3"/>
      <c r="C30" s="3"/>
      <c r="D30" s="17"/>
      <c r="E30" s="17"/>
      <c r="F30" s="17"/>
      <c r="G30" s="3"/>
      <c r="H30" s="3"/>
      <c r="I30" s="3"/>
      <c r="J30" s="3"/>
      <c r="K30" s="3"/>
      <c r="L30" s="3"/>
      <c r="M30" s="3"/>
      <c r="N30" s="3"/>
    </row>
    <row r="31" spans="1:14" ht="16.5" customHeight="1"/>
    <row r="32" spans="1:14" ht="16.5" customHeight="1"/>
    <row r="33" spans="17:22" ht="16.5" customHeight="1"/>
    <row r="34" spans="17:22" ht="16.5" customHeight="1"/>
    <row r="37" spans="17:22" ht="24.9" customHeight="1"/>
    <row r="38" spans="17:22" ht="24.9" customHeight="1">
      <c r="Q38" s="18"/>
      <c r="R38" s="18"/>
      <c r="S38" s="18"/>
      <c r="T38" s="18"/>
      <c r="U38" s="18"/>
      <c r="V38" s="18"/>
    </row>
    <row r="39" spans="17:22" ht="24.9" customHeight="1">
      <c r="Q39" s="19"/>
    </row>
    <row r="40" spans="17:22" ht="24.9" customHeight="1">
      <c r="Q40" s="19"/>
    </row>
    <row r="41" spans="17:22" ht="24.9" customHeight="1">
      <c r="Q41" s="19"/>
    </row>
    <row r="42" spans="17:22" ht="24.9" customHeight="1">
      <c r="Q42" s="19"/>
    </row>
    <row r="43" spans="17:22" ht="24.9" customHeight="1">
      <c r="Q43" s="19"/>
    </row>
    <row r="44" spans="17:22" ht="24.9" customHeight="1">
      <c r="Q44" s="19"/>
    </row>
    <row r="45" spans="17:22" ht="24.9" customHeight="1">
      <c r="Q45" s="19"/>
    </row>
    <row r="46" spans="17:22" ht="24.9" customHeight="1">
      <c r="Q46" s="19"/>
    </row>
    <row r="47" spans="17:22" ht="30" customHeight="1"/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17.25" customHeight="1"/>
    <row r="55" ht="17.25" customHeight="1"/>
    <row r="56" ht="16.5" customHeight="1"/>
    <row r="57" ht="16.5" customHeight="1"/>
    <row r="58" ht="16.5" customHeight="1"/>
    <row r="59" ht="16.5" customHeight="1"/>
    <row r="60" ht="23.25" customHeight="1"/>
    <row r="61" ht="23.25" customHeight="1"/>
    <row r="62" ht="23.25" customHeight="1"/>
  </sheetData>
  <mergeCells count="26">
    <mergeCell ref="G5:I5"/>
    <mergeCell ref="A11:C11"/>
    <mergeCell ref="I2:K3"/>
    <mergeCell ref="I4:K4"/>
    <mergeCell ref="L2:M3"/>
    <mergeCell ref="B3:H3"/>
    <mergeCell ref="M1:N1"/>
    <mergeCell ref="B2:C2"/>
    <mergeCell ref="E2:H2"/>
    <mergeCell ref="C1:K1"/>
    <mergeCell ref="L4:N4"/>
    <mergeCell ref="N2:N3"/>
    <mergeCell ref="B4:H4"/>
    <mergeCell ref="K24:K28"/>
    <mergeCell ref="L24:N28"/>
    <mergeCell ref="A21:N21"/>
    <mergeCell ref="A22:N22"/>
    <mergeCell ref="A24:B28"/>
    <mergeCell ref="C24:E28"/>
    <mergeCell ref="A23:N23"/>
    <mergeCell ref="L12:M12"/>
    <mergeCell ref="A12:E12"/>
    <mergeCell ref="A13:E19"/>
    <mergeCell ref="F12:K12"/>
    <mergeCell ref="F13:K19"/>
    <mergeCell ref="L16:L19"/>
  </mergeCells>
  <phoneticPr fontId="3" type="noConversion"/>
  <conditionalFormatting sqref="L6">
    <cfRule type="cellIs" dxfId="2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8" fitToHeight="0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5"/>
  <sheetViews>
    <sheetView topLeftCell="D1" workbookViewId="0">
      <selection activeCell="T22" sqref="T22"/>
    </sheetView>
  </sheetViews>
  <sheetFormatPr defaultRowHeight="17.399999999999999"/>
  <cols>
    <col min="1" max="1" width="4.8984375" style="55" bestFit="1" customWidth="1"/>
    <col min="2" max="2" width="10" style="55" bestFit="1" customWidth="1"/>
    <col min="3" max="3" width="11.8984375" style="77" bestFit="1" customWidth="1"/>
    <col min="4" max="4" width="13.8984375" style="77" bestFit="1" customWidth="1"/>
    <col min="5" max="5" width="13.8984375" style="77" customWidth="1"/>
    <col min="6" max="6" width="6.09765625" style="55" customWidth="1"/>
    <col min="7" max="7" width="4.5" style="55" bestFit="1" customWidth="1"/>
    <col min="8" max="8" width="10" style="55" bestFit="1" customWidth="1"/>
    <col min="9" max="9" width="11.8984375" style="77" bestFit="1" customWidth="1"/>
    <col min="10" max="10" width="13.8984375" style="77" bestFit="1" customWidth="1"/>
    <col min="13" max="13" width="9.69921875" bestFit="1" customWidth="1"/>
    <col min="15" max="15" width="4.69921875" bestFit="1" customWidth="1"/>
    <col min="16" max="16" width="10" bestFit="1" customWidth="1"/>
    <col min="17" max="17" width="11.8984375" bestFit="1" customWidth="1"/>
    <col min="18" max="18" width="13.8984375" bestFit="1" customWidth="1"/>
    <col min="19" max="19" width="7.3984375" bestFit="1" customWidth="1"/>
  </cols>
  <sheetData>
    <row r="1" spans="1:21">
      <c r="A1" s="55" t="s">
        <v>247</v>
      </c>
      <c r="C1" s="77">
        <v>34</v>
      </c>
      <c r="E1" s="78">
        <v>1.35</v>
      </c>
      <c r="G1" s="55" t="s">
        <v>248</v>
      </c>
      <c r="I1" s="77">
        <v>32</v>
      </c>
      <c r="K1" s="79">
        <v>1.35</v>
      </c>
      <c r="O1" s="113" t="s">
        <v>326</v>
      </c>
      <c r="Q1" s="77">
        <v>32</v>
      </c>
      <c r="R1" s="77"/>
      <c r="S1" s="79">
        <v>1.35</v>
      </c>
    </row>
    <row r="2" spans="1:21">
      <c r="A2" s="55" t="s">
        <v>249</v>
      </c>
      <c r="B2" s="55" t="s">
        <v>250</v>
      </c>
      <c r="C2" s="77" t="s">
        <v>251</v>
      </c>
      <c r="D2" s="77" t="s">
        <v>252</v>
      </c>
      <c r="G2" s="100" t="s">
        <v>249</v>
      </c>
      <c r="H2" s="100" t="s">
        <v>250</v>
      </c>
      <c r="I2" s="101" t="s">
        <v>251</v>
      </c>
      <c r="J2" s="101" t="s">
        <v>252</v>
      </c>
      <c r="K2" s="103"/>
      <c r="L2" s="103"/>
      <c r="M2" s="103"/>
      <c r="O2" s="100" t="s">
        <v>249</v>
      </c>
      <c r="P2" s="100" t="s">
        <v>250</v>
      </c>
      <c r="Q2" s="101" t="s">
        <v>251</v>
      </c>
      <c r="R2" s="101" t="s">
        <v>252</v>
      </c>
    </row>
    <row r="3" spans="1:21">
      <c r="A3" s="55">
        <v>0.5</v>
      </c>
      <c r="B3" s="55">
        <v>130</v>
      </c>
      <c r="C3" s="77">
        <f>B3/$C$1</f>
        <v>3.8235294117647061</v>
      </c>
      <c r="D3" s="77">
        <f>C3/A3</f>
        <v>7.6470588235294121</v>
      </c>
      <c r="E3" s="77">
        <f>D3*$E$1</f>
        <v>10.323529411764707</v>
      </c>
      <c r="G3" s="55">
        <v>0.5</v>
      </c>
      <c r="H3" s="55">
        <v>230</v>
      </c>
      <c r="I3" s="98">
        <f>H3/$I$1</f>
        <v>7.1875</v>
      </c>
      <c r="J3" s="98">
        <f>I3/G3</f>
        <v>14.375</v>
      </c>
      <c r="K3" s="80">
        <f>J3*$K$1</f>
        <v>19.40625</v>
      </c>
      <c r="L3">
        <f>(K3+K4+K5)/3</f>
        <v>12.375</v>
      </c>
      <c r="M3">
        <f>ROUNDUP(L3,1)</f>
        <v>12.4</v>
      </c>
      <c r="O3" s="103">
        <v>1</v>
      </c>
      <c r="P3" s="103">
        <v>355</v>
      </c>
      <c r="Q3" s="102">
        <f>P3/$Q$1</f>
        <v>11.09375</v>
      </c>
      <c r="R3" s="102">
        <f>Q3/O3</f>
        <v>11.09375</v>
      </c>
      <c r="S3" s="102">
        <f>R3*$S$1</f>
        <v>14.976562500000002</v>
      </c>
      <c r="T3" s="114">
        <f>S3</f>
        <v>14.976562500000002</v>
      </c>
      <c r="U3" s="115">
        <f>ROUNDUP(T3,1)</f>
        <v>15</v>
      </c>
    </row>
    <row r="4" spans="1:21">
      <c r="A4" s="55">
        <v>1</v>
      </c>
      <c r="B4" s="55">
        <v>150</v>
      </c>
      <c r="C4" s="77">
        <f t="shared" ref="C4:C55" si="0">B4/$C$1</f>
        <v>4.4117647058823533</v>
      </c>
      <c r="D4" s="77">
        <f t="shared" ref="D4:D55" si="1">C4/A4</f>
        <v>4.4117647058823533</v>
      </c>
      <c r="E4" s="77">
        <f t="shared" ref="E4:E55" si="2">D4*$E$1</f>
        <v>5.9558823529411775</v>
      </c>
      <c r="G4" s="55">
        <v>1</v>
      </c>
      <c r="H4" s="55">
        <v>240</v>
      </c>
      <c r="I4" s="98">
        <f t="shared" ref="I4:I55" si="3">H4/$I$1</f>
        <v>7.5</v>
      </c>
      <c r="J4" s="98">
        <f t="shared" ref="J4:J55" si="4">I4/G4</f>
        <v>7.5</v>
      </c>
      <c r="K4" s="99">
        <f t="shared" ref="K4:K55" si="5">J4*$K$1</f>
        <v>10.125</v>
      </c>
      <c r="O4" s="117">
        <v>2</v>
      </c>
      <c r="P4" s="117">
        <v>420</v>
      </c>
      <c r="Q4" s="118">
        <f t="shared" ref="Q4:Q24" si="6">P4/$Q$1</f>
        <v>13.125</v>
      </c>
      <c r="R4" s="118">
        <f t="shared" ref="R4:R21" si="7">Q4/O4</f>
        <v>6.5625</v>
      </c>
      <c r="S4" s="118">
        <f t="shared" ref="S4:S21" si="8">R4*$S$1</f>
        <v>8.859375</v>
      </c>
      <c r="T4" s="118">
        <f>S4</f>
        <v>8.859375</v>
      </c>
      <c r="U4" s="119">
        <f>ROUNDUP(T4,1)</f>
        <v>8.9</v>
      </c>
    </row>
    <row r="5" spans="1:21">
      <c r="A5" s="55">
        <v>1.5</v>
      </c>
      <c r="B5" s="55">
        <v>180</v>
      </c>
      <c r="C5" s="77">
        <f t="shared" si="0"/>
        <v>5.2941176470588234</v>
      </c>
      <c r="D5" s="77">
        <f t="shared" si="1"/>
        <v>3.5294117647058822</v>
      </c>
      <c r="E5" s="77">
        <f t="shared" si="2"/>
        <v>4.7647058823529411</v>
      </c>
      <c r="G5" s="100">
        <v>1.5</v>
      </c>
      <c r="H5" s="100">
        <v>270</v>
      </c>
      <c r="I5" s="101">
        <f t="shared" si="3"/>
        <v>8.4375</v>
      </c>
      <c r="J5" s="101">
        <f t="shared" si="4"/>
        <v>5.625</v>
      </c>
      <c r="K5" s="102">
        <f t="shared" si="5"/>
        <v>7.5937500000000009</v>
      </c>
      <c r="L5" s="103"/>
      <c r="M5" s="103"/>
      <c r="O5" s="103">
        <v>3</v>
      </c>
      <c r="P5" s="103">
        <v>485</v>
      </c>
      <c r="Q5" s="102">
        <f t="shared" si="6"/>
        <v>15.15625</v>
      </c>
      <c r="R5" s="102">
        <f t="shared" si="7"/>
        <v>5.052083333333333</v>
      </c>
      <c r="S5" s="102">
        <f t="shared" si="8"/>
        <v>6.8203125</v>
      </c>
      <c r="T5" s="102">
        <f>S5</f>
        <v>6.8203125</v>
      </c>
      <c r="U5" s="115">
        <f>ROUNDUP(T5,1)</f>
        <v>6.8999999999999995</v>
      </c>
    </row>
    <row r="6" spans="1:21">
      <c r="A6" s="55">
        <v>2</v>
      </c>
      <c r="B6" s="55">
        <v>210</v>
      </c>
      <c r="C6" s="77">
        <f t="shared" si="0"/>
        <v>6.1764705882352944</v>
      </c>
      <c r="D6" s="77">
        <f t="shared" si="1"/>
        <v>3.0882352941176472</v>
      </c>
      <c r="E6" s="77">
        <f t="shared" si="2"/>
        <v>4.1691176470588243</v>
      </c>
      <c r="G6" s="104">
        <v>2</v>
      </c>
      <c r="H6" s="104">
        <v>330</v>
      </c>
      <c r="I6" s="105">
        <f t="shared" si="3"/>
        <v>10.3125</v>
      </c>
      <c r="J6" s="105">
        <f t="shared" si="4"/>
        <v>5.15625</v>
      </c>
      <c r="K6" s="106">
        <f t="shared" si="5"/>
        <v>6.9609375000000009</v>
      </c>
      <c r="L6" s="107">
        <f>(K6+K7+K8+K9+K10)/5</f>
        <v>5.2832812499999999</v>
      </c>
      <c r="M6" s="107">
        <f>ROUNDUP(L6,1)</f>
        <v>5.3</v>
      </c>
      <c r="O6">
        <v>4</v>
      </c>
      <c r="P6">
        <v>550</v>
      </c>
      <c r="Q6" s="80">
        <f t="shared" si="6"/>
        <v>17.1875</v>
      </c>
      <c r="R6" s="80">
        <f t="shared" si="7"/>
        <v>4.296875</v>
      </c>
      <c r="S6" s="80">
        <f t="shared" si="8"/>
        <v>5.80078125</v>
      </c>
      <c r="T6" s="80">
        <f>(S6+S7)/2</f>
        <v>5.4949218750000002</v>
      </c>
      <c r="U6" s="116">
        <f>ROUNDUP(T6,1)</f>
        <v>5.5</v>
      </c>
    </row>
    <row r="7" spans="1:21">
      <c r="A7" s="55">
        <v>2.5</v>
      </c>
      <c r="B7" s="55">
        <v>240</v>
      </c>
      <c r="C7" s="77">
        <f t="shared" si="0"/>
        <v>7.0588235294117645</v>
      </c>
      <c r="D7" s="77">
        <f t="shared" si="1"/>
        <v>2.8235294117647056</v>
      </c>
      <c r="E7" s="77">
        <f t="shared" si="2"/>
        <v>3.8117647058823527</v>
      </c>
      <c r="G7" s="55">
        <v>2.5</v>
      </c>
      <c r="H7" s="55">
        <v>350</v>
      </c>
      <c r="I7" s="98">
        <f t="shared" si="3"/>
        <v>10.9375</v>
      </c>
      <c r="J7" s="98">
        <f t="shared" si="4"/>
        <v>4.375</v>
      </c>
      <c r="K7" s="80">
        <f t="shared" si="5"/>
        <v>5.90625</v>
      </c>
      <c r="O7" s="103">
        <v>5</v>
      </c>
      <c r="P7" s="103">
        <v>615</v>
      </c>
      <c r="Q7" s="102">
        <f t="shared" si="6"/>
        <v>19.21875</v>
      </c>
      <c r="R7" s="102">
        <f t="shared" si="7"/>
        <v>3.84375</v>
      </c>
      <c r="S7" s="102">
        <f t="shared" si="8"/>
        <v>5.1890625000000004</v>
      </c>
      <c r="T7" s="103"/>
      <c r="U7" s="115">
        <f t="shared" ref="U7:U22" si="9">ROUNDUP(T7,1)</f>
        <v>0</v>
      </c>
    </row>
    <row r="8" spans="1:21">
      <c r="A8" s="55">
        <v>3</v>
      </c>
      <c r="B8" s="55">
        <v>260</v>
      </c>
      <c r="C8" s="77">
        <f t="shared" si="0"/>
        <v>7.6470588235294121</v>
      </c>
      <c r="D8" s="77">
        <f t="shared" si="1"/>
        <v>2.5490196078431375</v>
      </c>
      <c r="E8" s="77">
        <f t="shared" si="2"/>
        <v>3.4411764705882359</v>
      </c>
      <c r="G8" s="55">
        <v>3</v>
      </c>
      <c r="H8" s="55">
        <v>380</v>
      </c>
      <c r="I8" s="98">
        <f t="shared" si="3"/>
        <v>11.875</v>
      </c>
      <c r="J8" s="98">
        <f t="shared" si="4"/>
        <v>3.9583333333333335</v>
      </c>
      <c r="K8" s="80">
        <f t="shared" si="5"/>
        <v>5.3437500000000009</v>
      </c>
      <c r="O8">
        <v>6</v>
      </c>
      <c r="P8">
        <v>680</v>
      </c>
      <c r="Q8" s="80">
        <f t="shared" si="6"/>
        <v>21.25</v>
      </c>
      <c r="R8" s="80">
        <f t="shared" si="7"/>
        <v>3.5416666666666665</v>
      </c>
      <c r="S8" s="80">
        <f t="shared" si="8"/>
        <v>4.78125</v>
      </c>
      <c r="T8" s="80">
        <f>(S8+S9+S10+S11)/4</f>
        <v>4.4110630580357144</v>
      </c>
      <c r="U8" s="116">
        <f t="shared" si="9"/>
        <v>4.5</v>
      </c>
    </row>
    <row r="9" spans="1:21">
      <c r="A9" s="55">
        <v>4</v>
      </c>
      <c r="B9" s="55">
        <v>290</v>
      </c>
      <c r="C9" s="77">
        <f t="shared" si="0"/>
        <v>8.5294117647058822</v>
      </c>
      <c r="D9" s="77">
        <f t="shared" si="1"/>
        <v>2.1323529411764706</v>
      </c>
      <c r="E9" s="77">
        <f t="shared" si="2"/>
        <v>2.8786764705882355</v>
      </c>
      <c r="G9" s="55">
        <v>4</v>
      </c>
      <c r="H9" s="55">
        <v>410</v>
      </c>
      <c r="I9" s="98">
        <f t="shared" si="3"/>
        <v>12.8125</v>
      </c>
      <c r="J9" s="98">
        <f t="shared" si="4"/>
        <v>3.203125</v>
      </c>
      <c r="K9" s="80">
        <f t="shared" si="5"/>
        <v>4.32421875</v>
      </c>
      <c r="O9">
        <v>7</v>
      </c>
      <c r="P9">
        <v>745</v>
      </c>
      <c r="Q9" s="80">
        <f t="shared" si="6"/>
        <v>23.28125</v>
      </c>
      <c r="R9" s="80">
        <f t="shared" si="7"/>
        <v>3.3258928571428572</v>
      </c>
      <c r="S9" s="80">
        <f t="shared" si="8"/>
        <v>4.4899553571428577</v>
      </c>
      <c r="U9" s="116">
        <f t="shared" si="9"/>
        <v>0</v>
      </c>
    </row>
    <row r="10" spans="1:21">
      <c r="A10" s="55">
        <v>5</v>
      </c>
      <c r="B10" s="55">
        <v>330</v>
      </c>
      <c r="C10" s="77">
        <f t="shared" si="0"/>
        <v>9.7058823529411757</v>
      </c>
      <c r="D10" s="77">
        <f t="shared" si="1"/>
        <v>1.9411764705882351</v>
      </c>
      <c r="E10" s="77">
        <f t="shared" si="2"/>
        <v>2.6205882352941177</v>
      </c>
      <c r="G10" s="100">
        <v>5</v>
      </c>
      <c r="H10" s="100">
        <v>460</v>
      </c>
      <c r="I10" s="101">
        <f t="shared" si="3"/>
        <v>14.375</v>
      </c>
      <c r="J10" s="101">
        <f t="shared" si="4"/>
        <v>2.875</v>
      </c>
      <c r="K10" s="102">
        <f t="shared" si="5"/>
        <v>3.8812500000000001</v>
      </c>
      <c r="L10" s="103"/>
      <c r="M10" s="103"/>
      <c r="O10">
        <v>8</v>
      </c>
      <c r="P10">
        <v>810</v>
      </c>
      <c r="Q10" s="80">
        <f t="shared" si="6"/>
        <v>25.3125</v>
      </c>
      <c r="R10" s="80">
        <f t="shared" si="7"/>
        <v>3.1640625</v>
      </c>
      <c r="S10" s="80">
        <f t="shared" si="8"/>
        <v>4.271484375</v>
      </c>
      <c r="U10" s="116">
        <f t="shared" si="9"/>
        <v>0</v>
      </c>
    </row>
    <row r="11" spans="1:21">
      <c r="A11" s="55">
        <v>6</v>
      </c>
      <c r="B11" s="55">
        <v>390</v>
      </c>
      <c r="C11" s="77">
        <f t="shared" si="0"/>
        <v>11.470588235294118</v>
      </c>
      <c r="D11" s="77">
        <f t="shared" si="1"/>
        <v>1.911764705882353</v>
      </c>
      <c r="E11" s="77">
        <f t="shared" si="2"/>
        <v>2.5808823529411766</v>
      </c>
      <c r="G11" s="104">
        <v>6</v>
      </c>
      <c r="H11" s="104">
        <v>510</v>
      </c>
      <c r="I11" s="105">
        <f t="shared" si="3"/>
        <v>15.9375</v>
      </c>
      <c r="J11" s="105">
        <f t="shared" si="4"/>
        <v>2.65625</v>
      </c>
      <c r="K11" s="106">
        <f t="shared" si="5"/>
        <v>3.5859375000000004</v>
      </c>
      <c r="L11" s="107">
        <f>(K11+K12+K13+K14)/4</f>
        <v>3.5807059151785716</v>
      </c>
      <c r="M11" s="107">
        <f>ROUNDUP(L11,1)</f>
        <v>3.6</v>
      </c>
      <c r="O11" s="103">
        <v>9</v>
      </c>
      <c r="P11" s="103">
        <v>875</v>
      </c>
      <c r="Q11" s="102">
        <f t="shared" si="6"/>
        <v>27.34375</v>
      </c>
      <c r="R11" s="102">
        <f t="shared" si="7"/>
        <v>3.0381944444444446</v>
      </c>
      <c r="S11" s="102">
        <f t="shared" si="8"/>
        <v>4.1015625000000009</v>
      </c>
      <c r="T11" s="103"/>
      <c r="U11" s="115">
        <f t="shared" si="9"/>
        <v>0</v>
      </c>
    </row>
    <row r="12" spans="1:21">
      <c r="A12" s="55">
        <v>7</v>
      </c>
      <c r="B12" s="55">
        <v>450</v>
      </c>
      <c r="C12" s="77">
        <f t="shared" si="0"/>
        <v>13.235294117647058</v>
      </c>
      <c r="D12" s="77">
        <f t="shared" si="1"/>
        <v>1.8907563025210083</v>
      </c>
      <c r="E12" s="77">
        <f t="shared" si="2"/>
        <v>2.5525210084033616</v>
      </c>
      <c r="G12" s="55">
        <v>7</v>
      </c>
      <c r="H12" s="55">
        <v>610</v>
      </c>
      <c r="I12" s="98">
        <f t="shared" si="3"/>
        <v>19.0625</v>
      </c>
      <c r="J12" s="98">
        <f t="shared" si="4"/>
        <v>2.7232142857142856</v>
      </c>
      <c r="K12" s="80">
        <f t="shared" si="5"/>
        <v>3.6763392857142856</v>
      </c>
      <c r="O12">
        <v>10</v>
      </c>
      <c r="P12">
        <v>940</v>
      </c>
      <c r="Q12" s="80">
        <f t="shared" si="6"/>
        <v>29.375</v>
      </c>
      <c r="R12" s="80">
        <f t="shared" si="7"/>
        <v>2.9375</v>
      </c>
      <c r="S12" s="80">
        <f t="shared" si="8"/>
        <v>3.9656250000000002</v>
      </c>
      <c r="T12" s="80">
        <f>(S12+S13+S14+S15+S16)/5</f>
        <v>3.7762223713786214</v>
      </c>
      <c r="U12" s="116">
        <f t="shared" si="9"/>
        <v>3.8000000000000003</v>
      </c>
    </row>
    <row r="13" spans="1:21">
      <c r="A13" s="55">
        <v>8</v>
      </c>
      <c r="B13" s="55">
        <v>500</v>
      </c>
      <c r="C13" s="77">
        <f t="shared" si="0"/>
        <v>14.705882352941176</v>
      </c>
      <c r="D13" s="77">
        <f t="shared" si="1"/>
        <v>1.838235294117647</v>
      </c>
      <c r="E13" s="77">
        <f t="shared" si="2"/>
        <v>2.4816176470588234</v>
      </c>
      <c r="G13" s="55">
        <v>8</v>
      </c>
      <c r="H13" s="55">
        <v>690</v>
      </c>
      <c r="I13" s="98">
        <f t="shared" si="3"/>
        <v>21.5625</v>
      </c>
      <c r="J13" s="98">
        <f t="shared" si="4"/>
        <v>2.6953125</v>
      </c>
      <c r="K13" s="80">
        <f t="shared" si="5"/>
        <v>3.6386718750000004</v>
      </c>
      <c r="O13">
        <v>11</v>
      </c>
      <c r="P13">
        <v>1005</v>
      </c>
      <c r="Q13" s="80">
        <f t="shared" si="6"/>
        <v>31.40625</v>
      </c>
      <c r="R13" s="80">
        <f t="shared" si="7"/>
        <v>2.8551136363636362</v>
      </c>
      <c r="S13" s="80">
        <f t="shared" si="8"/>
        <v>3.8544034090909092</v>
      </c>
      <c r="U13" s="116">
        <f t="shared" si="9"/>
        <v>0</v>
      </c>
    </row>
    <row r="14" spans="1:21">
      <c r="A14" s="55">
        <v>9</v>
      </c>
      <c r="B14" s="55">
        <v>550</v>
      </c>
      <c r="C14" s="77">
        <f t="shared" si="0"/>
        <v>16.176470588235293</v>
      </c>
      <c r="D14" s="77">
        <f t="shared" si="1"/>
        <v>1.7973856209150325</v>
      </c>
      <c r="E14" s="77">
        <f t="shared" si="2"/>
        <v>2.4264705882352939</v>
      </c>
      <c r="G14" s="100">
        <v>9</v>
      </c>
      <c r="H14" s="100">
        <v>730</v>
      </c>
      <c r="I14" s="101">
        <f t="shared" si="3"/>
        <v>22.8125</v>
      </c>
      <c r="J14" s="101">
        <f t="shared" si="4"/>
        <v>2.5347222222222223</v>
      </c>
      <c r="K14" s="102">
        <f t="shared" si="5"/>
        <v>3.4218750000000004</v>
      </c>
      <c r="L14" s="103"/>
      <c r="M14" s="103"/>
      <c r="O14">
        <v>12</v>
      </c>
      <c r="P14">
        <v>1070</v>
      </c>
      <c r="Q14" s="80">
        <f t="shared" si="6"/>
        <v>33.4375</v>
      </c>
      <c r="R14" s="80">
        <f t="shared" si="7"/>
        <v>2.7864583333333335</v>
      </c>
      <c r="S14" s="80">
        <f t="shared" si="8"/>
        <v>3.7617187500000004</v>
      </c>
      <c r="U14" s="116">
        <f t="shared" si="9"/>
        <v>0</v>
      </c>
    </row>
    <row r="15" spans="1:21">
      <c r="A15" s="55">
        <v>10</v>
      </c>
      <c r="B15" s="55">
        <v>600</v>
      </c>
      <c r="C15" s="77">
        <f t="shared" si="0"/>
        <v>17.647058823529413</v>
      </c>
      <c r="D15" s="77">
        <f t="shared" si="1"/>
        <v>1.7647058823529413</v>
      </c>
      <c r="E15" s="77">
        <f t="shared" si="2"/>
        <v>2.382352941176471</v>
      </c>
      <c r="G15" s="55">
        <v>10</v>
      </c>
      <c r="H15" s="55">
        <v>840</v>
      </c>
      <c r="I15" s="77">
        <f t="shared" si="3"/>
        <v>26.25</v>
      </c>
      <c r="J15" s="77">
        <f t="shared" si="4"/>
        <v>2.625</v>
      </c>
      <c r="K15" s="80">
        <f t="shared" si="5"/>
        <v>3.5437500000000002</v>
      </c>
      <c r="L15">
        <f>(K15+K16+K17+K18+K19)/5</f>
        <v>3.504932723526474</v>
      </c>
      <c r="M15">
        <f>ROUNDUP(L15,1)</f>
        <v>3.6</v>
      </c>
      <c r="O15">
        <v>13</v>
      </c>
      <c r="P15">
        <v>1135</v>
      </c>
      <c r="Q15" s="80">
        <f t="shared" si="6"/>
        <v>35.46875</v>
      </c>
      <c r="R15" s="80">
        <f t="shared" si="7"/>
        <v>2.7283653846153846</v>
      </c>
      <c r="S15" s="80">
        <f t="shared" si="8"/>
        <v>3.6832932692307696</v>
      </c>
      <c r="U15" s="116">
        <f t="shared" si="9"/>
        <v>0</v>
      </c>
    </row>
    <row r="16" spans="1:21">
      <c r="A16" s="55">
        <v>11</v>
      </c>
      <c r="B16" s="55">
        <v>660</v>
      </c>
      <c r="C16" s="77">
        <f t="shared" si="0"/>
        <v>19.411764705882351</v>
      </c>
      <c r="D16" s="77">
        <f t="shared" si="1"/>
        <v>1.7647058823529411</v>
      </c>
      <c r="E16" s="77">
        <f t="shared" si="2"/>
        <v>2.3823529411764706</v>
      </c>
      <c r="G16" s="55">
        <v>11</v>
      </c>
      <c r="H16" s="55">
        <v>910</v>
      </c>
      <c r="I16" s="77">
        <f t="shared" si="3"/>
        <v>28.4375</v>
      </c>
      <c r="J16" s="77">
        <f t="shared" si="4"/>
        <v>2.5852272727272729</v>
      </c>
      <c r="K16" s="80">
        <f t="shared" si="5"/>
        <v>3.4900568181818188</v>
      </c>
      <c r="O16" s="103">
        <v>14</v>
      </c>
      <c r="P16" s="103">
        <v>1200</v>
      </c>
      <c r="Q16" s="102">
        <f t="shared" si="6"/>
        <v>37.5</v>
      </c>
      <c r="R16" s="102">
        <f t="shared" si="7"/>
        <v>2.6785714285714284</v>
      </c>
      <c r="S16" s="102">
        <f t="shared" si="8"/>
        <v>3.6160714285714284</v>
      </c>
      <c r="T16" s="103"/>
      <c r="U16" s="115">
        <f t="shared" si="9"/>
        <v>0</v>
      </c>
    </row>
    <row r="17" spans="1:21">
      <c r="A17" s="55">
        <v>12</v>
      </c>
      <c r="B17" s="55">
        <v>710</v>
      </c>
      <c r="C17" s="77">
        <f t="shared" si="0"/>
        <v>20.882352941176471</v>
      </c>
      <c r="D17" s="77">
        <f t="shared" si="1"/>
        <v>1.7401960784313726</v>
      </c>
      <c r="E17" s="77">
        <f t="shared" si="2"/>
        <v>2.3492647058823533</v>
      </c>
      <c r="G17" s="55">
        <v>12</v>
      </c>
      <c r="H17" s="55">
        <v>1010</v>
      </c>
      <c r="I17" s="77">
        <f t="shared" si="3"/>
        <v>31.5625</v>
      </c>
      <c r="J17" s="77">
        <f t="shared" si="4"/>
        <v>2.6302083333333335</v>
      </c>
      <c r="K17" s="80">
        <f t="shared" si="5"/>
        <v>3.5507812500000004</v>
      </c>
      <c r="O17">
        <v>15</v>
      </c>
      <c r="P17">
        <v>1265</v>
      </c>
      <c r="Q17" s="80">
        <f t="shared" si="6"/>
        <v>39.53125</v>
      </c>
      <c r="R17" s="80">
        <f t="shared" si="7"/>
        <v>2.6354166666666665</v>
      </c>
      <c r="S17" s="80">
        <f t="shared" si="8"/>
        <v>3.5578124999999998</v>
      </c>
      <c r="T17" s="80">
        <f>(S17+S18+S19+S20+S21)/5</f>
        <v>3.4668964057662541</v>
      </c>
      <c r="U17" s="116">
        <f t="shared" si="9"/>
        <v>3.5</v>
      </c>
    </row>
    <row r="18" spans="1:21">
      <c r="A18" s="55">
        <v>13</v>
      </c>
      <c r="B18" s="55">
        <v>780</v>
      </c>
      <c r="C18" s="77">
        <f t="shared" si="0"/>
        <v>22.941176470588236</v>
      </c>
      <c r="D18" s="77">
        <f t="shared" si="1"/>
        <v>1.7647058823529411</v>
      </c>
      <c r="E18" s="77">
        <f t="shared" si="2"/>
        <v>2.3823529411764706</v>
      </c>
      <c r="G18" s="55">
        <v>13</v>
      </c>
      <c r="H18" s="55">
        <v>1080</v>
      </c>
      <c r="I18" s="77">
        <f t="shared" si="3"/>
        <v>33.75</v>
      </c>
      <c r="J18" s="77">
        <f t="shared" si="4"/>
        <v>2.5961538461538463</v>
      </c>
      <c r="K18" s="80">
        <f t="shared" si="5"/>
        <v>3.5048076923076925</v>
      </c>
      <c r="O18">
        <v>16</v>
      </c>
      <c r="P18">
        <v>1330</v>
      </c>
      <c r="Q18" s="80">
        <f t="shared" si="6"/>
        <v>41.5625</v>
      </c>
      <c r="R18" s="80">
        <f t="shared" si="7"/>
        <v>2.59765625</v>
      </c>
      <c r="S18" s="80">
        <f t="shared" si="8"/>
        <v>3.5068359375000004</v>
      </c>
      <c r="U18" s="116">
        <f t="shared" si="9"/>
        <v>0</v>
      </c>
    </row>
    <row r="19" spans="1:21">
      <c r="A19" s="55">
        <v>14</v>
      </c>
      <c r="B19" s="55">
        <v>830</v>
      </c>
      <c r="C19" s="77">
        <f t="shared" si="0"/>
        <v>24.411764705882351</v>
      </c>
      <c r="D19" s="77">
        <f t="shared" si="1"/>
        <v>1.7436974789915964</v>
      </c>
      <c r="E19" s="77">
        <f t="shared" si="2"/>
        <v>2.3539915966386555</v>
      </c>
      <c r="G19" s="100">
        <v>14</v>
      </c>
      <c r="H19" s="100">
        <v>1140</v>
      </c>
      <c r="I19" s="101">
        <f t="shared" si="3"/>
        <v>35.625</v>
      </c>
      <c r="J19" s="101">
        <f t="shared" si="4"/>
        <v>2.5446428571428572</v>
      </c>
      <c r="K19" s="102">
        <f t="shared" si="5"/>
        <v>3.4352678571428577</v>
      </c>
      <c r="L19" s="103"/>
      <c r="M19" s="103"/>
      <c r="O19">
        <v>17</v>
      </c>
      <c r="P19">
        <v>1395</v>
      </c>
      <c r="Q19" s="80">
        <f t="shared" si="6"/>
        <v>43.59375</v>
      </c>
      <c r="R19" s="80">
        <f t="shared" si="7"/>
        <v>2.5643382352941178</v>
      </c>
      <c r="S19" s="80">
        <f t="shared" si="8"/>
        <v>3.4618566176470593</v>
      </c>
      <c r="U19" s="116">
        <f t="shared" si="9"/>
        <v>0</v>
      </c>
    </row>
    <row r="20" spans="1:21">
      <c r="A20" s="55">
        <v>15</v>
      </c>
      <c r="B20" s="55">
        <v>890</v>
      </c>
      <c r="C20" s="77">
        <f t="shared" si="0"/>
        <v>26.176470588235293</v>
      </c>
      <c r="D20" s="77">
        <f t="shared" si="1"/>
        <v>1.7450980392156863</v>
      </c>
      <c r="E20" s="77">
        <f t="shared" si="2"/>
        <v>2.3558823529411765</v>
      </c>
      <c r="G20" s="55">
        <v>15</v>
      </c>
      <c r="H20" s="55">
        <v>1190</v>
      </c>
      <c r="I20" s="77">
        <f t="shared" si="3"/>
        <v>37.1875</v>
      </c>
      <c r="J20" s="77">
        <f t="shared" si="4"/>
        <v>2.4791666666666665</v>
      </c>
      <c r="K20" s="80">
        <f t="shared" si="5"/>
        <v>3.3468749999999998</v>
      </c>
      <c r="L20">
        <f>(K20+K21+K22)/3</f>
        <v>3.2627412683823529</v>
      </c>
      <c r="M20">
        <f>ROUNDUP(L20,1)</f>
        <v>3.3000000000000003</v>
      </c>
      <c r="O20">
        <v>18</v>
      </c>
      <c r="P20">
        <v>1460</v>
      </c>
      <c r="Q20" s="80">
        <f t="shared" si="6"/>
        <v>45.625</v>
      </c>
      <c r="R20" s="80">
        <f t="shared" si="7"/>
        <v>2.5347222222222223</v>
      </c>
      <c r="S20" s="80">
        <f t="shared" si="8"/>
        <v>3.4218750000000004</v>
      </c>
      <c r="U20" s="116">
        <f t="shared" si="9"/>
        <v>0</v>
      </c>
    </row>
    <row r="21" spans="1:21">
      <c r="A21" s="55">
        <v>16</v>
      </c>
      <c r="B21" s="55">
        <v>940</v>
      </c>
      <c r="C21" s="77">
        <f t="shared" si="0"/>
        <v>27.647058823529413</v>
      </c>
      <c r="D21" s="77">
        <f t="shared" si="1"/>
        <v>1.7279411764705883</v>
      </c>
      <c r="E21" s="77">
        <f t="shared" si="2"/>
        <v>2.3327205882352944</v>
      </c>
      <c r="G21" s="55">
        <v>16</v>
      </c>
      <c r="H21" s="55">
        <v>1210</v>
      </c>
      <c r="I21" s="77">
        <f t="shared" si="3"/>
        <v>37.8125</v>
      </c>
      <c r="J21" s="77">
        <f t="shared" si="4"/>
        <v>2.36328125</v>
      </c>
      <c r="K21" s="80">
        <f t="shared" si="5"/>
        <v>3.1904296875</v>
      </c>
      <c r="O21" s="103">
        <v>19</v>
      </c>
      <c r="P21" s="103">
        <v>1525</v>
      </c>
      <c r="Q21" s="102">
        <f t="shared" si="6"/>
        <v>47.65625</v>
      </c>
      <c r="R21" s="102">
        <f t="shared" si="7"/>
        <v>2.5082236842105261</v>
      </c>
      <c r="S21" s="102">
        <f t="shared" si="8"/>
        <v>3.3861019736842106</v>
      </c>
      <c r="T21" s="103"/>
      <c r="U21" s="115">
        <f t="shared" si="9"/>
        <v>0</v>
      </c>
    </row>
    <row r="22" spans="1:21">
      <c r="A22" s="55">
        <v>17</v>
      </c>
      <c r="B22" s="55">
        <v>1000</v>
      </c>
      <c r="C22" s="77">
        <f t="shared" si="0"/>
        <v>29.411764705882351</v>
      </c>
      <c r="D22" s="77">
        <f t="shared" si="1"/>
        <v>1.7301038062283736</v>
      </c>
      <c r="E22" s="77">
        <f t="shared" si="2"/>
        <v>2.3356401384083045</v>
      </c>
      <c r="G22" s="100">
        <v>17</v>
      </c>
      <c r="H22" s="100">
        <v>1310</v>
      </c>
      <c r="I22" s="101">
        <f t="shared" si="3"/>
        <v>40.9375</v>
      </c>
      <c r="J22" s="101">
        <f t="shared" si="4"/>
        <v>2.4080882352941178</v>
      </c>
      <c r="K22" s="102">
        <f t="shared" si="5"/>
        <v>3.2509191176470593</v>
      </c>
      <c r="L22" s="103"/>
      <c r="M22" s="103"/>
      <c r="O22">
        <v>20</v>
      </c>
      <c r="P22">
        <v>1590</v>
      </c>
      <c r="Q22" s="80">
        <f t="shared" si="6"/>
        <v>49.6875</v>
      </c>
      <c r="R22" s="110">
        <f>Q22/O22</f>
        <v>2.484375</v>
      </c>
      <c r="S22" s="110">
        <f>R22*$S$1</f>
        <v>3.3539062500000001</v>
      </c>
      <c r="T22" s="80">
        <f>S22</f>
        <v>3.3539062500000001</v>
      </c>
      <c r="U22" s="116">
        <f t="shared" si="9"/>
        <v>3.4</v>
      </c>
    </row>
    <row r="23" spans="1:21">
      <c r="A23" s="55">
        <v>18</v>
      </c>
      <c r="B23" s="55">
        <v>1050</v>
      </c>
      <c r="C23" s="77">
        <f t="shared" si="0"/>
        <v>30.882352941176471</v>
      </c>
      <c r="D23" s="77">
        <f t="shared" si="1"/>
        <v>1.715686274509804</v>
      </c>
      <c r="E23" s="77">
        <f t="shared" si="2"/>
        <v>2.3161764705882355</v>
      </c>
      <c r="G23" s="55">
        <v>18</v>
      </c>
      <c r="H23" s="55">
        <v>1410</v>
      </c>
      <c r="I23" s="77">
        <f t="shared" si="3"/>
        <v>44.0625</v>
      </c>
      <c r="J23" s="77">
        <f t="shared" si="4"/>
        <v>2.4479166666666665</v>
      </c>
      <c r="K23" s="80">
        <f t="shared" si="5"/>
        <v>3.3046875</v>
      </c>
      <c r="L23">
        <f>(K23+K24+K25)/3</f>
        <v>3.3511924342105264</v>
      </c>
      <c r="M23">
        <f>ROUNDUP(L23,1)</f>
        <v>3.4</v>
      </c>
    </row>
    <row r="24" spans="1:21">
      <c r="A24" s="55">
        <v>19</v>
      </c>
      <c r="B24" s="55">
        <v>1110</v>
      </c>
      <c r="C24" s="77">
        <f t="shared" si="0"/>
        <v>32.647058823529413</v>
      </c>
      <c r="D24" s="77">
        <f t="shared" si="1"/>
        <v>1.7182662538699691</v>
      </c>
      <c r="E24" s="77">
        <f t="shared" si="2"/>
        <v>2.3196594427244586</v>
      </c>
      <c r="G24" s="55">
        <v>19</v>
      </c>
      <c r="H24" s="55">
        <v>1510</v>
      </c>
      <c r="I24" s="77">
        <f t="shared" si="3"/>
        <v>47.1875</v>
      </c>
      <c r="J24" s="112">
        <f t="shared" si="4"/>
        <v>2.4835526315789473</v>
      </c>
      <c r="K24" s="110">
        <f t="shared" si="5"/>
        <v>3.3527960526315792</v>
      </c>
      <c r="O24">
        <v>50</v>
      </c>
      <c r="P24">
        <v>70</v>
      </c>
      <c r="Q24" s="80">
        <f t="shared" si="6"/>
        <v>2.1875</v>
      </c>
      <c r="R24" s="80"/>
      <c r="S24" s="110">
        <f>Q24*$S$1</f>
        <v>2.953125</v>
      </c>
    </row>
    <row r="25" spans="1:21">
      <c r="A25" s="55">
        <v>20</v>
      </c>
      <c r="B25" s="55">
        <v>1160</v>
      </c>
      <c r="C25" s="77">
        <f t="shared" si="0"/>
        <v>34.117647058823529</v>
      </c>
      <c r="D25" s="77">
        <f t="shared" si="1"/>
        <v>1.7058823529411764</v>
      </c>
      <c r="E25" s="77">
        <f t="shared" si="2"/>
        <v>2.3029411764705885</v>
      </c>
      <c r="G25" s="100">
        <v>20</v>
      </c>
      <c r="H25" s="100">
        <v>1610</v>
      </c>
      <c r="I25" s="101">
        <f t="shared" si="3"/>
        <v>50.3125</v>
      </c>
      <c r="J25" s="111">
        <f t="shared" si="4"/>
        <v>2.515625</v>
      </c>
      <c r="K25" s="102">
        <f t="shared" si="5"/>
        <v>3.3960937500000004</v>
      </c>
      <c r="L25" s="103"/>
      <c r="M25" s="103"/>
    </row>
    <row r="26" spans="1:21">
      <c r="A26" s="55">
        <v>21</v>
      </c>
      <c r="B26" s="55">
        <v>1220</v>
      </c>
      <c r="C26" s="77">
        <f t="shared" si="0"/>
        <v>35.882352941176471</v>
      </c>
      <c r="D26" s="77">
        <f t="shared" si="1"/>
        <v>1.7086834733893557</v>
      </c>
      <c r="E26" s="77">
        <f t="shared" si="2"/>
        <v>2.3067226890756305</v>
      </c>
      <c r="G26" s="55">
        <v>21</v>
      </c>
      <c r="H26" s="55">
        <v>1710</v>
      </c>
      <c r="I26" s="77">
        <f t="shared" si="3"/>
        <v>53.4375</v>
      </c>
      <c r="J26" s="77">
        <f t="shared" si="4"/>
        <v>2.5446428571428572</v>
      </c>
      <c r="K26" s="80">
        <f t="shared" si="5"/>
        <v>3.4352678571428577</v>
      </c>
      <c r="L26">
        <f>(K26+K27+K28+K29)/4</f>
        <v>3.4856871007728687</v>
      </c>
      <c r="M26">
        <f>ROUNDUP(L26,1)</f>
        <v>3.5</v>
      </c>
    </row>
    <row r="27" spans="1:21">
      <c r="A27" s="55">
        <v>22</v>
      </c>
      <c r="B27" s="55">
        <v>1270</v>
      </c>
      <c r="C27" s="77">
        <f t="shared" si="0"/>
        <v>37.352941176470587</v>
      </c>
      <c r="D27" s="77">
        <f t="shared" si="1"/>
        <v>1.6978609625668448</v>
      </c>
      <c r="E27" s="77">
        <f t="shared" si="2"/>
        <v>2.2921122994652405</v>
      </c>
      <c r="G27" s="55">
        <v>22</v>
      </c>
      <c r="H27" s="55">
        <v>1810</v>
      </c>
      <c r="I27" s="77">
        <f t="shared" si="3"/>
        <v>56.5625</v>
      </c>
      <c r="J27" s="77">
        <f t="shared" si="4"/>
        <v>2.5710227272727271</v>
      </c>
      <c r="K27" s="80">
        <f t="shared" si="5"/>
        <v>3.4708806818181817</v>
      </c>
    </row>
    <row r="28" spans="1:21">
      <c r="A28" s="55">
        <v>23</v>
      </c>
      <c r="B28" s="55">
        <v>1330</v>
      </c>
      <c r="C28" s="77">
        <f t="shared" si="0"/>
        <v>39.117647058823529</v>
      </c>
      <c r="D28" s="77">
        <f t="shared" si="1"/>
        <v>1.70076726342711</v>
      </c>
      <c r="E28" s="77">
        <f t="shared" si="2"/>
        <v>2.2960358056265986</v>
      </c>
      <c r="G28" s="55">
        <v>23</v>
      </c>
      <c r="H28" s="55">
        <v>1910</v>
      </c>
      <c r="I28" s="77">
        <f t="shared" si="3"/>
        <v>59.6875</v>
      </c>
      <c r="J28" s="77">
        <f t="shared" si="4"/>
        <v>2.5951086956521738</v>
      </c>
      <c r="K28" s="80">
        <f t="shared" si="5"/>
        <v>3.503396739130435</v>
      </c>
    </row>
    <row r="29" spans="1:21">
      <c r="A29" s="55">
        <v>24</v>
      </c>
      <c r="B29" s="55">
        <v>1390</v>
      </c>
      <c r="C29" s="77">
        <f t="shared" si="0"/>
        <v>40.882352941176471</v>
      </c>
      <c r="D29" s="77">
        <f t="shared" si="1"/>
        <v>1.7034313725490196</v>
      </c>
      <c r="E29" s="77">
        <f t="shared" si="2"/>
        <v>2.2996323529411766</v>
      </c>
      <c r="G29" s="100">
        <v>24</v>
      </c>
      <c r="H29" s="100">
        <v>2010</v>
      </c>
      <c r="I29" s="101">
        <f t="shared" si="3"/>
        <v>62.8125</v>
      </c>
      <c r="J29" s="101">
        <f t="shared" si="4"/>
        <v>2.6171875</v>
      </c>
      <c r="K29" s="102">
        <f t="shared" si="5"/>
        <v>3.5332031250000004</v>
      </c>
      <c r="L29" s="103"/>
      <c r="M29" s="103"/>
    </row>
    <row r="30" spans="1:21">
      <c r="A30" s="55">
        <v>25</v>
      </c>
      <c r="B30" s="55">
        <v>1450</v>
      </c>
      <c r="C30" s="77">
        <f t="shared" si="0"/>
        <v>42.647058823529413</v>
      </c>
      <c r="D30" s="77">
        <f t="shared" si="1"/>
        <v>1.7058823529411766</v>
      </c>
      <c r="E30" s="77">
        <f t="shared" si="2"/>
        <v>2.3029411764705885</v>
      </c>
      <c r="G30" s="55">
        <v>25</v>
      </c>
      <c r="H30" s="55">
        <v>2110</v>
      </c>
      <c r="I30" s="77">
        <f t="shared" si="3"/>
        <v>65.9375</v>
      </c>
      <c r="J30" s="77">
        <f t="shared" si="4"/>
        <v>2.6375000000000002</v>
      </c>
      <c r="K30" s="80">
        <f t="shared" si="5"/>
        <v>3.5606250000000004</v>
      </c>
      <c r="L30">
        <f>(K30+K31+K32+K33+K34)/5</f>
        <v>3.6044501586775297</v>
      </c>
      <c r="M30">
        <f>ROUNDUP(L30,1)</f>
        <v>3.7</v>
      </c>
    </row>
    <row r="31" spans="1:21">
      <c r="A31" s="55">
        <v>26</v>
      </c>
      <c r="C31" s="77">
        <f t="shared" si="0"/>
        <v>0</v>
      </c>
      <c r="D31" s="77">
        <f t="shared" si="1"/>
        <v>0</v>
      </c>
      <c r="E31" s="77">
        <f t="shared" si="2"/>
        <v>0</v>
      </c>
      <c r="G31" s="55">
        <v>26</v>
      </c>
      <c r="H31" s="55">
        <v>2200</v>
      </c>
      <c r="I31" s="77">
        <f t="shared" si="3"/>
        <v>68.75</v>
      </c>
      <c r="J31" s="77">
        <f t="shared" si="4"/>
        <v>2.6442307692307692</v>
      </c>
      <c r="K31" s="80">
        <f t="shared" si="5"/>
        <v>3.5697115384615388</v>
      </c>
    </row>
    <row r="32" spans="1:21">
      <c r="A32" s="55">
        <v>27</v>
      </c>
      <c r="C32" s="77">
        <f t="shared" si="0"/>
        <v>0</v>
      </c>
      <c r="D32" s="77">
        <f t="shared" si="1"/>
        <v>0</v>
      </c>
      <c r="E32" s="77">
        <f t="shared" si="2"/>
        <v>0</v>
      </c>
      <c r="G32" s="55">
        <v>27</v>
      </c>
      <c r="H32" s="55">
        <v>2310</v>
      </c>
      <c r="I32" s="77">
        <f t="shared" si="3"/>
        <v>72.1875</v>
      </c>
      <c r="J32" s="77">
        <f t="shared" si="4"/>
        <v>2.6736111111111112</v>
      </c>
      <c r="K32" s="80">
        <f t="shared" si="5"/>
        <v>3.6093750000000004</v>
      </c>
    </row>
    <row r="33" spans="1:13">
      <c r="A33" s="55">
        <v>28</v>
      </c>
      <c r="C33" s="77">
        <f t="shared" si="0"/>
        <v>0</v>
      </c>
      <c r="D33" s="77">
        <f t="shared" si="1"/>
        <v>0</v>
      </c>
      <c r="E33" s="77">
        <f t="shared" si="2"/>
        <v>0</v>
      </c>
      <c r="G33" s="55">
        <v>28</v>
      </c>
      <c r="H33" s="55">
        <v>2410</v>
      </c>
      <c r="I33" s="77">
        <f t="shared" si="3"/>
        <v>75.3125</v>
      </c>
      <c r="J33" s="77">
        <f t="shared" si="4"/>
        <v>2.6897321428571428</v>
      </c>
      <c r="K33" s="80">
        <f t="shared" si="5"/>
        <v>3.6311383928571428</v>
      </c>
    </row>
    <row r="34" spans="1:13">
      <c r="A34" s="55">
        <v>29</v>
      </c>
      <c r="C34" s="77">
        <f t="shared" si="0"/>
        <v>0</v>
      </c>
      <c r="D34" s="77">
        <f t="shared" si="1"/>
        <v>0</v>
      </c>
      <c r="E34" s="77">
        <f t="shared" si="2"/>
        <v>0</v>
      </c>
      <c r="G34" s="100">
        <v>29</v>
      </c>
      <c r="H34" s="100">
        <v>2510</v>
      </c>
      <c r="I34" s="101">
        <f t="shared" si="3"/>
        <v>78.4375</v>
      </c>
      <c r="J34" s="101">
        <f t="shared" si="4"/>
        <v>2.7047413793103448</v>
      </c>
      <c r="K34" s="102">
        <f t="shared" si="5"/>
        <v>3.6514008620689657</v>
      </c>
      <c r="L34" s="103"/>
      <c r="M34" s="103"/>
    </row>
    <row r="35" spans="1:13">
      <c r="A35" s="55">
        <v>30</v>
      </c>
      <c r="C35" s="77">
        <f t="shared" si="0"/>
        <v>0</v>
      </c>
      <c r="D35" s="77">
        <f t="shared" si="1"/>
        <v>0</v>
      </c>
      <c r="E35" s="77">
        <f t="shared" si="2"/>
        <v>0</v>
      </c>
      <c r="G35" s="55">
        <v>30</v>
      </c>
      <c r="H35" s="55">
        <v>2610</v>
      </c>
      <c r="I35" s="77">
        <f t="shared" si="3"/>
        <v>81.5625</v>
      </c>
      <c r="J35" s="77">
        <f t="shared" si="4"/>
        <v>2.71875</v>
      </c>
      <c r="K35" s="80">
        <f t="shared" si="5"/>
        <v>3.6703125000000001</v>
      </c>
      <c r="L35" s="80">
        <f>(K35+K36+K37+K38+K39)/5</f>
        <v>3.7539666361641801</v>
      </c>
      <c r="M35">
        <f>ROUNDUP(L35,1)</f>
        <v>3.8000000000000003</v>
      </c>
    </row>
    <row r="36" spans="1:13">
      <c r="A36" s="55">
        <v>31</v>
      </c>
      <c r="C36" s="77">
        <f t="shared" si="0"/>
        <v>0</v>
      </c>
      <c r="D36" s="77">
        <f t="shared" si="1"/>
        <v>0</v>
      </c>
      <c r="E36" s="77">
        <f t="shared" si="2"/>
        <v>0</v>
      </c>
      <c r="G36" s="55">
        <v>31</v>
      </c>
      <c r="H36" s="55">
        <v>2710</v>
      </c>
      <c r="I36" s="77">
        <f t="shared" si="3"/>
        <v>84.6875</v>
      </c>
      <c r="J36" s="77">
        <f t="shared" si="4"/>
        <v>2.7318548387096775</v>
      </c>
      <c r="K36" s="80">
        <f t="shared" si="5"/>
        <v>3.6880040322580649</v>
      </c>
    </row>
    <row r="37" spans="1:13">
      <c r="A37" s="55">
        <v>32</v>
      </c>
      <c r="C37" s="77">
        <f t="shared" si="0"/>
        <v>0</v>
      </c>
      <c r="D37" s="77">
        <f t="shared" si="1"/>
        <v>0</v>
      </c>
      <c r="E37" s="77">
        <f t="shared" si="2"/>
        <v>0</v>
      </c>
      <c r="G37" s="55">
        <v>32</v>
      </c>
      <c r="H37" s="55">
        <v>2810</v>
      </c>
      <c r="I37" s="77">
        <f t="shared" si="3"/>
        <v>87.8125</v>
      </c>
      <c r="J37" s="77">
        <f t="shared" si="4"/>
        <v>2.744140625</v>
      </c>
      <c r="K37" s="80">
        <f t="shared" si="5"/>
        <v>3.7045898437500004</v>
      </c>
    </row>
    <row r="38" spans="1:13">
      <c r="A38" s="55">
        <v>33</v>
      </c>
      <c r="C38" s="77">
        <f t="shared" si="0"/>
        <v>0</v>
      </c>
      <c r="D38" s="77">
        <f t="shared" si="1"/>
        <v>0</v>
      </c>
      <c r="E38" s="77">
        <f t="shared" si="2"/>
        <v>0</v>
      </c>
      <c r="G38" s="55">
        <v>33</v>
      </c>
      <c r="H38" s="55">
        <v>3010</v>
      </c>
      <c r="I38" s="77">
        <f t="shared" si="3"/>
        <v>94.0625</v>
      </c>
      <c r="J38" s="77">
        <f t="shared" si="4"/>
        <v>2.8503787878787881</v>
      </c>
      <c r="K38" s="80">
        <f t="shared" si="5"/>
        <v>3.8480113636363642</v>
      </c>
    </row>
    <row r="39" spans="1:13">
      <c r="A39" s="55">
        <v>34</v>
      </c>
      <c r="C39" s="77">
        <f t="shared" si="0"/>
        <v>0</v>
      </c>
      <c r="D39" s="77">
        <f t="shared" si="1"/>
        <v>0</v>
      </c>
      <c r="E39" s="77">
        <f t="shared" si="2"/>
        <v>0</v>
      </c>
      <c r="G39" s="100">
        <v>34</v>
      </c>
      <c r="H39" s="100">
        <v>3110</v>
      </c>
      <c r="I39" s="101">
        <f t="shared" si="3"/>
        <v>97.1875</v>
      </c>
      <c r="J39" s="101">
        <f t="shared" si="4"/>
        <v>2.8584558823529411</v>
      </c>
      <c r="K39" s="102">
        <f t="shared" si="5"/>
        <v>3.8589154411764706</v>
      </c>
      <c r="L39" s="103"/>
      <c r="M39" s="103"/>
    </row>
    <row r="40" spans="1:13">
      <c r="A40" s="55">
        <v>35</v>
      </c>
      <c r="C40" s="77">
        <f t="shared" si="0"/>
        <v>0</v>
      </c>
      <c r="D40" s="77">
        <f t="shared" si="1"/>
        <v>0</v>
      </c>
      <c r="E40" s="77">
        <f t="shared" si="2"/>
        <v>0</v>
      </c>
      <c r="G40" s="55">
        <v>35</v>
      </c>
      <c r="H40" s="55">
        <v>3210</v>
      </c>
      <c r="I40" s="77">
        <f t="shared" si="3"/>
        <v>100.3125</v>
      </c>
      <c r="J40" s="77">
        <f t="shared" si="4"/>
        <v>2.8660714285714284</v>
      </c>
      <c r="K40" s="80">
        <f t="shared" si="5"/>
        <v>3.8691964285714286</v>
      </c>
      <c r="L40">
        <f>(K40+K41+K42+K43+K44)/5</f>
        <v>3.8853265415683174</v>
      </c>
      <c r="M40">
        <f>ROUNDUP(L40,1)</f>
        <v>3.9</v>
      </c>
    </row>
    <row r="41" spans="1:13">
      <c r="A41" s="55">
        <v>36</v>
      </c>
      <c r="C41" s="77">
        <f t="shared" si="0"/>
        <v>0</v>
      </c>
      <c r="D41" s="77">
        <f t="shared" si="1"/>
        <v>0</v>
      </c>
      <c r="E41" s="77">
        <f t="shared" si="2"/>
        <v>0</v>
      </c>
      <c r="G41" s="55">
        <v>36</v>
      </c>
      <c r="H41" s="55">
        <v>3310</v>
      </c>
      <c r="I41" s="77">
        <f t="shared" si="3"/>
        <v>103.4375</v>
      </c>
      <c r="J41" s="77">
        <f t="shared" si="4"/>
        <v>2.8732638888888888</v>
      </c>
      <c r="K41" s="80">
        <f t="shared" si="5"/>
        <v>3.87890625</v>
      </c>
    </row>
    <row r="42" spans="1:13">
      <c r="A42" s="55">
        <v>37</v>
      </c>
      <c r="C42" s="77">
        <f t="shared" si="0"/>
        <v>0</v>
      </c>
      <c r="D42" s="77">
        <f t="shared" si="1"/>
        <v>0</v>
      </c>
      <c r="E42" s="77">
        <f t="shared" si="2"/>
        <v>0</v>
      </c>
      <c r="G42" s="55">
        <v>37</v>
      </c>
      <c r="H42" s="55">
        <v>3400</v>
      </c>
      <c r="I42" s="77">
        <f t="shared" si="3"/>
        <v>106.25</v>
      </c>
      <c r="J42" s="77">
        <f t="shared" si="4"/>
        <v>2.8716216216216215</v>
      </c>
      <c r="K42" s="80">
        <f t="shared" si="5"/>
        <v>3.8766891891891895</v>
      </c>
    </row>
    <row r="43" spans="1:13">
      <c r="A43" s="55">
        <v>38</v>
      </c>
      <c r="C43" s="77">
        <f t="shared" si="0"/>
        <v>0</v>
      </c>
      <c r="D43" s="77">
        <f t="shared" si="1"/>
        <v>0</v>
      </c>
      <c r="E43" s="77">
        <f t="shared" si="2"/>
        <v>0</v>
      </c>
      <c r="G43" s="55">
        <v>38</v>
      </c>
      <c r="H43" s="55">
        <v>3510</v>
      </c>
      <c r="I43" s="77">
        <f t="shared" si="3"/>
        <v>109.6875</v>
      </c>
      <c r="J43" s="77">
        <f t="shared" si="4"/>
        <v>2.8865131578947367</v>
      </c>
      <c r="K43" s="80">
        <f t="shared" si="5"/>
        <v>3.8967927631578947</v>
      </c>
    </row>
    <row r="44" spans="1:13">
      <c r="A44" s="55">
        <v>39</v>
      </c>
      <c r="C44" s="77">
        <f t="shared" si="0"/>
        <v>0</v>
      </c>
      <c r="D44" s="77">
        <f t="shared" si="1"/>
        <v>0</v>
      </c>
      <c r="E44" s="77">
        <f t="shared" si="2"/>
        <v>0</v>
      </c>
      <c r="G44" s="100">
        <v>39</v>
      </c>
      <c r="H44" s="100">
        <v>3610</v>
      </c>
      <c r="I44" s="101">
        <f t="shared" si="3"/>
        <v>112.8125</v>
      </c>
      <c r="J44" s="101">
        <f t="shared" si="4"/>
        <v>2.8926282051282053</v>
      </c>
      <c r="K44" s="102">
        <f t="shared" si="5"/>
        <v>3.9050480769230775</v>
      </c>
      <c r="L44" s="103"/>
      <c r="M44" s="103"/>
    </row>
    <row r="45" spans="1:13">
      <c r="A45" s="55">
        <v>40</v>
      </c>
      <c r="C45" s="77">
        <f t="shared" si="0"/>
        <v>0</v>
      </c>
      <c r="D45" s="77">
        <f t="shared" si="1"/>
        <v>0</v>
      </c>
      <c r="E45" s="77">
        <f t="shared" si="2"/>
        <v>0</v>
      </c>
      <c r="G45" s="55">
        <v>40</v>
      </c>
      <c r="H45" s="55">
        <v>3710</v>
      </c>
      <c r="I45" s="77">
        <f t="shared" si="3"/>
        <v>115.9375</v>
      </c>
      <c r="J45" s="77">
        <f t="shared" si="4"/>
        <v>2.8984375</v>
      </c>
      <c r="K45" s="80">
        <f t="shared" si="5"/>
        <v>3.9128906250000002</v>
      </c>
      <c r="L45">
        <f>(K45+K46+K47+K48+K49)/5</f>
        <v>3.9271244531578042</v>
      </c>
      <c r="M45" s="108">
        <f>ROUNDUP(L45,1)</f>
        <v>4</v>
      </c>
    </row>
    <row r="46" spans="1:13">
      <c r="A46" s="55">
        <v>41</v>
      </c>
      <c r="C46" s="77">
        <f t="shared" si="0"/>
        <v>0</v>
      </c>
      <c r="D46" s="77">
        <f t="shared" si="1"/>
        <v>0</v>
      </c>
      <c r="E46" s="77">
        <f t="shared" si="2"/>
        <v>0</v>
      </c>
      <c r="G46" s="55">
        <v>41</v>
      </c>
      <c r="H46" s="55">
        <v>3810</v>
      </c>
      <c r="I46" s="77">
        <f t="shared" si="3"/>
        <v>119.0625</v>
      </c>
      <c r="J46" s="77">
        <f t="shared" si="4"/>
        <v>2.9039634146341462</v>
      </c>
      <c r="K46" s="80">
        <f t="shared" si="5"/>
        <v>3.9203506097560976</v>
      </c>
    </row>
    <row r="47" spans="1:13">
      <c r="A47" s="55">
        <v>42</v>
      </c>
      <c r="C47" s="77">
        <f t="shared" si="0"/>
        <v>0</v>
      </c>
      <c r="D47" s="77">
        <f t="shared" si="1"/>
        <v>0</v>
      </c>
      <c r="E47" s="77">
        <f t="shared" si="2"/>
        <v>0</v>
      </c>
      <c r="G47" s="55">
        <v>42</v>
      </c>
      <c r="H47" s="55">
        <v>3910</v>
      </c>
      <c r="I47" s="77">
        <f t="shared" si="3"/>
        <v>122.1875</v>
      </c>
      <c r="J47" s="77">
        <f t="shared" si="4"/>
        <v>2.9092261904761907</v>
      </c>
      <c r="K47" s="80">
        <f t="shared" si="5"/>
        <v>3.9274553571428577</v>
      </c>
    </row>
    <row r="48" spans="1:13">
      <c r="A48" s="55">
        <v>43</v>
      </c>
      <c r="C48" s="77">
        <f t="shared" si="0"/>
        <v>0</v>
      </c>
      <c r="D48" s="77">
        <f t="shared" si="1"/>
        <v>0</v>
      </c>
      <c r="E48" s="77">
        <f t="shared" si="2"/>
        <v>0</v>
      </c>
      <c r="G48" s="55">
        <v>43</v>
      </c>
      <c r="H48" s="55">
        <v>4010</v>
      </c>
      <c r="I48" s="77">
        <f t="shared" si="3"/>
        <v>125.3125</v>
      </c>
      <c r="J48" s="77">
        <f t="shared" si="4"/>
        <v>2.9142441860465116</v>
      </c>
      <c r="K48" s="80">
        <f t="shared" si="5"/>
        <v>3.934229651162791</v>
      </c>
    </row>
    <row r="49" spans="1:13">
      <c r="A49" s="55">
        <v>44</v>
      </c>
      <c r="C49" s="77">
        <f t="shared" si="0"/>
        <v>0</v>
      </c>
      <c r="D49" s="77">
        <f t="shared" si="1"/>
        <v>0</v>
      </c>
      <c r="E49" s="77">
        <f t="shared" si="2"/>
        <v>0</v>
      </c>
      <c r="G49" s="100">
        <v>44</v>
      </c>
      <c r="H49" s="100">
        <v>4110</v>
      </c>
      <c r="I49" s="101">
        <f t="shared" si="3"/>
        <v>128.4375</v>
      </c>
      <c r="J49" s="101">
        <f t="shared" si="4"/>
        <v>2.9190340909090908</v>
      </c>
      <c r="K49" s="102">
        <f t="shared" si="5"/>
        <v>3.9406960227272729</v>
      </c>
      <c r="L49" s="103"/>
      <c r="M49" s="103"/>
    </row>
    <row r="50" spans="1:13">
      <c r="A50" s="55">
        <v>45</v>
      </c>
      <c r="C50" s="77">
        <f t="shared" si="0"/>
        <v>0</v>
      </c>
      <c r="D50" s="77">
        <f t="shared" si="1"/>
        <v>0</v>
      </c>
      <c r="E50" s="77">
        <f t="shared" si="2"/>
        <v>0</v>
      </c>
      <c r="G50" s="55">
        <v>45</v>
      </c>
      <c r="H50" s="55">
        <v>4210</v>
      </c>
      <c r="I50" s="77">
        <f t="shared" si="3"/>
        <v>131.5625</v>
      </c>
      <c r="J50" s="77">
        <f t="shared" si="4"/>
        <v>2.9236111111111112</v>
      </c>
      <c r="K50" s="80">
        <f t="shared" si="5"/>
        <v>3.9468750000000004</v>
      </c>
      <c r="L50">
        <f>(K50+K51+K52+K53+K54+K55)/6</f>
        <v>3.9608505066790252</v>
      </c>
      <c r="M50" s="108">
        <f>ROUNDUP(L50,1)</f>
        <v>4</v>
      </c>
    </row>
    <row r="51" spans="1:13">
      <c r="A51" s="55">
        <v>46</v>
      </c>
      <c r="C51" s="77">
        <f t="shared" si="0"/>
        <v>0</v>
      </c>
      <c r="D51" s="77">
        <f t="shared" si="1"/>
        <v>0</v>
      </c>
      <c r="E51" s="77">
        <f t="shared" si="2"/>
        <v>0</v>
      </c>
      <c r="G51" s="55">
        <v>46</v>
      </c>
      <c r="H51" s="55">
        <v>4310</v>
      </c>
      <c r="I51" s="77">
        <f t="shared" si="3"/>
        <v>134.6875</v>
      </c>
      <c r="J51" s="77">
        <f t="shared" si="4"/>
        <v>2.9279891304347827</v>
      </c>
      <c r="K51" s="80">
        <f t="shared" si="5"/>
        <v>3.952785326086957</v>
      </c>
    </row>
    <row r="52" spans="1:13">
      <c r="A52" s="55">
        <v>47</v>
      </c>
      <c r="C52" s="77">
        <f t="shared" si="0"/>
        <v>0</v>
      </c>
      <c r="D52" s="77">
        <f t="shared" si="1"/>
        <v>0</v>
      </c>
      <c r="E52" s="77">
        <f t="shared" si="2"/>
        <v>0</v>
      </c>
      <c r="G52" s="55">
        <v>47</v>
      </c>
      <c r="H52" s="55">
        <v>4410</v>
      </c>
      <c r="I52" s="77">
        <f t="shared" si="3"/>
        <v>137.8125</v>
      </c>
      <c r="J52" s="77">
        <f t="shared" si="4"/>
        <v>2.9321808510638299</v>
      </c>
      <c r="K52" s="80">
        <f t="shared" si="5"/>
        <v>3.9584441489361706</v>
      </c>
    </row>
    <row r="53" spans="1:13">
      <c r="A53" s="55">
        <v>48</v>
      </c>
      <c r="C53" s="77">
        <f t="shared" si="0"/>
        <v>0</v>
      </c>
      <c r="D53" s="77">
        <f t="shared" si="1"/>
        <v>0</v>
      </c>
      <c r="E53" s="77">
        <f t="shared" si="2"/>
        <v>0</v>
      </c>
      <c r="G53" s="55">
        <v>48</v>
      </c>
      <c r="H53" s="55">
        <v>4510</v>
      </c>
      <c r="I53" s="77">
        <f t="shared" si="3"/>
        <v>140.9375</v>
      </c>
      <c r="J53" s="77">
        <f t="shared" si="4"/>
        <v>2.9361979166666665</v>
      </c>
      <c r="K53" s="80">
        <f t="shared" si="5"/>
        <v>3.9638671875</v>
      </c>
    </row>
    <row r="54" spans="1:13">
      <c r="A54" s="55">
        <v>49</v>
      </c>
      <c r="C54" s="77">
        <f t="shared" si="0"/>
        <v>0</v>
      </c>
      <c r="D54" s="77">
        <f t="shared" si="1"/>
        <v>0</v>
      </c>
      <c r="E54" s="77">
        <f t="shared" si="2"/>
        <v>0</v>
      </c>
      <c r="G54" s="55">
        <v>49</v>
      </c>
      <c r="H54" s="55">
        <v>4610</v>
      </c>
      <c r="I54" s="77">
        <f t="shared" si="3"/>
        <v>144.0625</v>
      </c>
      <c r="J54" s="77">
        <f t="shared" si="4"/>
        <v>2.9400510204081631</v>
      </c>
      <c r="K54" s="80">
        <f t="shared" si="5"/>
        <v>3.9690688775510203</v>
      </c>
    </row>
    <row r="55" spans="1:13">
      <c r="A55" s="55">
        <v>50</v>
      </c>
      <c r="C55" s="77">
        <f t="shared" si="0"/>
        <v>0</v>
      </c>
      <c r="D55" s="77">
        <f t="shared" si="1"/>
        <v>0</v>
      </c>
      <c r="E55" s="77">
        <f t="shared" si="2"/>
        <v>0</v>
      </c>
      <c r="G55" s="55">
        <v>50</v>
      </c>
      <c r="H55" s="55">
        <v>4710</v>
      </c>
      <c r="I55" s="77">
        <f t="shared" si="3"/>
        <v>147.1875</v>
      </c>
      <c r="J55" s="77">
        <f t="shared" si="4"/>
        <v>2.9437500000000001</v>
      </c>
      <c r="K55" s="80">
        <f t="shared" si="5"/>
        <v>3.9740625000000005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"/>
  <sheetViews>
    <sheetView zoomScale="115" zoomScaleNormal="115" workbookViewId="0">
      <selection sqref="A1:B13"/>
    </sheetView>
  </sheetViews>
  <sheetFormatPr defaultColWidth="8.69921875" defaultRowHeight="17.399999999999999"/>
  <cols>
    <col min="1" max="1" width="9.69921875" style="55" bestFit="1" customWidth="1"/>
    <col min="2" max="2" width="9.19921875" style="55" bestFit="1" customWidth="1"/>
    <col min="3" max="16384" width="8.69921875" style="55"/>
  </cols>
  <sheetData>
    <row r="1" spans="1:2">
      <c r="A1" s="56" t="s">
        <v>312</v>
      </c>
      <c r="B1" s="56" t="s">
        <v>313</v>
      </c>
    </row>
    <row r="2" spans="1:2">
      <c r="A2" s="56" t="s">
        <v>314</v>
      </c>
      <c r="B2" s="109">
        <v>12.4</v>
      </c>
    </row>
    <row r="3" spans="1:2">
      <c r="A3" s="56" t="s">
        <v>315</v>
      </c>
      <c r="B3" s="109">
        <v>5.3</v>
      </c>
    </row>
    <row r="4" spans="1:2">
      <c r="A4" s="56" t="s">
        <v>316</v>
      </c>
      <c r="B4" s="109">
        <v>3.6</v>
      </c>
    </row>
    <row r="5" spans="1:2">
      <c r="A5" s="56" t="s">
        <v>317</v>
      </c>
      <c r="B5" s="109">
        <v>3.6</v>
      </c>
    </row>
    <row r="6" spans="1:2">
      <c r="A6" s="56" t="s">
        <v>318</v>
      </c>
      <c r="B6" s="109">
        <v>3.3000000000000003</v>
      </c>
    </row>
    <row r="7" spans="1:2">
      <c r="A7" s="56" t="s">
        <v>319</v>
      </c>
      <c r="B7" s="109">
        <v>3.4</v>
      </c>
    </row>
    <row r="8" spans="1:2">
      <c r="A8" s="56" t="s">
        <v>320</v>
      </c>
      <c r="B8" s="109">
        <v>3.5</v>
      </c>
    </row>
    <row r="9" spans="1:2">
      <c r="A9" s="56" t="s">
        <v>321</v>
      </c>
      <c r="B9" s="109">
        <v>3.7</v>
      </c>
    </row>
    <row r="10" spans="1:2">
      <c r="A10" s="56" t="s">
        <v>322</v>
      </c>
      <c r="B10" s="109">
        <v>3.8000000000000003</v>
      </c>
    </row>
    <row r="11" spans="1:2">
      <c r="A11" s="56" t="s">
        <v>323</v>
      </c>
      <c r="B11" s="109">
        <v>3.9</v>
      </c>
    </row>
    <row r="12" spans="1:2">
      <c r="A12" s="56" t="s">
        <v>324</v>
      </c>
      <c r="B12" s="109">
        <v>4</v>
      </c>
    </row>
    <row r="13" spans="1:2">
      <c r="A13" s="56" t="s">
        <v>325</v>
      </c>
      <c r="B13" s="109">
        <v>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Row data</vt:lpstr>
      <vt:lpstr>수취인 불명 내역</vt:lpstr>
      <vt:lpstr>이름(LTxx-xx)</vt:lpstr>
      <vt:lpstr>Sheet1</vt:lpstr>
      <vt:lpstr>Sheet2</vt:lpstr>
      <vt:lpstr>'이름(LTxx-xx)'!Print_Area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Jin Laos Tenor</cp:lastModifiedBy>
  <cp:lastPrinted>2024-07-08T03:31:14Z</cp:lastPrinted>
  <dcterms:created xsi:type="dcterms:W3CDTF">2022-06-08T08:17:29Z</dcterms:created>
  <dcterms:modified xsi:type="dcterms:W3CDTF">2026-06-18T06:49:56Z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