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3132\Desktop\"/>
    </mc:Choice>
  </mc:AlternateContent>
  <bookViews>
    <workbookView xWindow="600" yWindow="45" windowWidth="19395" windowHeight="7890"/>
  </bookViews>
  <sheets>
    <sheet name="Condition 1" sheetId="17" r:id="rId1"/>
    <sheet name="Condition 2" sheetId="19" r:id="rId2"/>
    <sheet name="Condition 3" sheetId="20" r:id="rId3"/>
  </sheets>
  <definedNames>
    <definedName name="solver_adj" localSheetId="0" hidden="1">'Condition 1'!$E$6</definedName>
    <definedName name="solver_adj" localSheetId="1" hidden="1">'Condition 2'!$E$6</definedName>
    <definedName name="solver_adj" localSheetId="2" hidden="1">'Condition 3'!$E$6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2</definedName>
    <definedName name="solver_drv" localSheetId="1" hidden="1">2</definedName>
    <definedName name="solver_drv" localSheetId="2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'Condition 1'!$B$17</definedName>
    <definedName name="solver_lhs1" localSheetId="1" hidden="1">'Condition 2'!$B$17</definedName>
    <definedName name="solver_lhs1" localSheetId="2" hidden="1">'Condition 3'!$B$17</definedName>
    <definedName name="solver_lhs2" localSheetId="0" hidden="1">'Condition 1'!$C$10</definedName>
    <definedName name="solver_lhs2" localSheetId="1" hidden="1">'Condition 2'!$C$10</definedName>
    <definedName name="solver_lhs2" localSheetId="2" hidden="1">'Condition 3'!$C$10</definedName>
    <definedName name="solver_lhs3" localSheetId="0" hidden="1">'Condition 1'!$C$10</definedName>
    <definedName name="solver_lhs3" localSheetId="1" hidden="1">'Condition 2'!$C$10</definedName>
    <definedName name="solver_lhs3" localSheetId="2" hidden="1">'Condition 3'!$C$10</definedName>
    <definedName name="solver_lhs4" localSheetId="0" hidden="1">'Condition 1'!$E$5</definedName>
    <definedName name="solver_lhs4" localSheetId="1" hidden="1">'Condition 2'!$E$5</definedName>
    <definedName name="solver_lhs4" localSheetId="2" hidden="1">'Condition 3'!$E$5</definedName>
    <definedName name="solver_lhs5" localSheetId="0" hidden="1">'Condition 1'!$E$6</definedName>
    <definedName name="solver_lhs5" localSheetId="1" hidden="1">'Condition 2'!$E$6</definedName>
    <definedName name="solver_lhs5" localSheetId="2" hidden="1">'Condition 3'!$E$6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5</definedName>
    <definedName name="solver_num" localSheetId="1" hidden="1">5</definedName>
    <definedName name="solver_num" localSheetId="2" hidden="1">5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'Condition 1'!$E$21</definedName>
    <definedName name="solver_opt" localSheetId="1" hidden="1">'Condition 2'!$E$21</definedName>
    <definedName name="solver_opt" localSheetId="2" hidden="1">'Condition 3'!$E$21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2</definedName>
    <definedName name="solver_rbv" localSheetId="1" hidden="1">2</definedName>
    <definedName name="solver_rbv" localSheetId="2" hidden="1">2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el3" localSheetId="0" hidden="1">3</definedName>
    <definedName name="solver_rel3" localSheetId="1" hidden="1">3</definedName>
    <definedName name="solver_rel3" localSheetId="2" hidden="1">3</definedName>
    <definedName name="solver_rel4" localSheetId="0" hidden="1">3</definedName>
    <definedName name="solver_rel4" localSheetId="1" hidden="1">3</definedName>
    <definedName name="solver_rel4" localSheetId="2" hidden="1">3</definedName>
    <definedName name="solver_rel5" localSheetId="0" hidden="1">4</definedName>
    <definedName name="solver_rel5" localSheetId="1" hidden="1">4</definedName>
    <definedName name="solver_rel5" localSheetId="2" hidden="1">4</definedName>
    <definedName name="solver_rhs1" localSheetId="0" hidden="1">816000</definedName>
    <definedName name="solver_rhs1" localSheetId="1" hidden="1">816000</definedName>
    <definedName name="solver_rhs1" localSheetId="2" hidden="1">816000</definedName>
    <definedName name="solver_rhs2" localSheetId="0" hidden="1">1</definedName>
    <definedName name="solver_rhs2" localSheetId="1" hidden="1">1</definedName>
    <definedName name="solver_rhs2" localSheetId="2" hidden="1">1</definedName>
    <definedName name="solver_rhs3" localSheetId="0" hidden="1">0</definedName>
    <definedName name="solver_rhs3" localSheetId="1" hidden="1">0</definedName>
    <definedName name="solver_rhs3" localSheetId="2" hidden="1">0</definedName>
    <definedName name="solver_rhs4" localSheetId="0" hidden="1">1</definedName>
    <definedName name="solver_rhs4" localSheetId="1" hidden="1">1</definedName>
    <definedName name="solver_rhs4" localSheetId="2" hidden="1">1</definedName>
    <definedName name="solver_rhs5" localSheetId="0" hidden="1">integer</definedName>
    <definedName name="solver_rhs5" localSheetId="1" hidden="1">정수</definedName>
    <definedName name="solver_rhs5" localSheetId="2" hidden="1">정수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62913"/>
</workbook>
</file>

<file path=xl/calcChain.xml><?xml version="1.0" encoding="utf-8"?>
<calcChain xmlns="http://schemas.openxmlformats.org/spreadsheetml/2006/main">
  <c r="H22" i="20" l="1"/>
  <c r="C22" i="20"/>
  <c r="H21" i="20"/>
  <c r="H17" i="20"/>
  <c r="C8" i="20"/>
  <c r="H23" i="20" s="1"/>
  <c r="H5" i="20"/>
  <c r="E5" i="20"/>
  <c r="C12" i="20" s="1"/>
  <c r="J4" i="20"/>
  <c r="I4" i="20"/>
  <c r="J6" i="20" s="1"/>
  <c r="H22" i="19"/>
  <c r="C22" i="19"/>
  <c r="H21" i="19"/>
  <c r="H17" i="19"/>
  <c r="C8" i="19"/>
  <c r="H24" i="19" s="1"/>
  <c r="H5" i="19"/>
  <c r="E5" i="19"/>
  <c r="C14" i="19" s="1"/>
  <c r="C23" i="19" s="1"/>
  <c r="J4" i="19"/>
  <c r="I4" i="19"/>
  <c r="J6" i="19" s="1"/>
  <c r="J18" i="17"/>
  <c r="H19" i="17"/>
  <c r="H18" i="17"/>
  <c r="H17" i="17"/>
  <c r="J6" i="17"/>
  <c r="I4" i="17"/>
  <c r="H22" i="17"/>
  <c r="C22" i="17"/>
  <c r="H21" i="17"/>
  <c r="C8" i="17"/>
  <c r="H23" i="17" s="1"/>
  <c r="H5" i="17"/>
  <c r="E5" i="17"/>
  <c r="C12" i="17" s="1"/>
  <c r="C19" i="17" s="1"/>
  <c r="J4" i="17"/>
  <c r="H18" i="19" l="1"/>
  <c r="H23" i="19"/>
  <c r="C24" i="20"/>
  <c r="C19" i="20"/>
  <c r="C18" i="20"/>
  <c r="C14" i="20"/>
  <c r="C23" i="20" s="1"/>
  <c r="J17" i="20"/>
  <c r="H19" i="20"/>
  <c r="J21" i="20"/>
  <c r="H24" i="20"/>
  <c r="J22" i="20" s="1"/>
  <c r="C10" i="20"/>
  <c r="H18" i="20"/>
  <c r="J18" i="20" s="1"/>
  <c r="J18" i="19"/>
  <c r="J23" i="19"/>
  <c r="C10" i="19"/>
  <c r="C12" i="19"/>
  <c r="J17" i="19"/>
  <c r="H19" i="19"/>
  <c r="J21" i="19"/>
  <c r="J22" i="19"/>
  <c r="C18" i="17"/>
  <c r="C24" i="17"/>
  <c r="C14" i="17"/>
  <c r="C23" i="17" s="1"/>
  <c r="J21" i="17"/>
  <c r="H24" i="17"/>
  <c r="J23" i="17" s="1"/>
  <c r="C10" i="17"/>
  <c r="E17" i="17" s="1"/>
  <c r="J17" i="17"/>
  <c r="J23" i="20" l="1"/>
  <c r="C21" i="20"/>
  <c r="C17" i="20"/>
  <c r="E18" i="20" s="1"/>
  <c r="H2" i="20"/>
  <c r="E21" i="20"/>
  <c r="B26" i="20" s="1"/>
  <c r="E17" i="20"/>
  <c r="E10" i="20"/>
  <c r="H6" i="20"/>
  <c r="H4" i="20" s="1"/>
  <c r="J5" i="20" s="1"/>
  <c r="E21" i="19"/>
  <c r="B26" i="19" s="1"/>
  <c r="E17" i="19"/>
  <c r="E10" i="19"/>
  <c r="H6" i="19"/>
  <c r="H4" i="19" s="1"/>
  <c r="J5" i="19" s="1"/>
  <c r="C21" i="19"/>
  <c r="C17" i="19"/>
  <c r="H2" i="19"/>
  <c r="C24" i="19"/>
  <c r="C19" i="19"/>
  <c r="C18" i="19"/>
  <c r="J22" i="17"/>
  <c r="C21" i="17"/>
  <c r="C17" i="17"/>
  <c r="E18" i="17" s="1"/>
  <c r="H6" i="17"/>
  <c r="H4" i="17" s="1"/>
  <c r="J5" i="17" s="1"/>
  <c r="H2" i="17"/>
  <c r="E21" i="17"/>
  <c r="B26" i="17" s="1"/>
  <c r="E10" i="17"/>
  <c r="E23" i="20" l="1"/>
  <c r="E22" i="20"/>
  <c r="E23" i="19"/>
  <c r="E22" i="19"/>
  <c r="E18" i="19"/>
  <c r="E23" i="17"/>
  <c r="E22" i="17"/>
</calcChain>
</file>

<file path=xl/sharedStrings.xml><?xml version="1.0" encoding="utf-8"?>
<sst xmlns="http://schemas.openxmlformats.org/spreadsheetml/2006/main" count="162" uniqueCount="42">
  <si>
    <t>D</t>
  </si>
  <si>
    <t>Conditon 1</t>
  </si>
  <si>
    <t>a</t>
  </si>
  <si>
    <t>b</t>
  </si>
  <si>
    <r>
      <t>P</t>
    </r>
    <r>
      <rPr>
        <vertAlign val="subscript"/>
        <sz val="14"/>
        <color theme="1"/>
        <rFont val="Algerian"/>
        <family val="5"/>
      </rPr>
      <t>1</t>
    </r>
  </si>
  <si>
    <r>
      <t>p</t>
    </r>
    <r>
      <rPr>
        <vertAlign val="subscript"/>
        <sz val="14"/>
        <color theme="1"/>
        <rFont val="Calibri"/>
        <family val="2"/>
        <scheme val="minor"/>
      </rPr>
      <t>2</t>
    </r>
  </si>
  <si>
    <r>
      <t>H</t>
    </r>
    <r>
      <rPr>
        <vertAlign val="subscript"/>
        <sz val="14"/>
        <color theme="1"/>
        <rFont val="Calibri"/>
        <family val="2"/>
        <scheme val="minor"/>
      </rPr>
      <t>1</t>
    </r>
  </si>
  <si>
    <r>
      <t>H</t>
    </r>
    <r>
      <rPr>
        <vertAlign val="subscript"/>
        <sz val="14"/>
        <color theme="1"/>
        <rFont val="Calibri"/>
        <family val="2"/>
        <scheme val="minor"/>
      </rPr>
      <t>2</t>
    </r>
  </si>
  <si>
    <r>
      <t>S</t>
    </r>
    <r>
      <rPr>
        <vertAlign val="subscript"/>
        <sz val="14"/>
        <color theme="1"/>
        <rFont val="Calibri"/>
        <family val="2"/>
        <scheme val="minor"/>
      </rPr>
      <t>2</t>
    </r>
  </si>
  <si>
    <r>
      <t>H</t>
    </r>
    <r>
      <rPr>
        <vertAlign val="subscript"/>
        <sz val="14"/>
        <color theme="1"/>
        <rFont val="Calibri"/>
        <family val="2"/>
        <scheme val="minor"/>
      </rPr>
      <t>2'</t>
    </r>
  </si>
  <si>
    <r>
      <t>S</t>
    </r>
    <r>
      <rPr>
        <vertAlign val="subscript"/>
        <sz val="14"/>
        <color theme="1"/>
        <rFont val="Calibri"/>
        <family val="2"/>
        <scheme val="minor"/>
      </rPr>
      <t>1</t>
    </r>
  </si>
  <si>
    <t>c</t>
  </si>
  <si>
    <r>
      <t>1) EOQ</t>
    </r>
    <r>
      <rPr>
        <vertAlign val="superscript"/>
        <sz val="14"/>
        <color theme="1"/>
        <rFont val="Calibri"/>
        <family val="2"/>
        <scheme val="minor"/>
      </rPr>
      <t>*</t>
    </r>
  </si>
  <si>
    <r>
      <t>2) d(K)</t>
    </r>
    <r>
      <rPr>
        <vertAlign val="superscript"/>
        <sz val="14"/>
        <color theme="1"/>
        <rFont val="Calibri"/>
        <family val="2"/>
        <scheme val="minor"/>
      </rPr>
      <t>*</t>
    </r>
  </si>
  <si>
    <t>3) KQ</t>
  </si>
  <si>
    <r>
      <t xml:space="preserve">4) </t>
    </r>
    <r>
      <rPr>
        <i/>
        <sz val="14"/>
        <color theme="1"/>
        <rFont val="AmeriGarmnd BT"/>
      </rPr>
      <t>k</t>
    </r>
    <r>
      <rPr>
        <sz val="14"/>
        <color theme="1"/>
        <rFont val="Calibri"/>
        <family val="2"/>
        <charset val="129"/>
        <scheme val="minor"/>
      </rPr>
      <t>KQ</t>
    </r>
  </si>
  <si>
    <t>K</t>
  </si>
  <si>
    <t>k</t>
  </si>
  <si>
    <t>before discount</t>
  </si>
  <si>
    <t>beforediscount</t>
  </si>
  <si>
    <t>the supplier's total annual profit in total(after discount)</t>
  </si>
  <si>
    <t>the buyer's annual cost in total(after discount)</t>
  </si>
  <si>
    <t>YNP</t>
  </si>
  <si>
    <t>k(before)</t>
  </si>
  <si>
    <t>purchase cost</t>
    <phoneticPr fontId="6" type="noConversion"/>
  </si>
  <si>
    <t>ordering cost</t>
    <phoneticPr fontId="6" type="noConversion"/>
  </si>
  <si>
    <t>holding cost</t>
    <phoneticPr fontId="6" type="noConversion"/>
  </si>
  <si>
    <t>total</t>
    <phoneticPr fontId="6" type="noConversion"/>
  </si>
  <si>
    <t>sum</t>
  </si>
  <si>
    <t>total</t>
  </si>
  <si>
    <t>revenue less discount</t>
  </si>
  <si>
    <t>production cost</t>
  </si>
  <si>
    <t>ordering cost</t>
  </si>
  <si>
    <t>holding cost</t>
  </si>
  <si>
    <t>revenue</t>
  </si>
  <si>
    <t>YNP(before)</t>
  </si>
  <si>
    <t>discount rate</t>
  </si>
  <si>
    <t>K(max constraint)</t>
  </si>
  <si>
    <t>Δ</t>
  </si>
  <si>
    <t>Lower bound(K max constraint is minimum)</t>
  </si>
  <si>
    <t>Lower bound(K max constraint is maximum)</t>
  </si>
  <si>
    <t>Upper bound of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</si>
</sst>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%"/>
  </numFmts>
  <fonts count="10">
    <font>
      <sz val="11"/>
      <color theme="1"/>
      <name val="Calibri"/>
      <family val="2"/>
      <charset val="129"/>
      <scheme val="minor"/>
    </font>
    <font>
      <sz val="14"/>
      <color theme="1"/>
      <name val="Calibri"/>
      <family val="2"/>
      <charset val="129"/>
      <scheme val="minor"/>
    </font>
    <font>
      <vertAlign val="subscript"/>
      <sz val="14"/>
      <color theme="1"/>
      <name val="Algerian"/>
      <family val="5"/>
    </font>
    <font>
      <vertAlign val="subscript"/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i/>
      <sz val="14"/>
      <color theme="1"/>
      <name val="AmeriGarmnd BT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5" fillId="0" borderId="0" xfId="0" applyFont="1"/>
    <xf numFmtId="0" fontId="0" fillId="0" borderId="0" xfId="0" applyNumberFormat="1"/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0" fontId="0" fillId="0" borderId="0" xfId="0" applyFont="1"/>
    <xf numFmtId="165" fontId="1" fillId="0" borderId="0" xfId="1" applyNumberFormat="1" applyFont="1"/>
    <xf numFmtId="165" fontId="0" fillId="0" borderId="0" xfId="1" applyNumberFormat="1" applyFont="1"/>
    <xf numFmtId="0" fontId="8" fillId="0" borderId="0" xfId="0" applyFont="1"/>
    <xf numFmtId="0" fontId="9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H3" sqref="H3"/>
    </sheetView>
  </sheetViews>
  <sheetFormatPr defaultRowHeight="15"/>
  <cols>
    <col min="1" max="1" width="5.7109375" customWidth="1"/>
    <col min="2" max="2" width="24.85546875" customWidth="1"/>
    <col min="3" max="3" width="14.28515625" customWidth="1"/>
    <col min="4" max="4" width="18.42578125" customWidth="1"/>
    <col min="5" max="5" width="18" customWidth="1"/>
    <col min="7" max="7" width="14.85546875" customWidth="1"/>
    <col min="8" max="8" width="14.5703125" customWidth="1"/>
    <col min="9" max="9" width="12.5703125" customWidth="1"/>
    <col min="10" max="10" width="13.7109375" customWidth="1"/>
    <col min="12" max="12" width="9" customWidth="1"/>
  </cols>
  <sheetData>
    <row r="1" spans="1:10" ht="18.75">
      <c r="A1" s="1"/>
      <c r="B1" s="1" t="s">
        <v>1</v>
      </c>
      <c r="C1" s="1"/>
      <c r="D1" s="1"/>
      <c r="E1" s="1"/>
      <c r="F1" s="1"/>
    </row>
    <row r="2" spans="1:10" ht="21">
      <c r="A2" s="1"/>
      <c r="B2" s="1" t="s">
        <v>4</v>
      </c>
      <c r="C2" s="1">
        <v>100</v>
      </c>
      <c r="D2" s="1" t="s">
        <v>0</v>
      </c>
      <c r="E2" s="1">
        <v>8000</v>
      </c>
      <c r="F2" s="1"/>
      <c r="G2" t="s">
        <v>22</v>
      </c>
      <c r="H2" s="5">
        <f>E2*C2-E2*C10-E2*E4/C14-(E6-1)*C12*C4*C2/2</f>
        <v>762934.00335431367</v>
      </c>
    </row>
    <row r="3" spans="1:10" ht="20.25">
      <c r="A3" s="1"/>
      <c r="B3" s="1" t="s">
        <v>5</v>
      </c>
      <c r="C3" s="1">
        <v>70</v>
      </c>
      <c r="D3" s="1" t="s">
        <v>6</v>
      </c>
      <c r="E3" s="1">
        <v>0.16</v>
      </c>
      <c r="F3" s="1"/>
      <c r="G3" t="s">
        <v>23</v>
      </c>
      <c r="H3">
        <v>3</v>
      </c>
    </row>
    <row r="4" spans="1:10" ht="20.25">
      <c r="A4" s="1"/>
      <c r="B4" s="1" t="s">
        <v>7</v>
      </c>
      <c r="C4" s="1">
        <v>0.17499999999999999</v>
      </c>
      <c r="D4" s="1" t="s">
        <v>8</v>
      </c>
      <c r="E4" s="1">
        <v>10000</v>
      </c>
      <c r="F4" s="1"/>
      <c r="G4" t="s">
        <v>37</v>
      </c>
      <c r="H4">
        <f>1+(C2-C3-H6)*((E2/(2*C6*E3*C2))^0.5)+((1+(C2-C3-H6)*((E2/(2*C6*E3*C2))^0.5))^2-1)^0.5</f>
        <v>3.3166247903553994</v>
      </c>
      <c r="I4">
        <f>1+(C2-C3)*((E2/(2*C6*E3*C2))^0.5)+((1+(C2-C3)*((E2/(2*C6*E3*C2))^0.5))^2-1)^0.5</f>
        <v>31.968719422671313</v>
      </c>
      <c r="J4" t="e">
        <f>((E4/C6)*(E3/C4)/(E6*(E6-1)))^0.5</f>
        <v>#DIV/0!</v>
      </c>
    </row>
    <row r="5" spans="1:10" ht="20.25">
      <c r="A5" s="1"/>
      <c r="B5" s="1" t="s">
        <v>9</v>
      </c>
      <c r="C5" s="1">
        <v>0.25</v>
      </c>
      <c r="D5" s="1" t="s">
        <v>16</v>
      </c>
      <c r="E5" s="7">
        <f>((1+E4/(E6*C6))/(1+(E6-1)*C4/E3))^0.5</f>
        <v>3.3166247903553998</v>
      </c>
      <c r="F5" s="1"/>
      <c r="G5" t="s">
        <v>41</v>
      </c>
      <c r="H5">
        <f>(E4/C6)*(E3/C4)</f>
        <v>9.1428571428571441</v>
      </c>
      <c r="I5" t="s">
        <v>39</v>
      </c>
      <c r="J5">
        <f>(E4/C6)*(E3/C4)/(H4*H4)</f>
        <v>0.83116883116883156</v>
      </c>
    </row>
    <row r="6" spans="1:10" ht="20.25">
      <c r="A6" s="1"/>
      <c r="B6" s="1" t="s">
        <v>10</v>
      </c>
      <c r="C6" s="1">
        <v>1000</v>
      </c>
      <c r="D6" s="3" t="s">
        <v>17</v>
      </c>
      <c r="E6" s="1">
        <v>1</v>
      </c>
      <c r="F6" s="1"/>
      <c r="G6" s="11" t="s">
        <v>38</v>
      </c>
      <c r="H6" s="5">
        <f>C2-C3-C10</f>
        <v>28.381863865066837</v>
      </c>
      <c r="I6" t="s">
        <v>40</v>
      </c>
      <c r="J6">
        <f>(E4/C6)*(E3/C4)/(I4*I4)</f>
        <v>8.9460527361465581E-3</v>
      </c>
    </row>
    <row r="7" spans="1:10" ht="18.75">
      <c r="A7" s="1"/>
      <c r="B7" s="1"/>
      <c r="C7" s="1"/>
      <c r="D7" s="1"/>
      <c r="E7" s="1"/>
      <c r="F7" s="1"/>
    </row>
    <row r="8" spans="1:10" ht="21">
      <c r="A8" s="1" t="s">
        <v>2</v>
      </c>
      <c r="B8" s="1" t="s">
        <v>12</v>
      </c>
      <c r="C8" s="1">
        <f>(2*E2*C6/(E3*C2))^0.5</f>
        <v>1000</v>
      </c>
      <c r="D8" s="1"/>
      <c r="E8" s="1"/>
      <c r="F8" s="1"/>
    </row>
    <row r="9" spans="1:10" ht="18.75">
      <c r="A9" s="1"/>
      <c r="B9" s="1"/>
      <c r="C9" s="1"/>
      <c r="D9" s="1"/>
      <c r="E9" s="1"/>
      <c r="F9" s="1"/>
    </row>
    <row r="10" spans="1:10" ht="21">
      <c r="A10" s="1"/>
      <c r="B10" s="1" t="s">
        <v>13</v>
      </c>
      <c r="C10" s="7">
        <f>((2*C6*E3*C2/E2)^0.5)*(E5-1)^2/(2*E5)</f>
        <v>1.6181361349331636</v>
      </c>
      <c r="D10" s="1" t="s">
        <v>36</v>
      </c>
      <c r="E10" s="9">
        <f>C10/C2</f>
        <v>1.6181361349331635E-2</v>
      </c>
      <c r="F10" s="1"/>
    </row>
    <row r="11" spans="1:10" ht="18.75">
      <c r="A11" s="1"/>
      <c r="C11" s="1"/>
      <c r="D11" s="1"/>
      <c r="E11" s="1"/>
      <c r="F11" s="1"/>
    </row>
    <row r="12" spans="1:10" ht="18.75">
      <c r="A12" s="1"/>
      <c r="B12" s="1" t="s">
        <v>14</v>
      </c>
      <c r="C12" s="1">
        <f>E5*C8</f>
        <v>3316.6247903553999</v>
      </c>
      <c r="D12" s="1"/>
      <c r="E12" s="1"/>
      <c r="F12" s="1"/>
    </row>
    <row r="13" spans="1:10" ht="18.75">
      <c r="A13" s="1"/>
      <c r="C13" s="1"/>
      <c r="D13" s="1"/>
      <c r="E13" s="1"/>
      <c r="F13" s="1"/>
    </row>
    <row r="14" spans="1:10" ht="18.75">
      <c r="A14" s="1"/>
      <c r="B14" s="1" t="s">
        <v>15</v>
      </c>
      <c r="C14" s="7">
        <f>E6*E5*C8</f>
        <v>3316.6247903553999</v>
      </c>
      <c r="D14" s="1"/>
      <c r="E14" s="1"/>
      <c r="F14" s="1"/>
    </row>
    <row r="15" spans="1:10" ht="18.75">
      <c r="A15" s="2"/>
      <c r="B15" s="1"/>
      <c r="C15" s="1"/>
      <c r="D15" s="1"/>
      <c r="E15" s="1"/>
      <c r="F15" s="1"/>
    </row>
    <row r="16" spans="1:10" ht="18.75">
      <c r="A16" s="1" t="s">
        <v>3</v>
      </c>
      <c r="B16" s="1" t="s">
        <v>21</v>
      </c>
      <c r="C16" s="1"/>
      <c r="D16" s="1"/>
      <c r="E16" s="1"/>
      <c r="F16" s="1"/>
      <c r="J16" t="s">
        <v>18</v>
      </c>
    </row>
    <row r="17" spans="1:12" ht="18.75">
      <c r="A17" s="1"/>
      <c r="B17" s="1" t="s">
        <v>24</v>
      </c>
      <c r="C17" s="8">
        <f>E2*C2-E2*C10</f>
        <v>787054.91092053475</v>
      </c>
      <c r="D17" t="s">
        <v>27</v>
      </c>
      <c r="E17" s="7">
        <f>E2*C2-E2*C10+C12*E3*C2/2+E2*C6/C12</f>
        <v>816000.00000000012</v>
      </c>
      <c r="F17" s="1"/>
      <c r="G17" s="12" t="s">
        <v>24</v>
      </c>
      <c r="H17">
        <f>C2*E2</f>
        <v>800000</v>
      </c>
      <c r="I17" t="s">
        <v>29</v>
      </c>
      <c r="J17" s="6">
        <f>E2*C2+C8*E3*C2/2+E2*C6/C8</f>
        <v>816000</v>
      </c>
    </row>
    <row r="18" spans="1:12" ht="18.75">
      <c r="B18" s="1" t="s">
        <v>25</v>
      </c>
      <c r="C18" s="5">
        <f>E2*C6/C12</f>
        <v>2412.090756622109</v>
      </c>
      <c r="D18" t="s">
        <v>28</v>
      </c>
      <c r="E18" s="5">
        <f>SUM(C17:C19)</f>
        <v>816000.00000000012</v>
      </c>
      <c r="G18" s="12" t="s">
        <v>25</v>
      </c>
      <c r="H18">
        <f>C8*E3*C2/2</f>
        <v>8000</v>
      </c>
      <c r="I18" t="s">
        <v>28</v>
      </c>
      <c r="J18">
        <f>SUM(H17:H19)</f>
        <v>816000</v>
      </c>
    </row>
    <row r="19" spans="1:12" ht="18.75">
      <c r="A19" s="1"/>
      <c r="B19" s="1" t="s">
        <v>26</v>
      </c>
      <c r="C19" s="5">
        <f>C12*E3*C2/2</f>
        <v>26532.998322843203</v>
      </c>
      <c r="G19" s="12" t="s">
        <v>26</v>
      </c>
      <c r="H19">
        <f>E2*C6/C8</f>
        <v>8000</v>
      </c>
      <c r="L19" s="4"/>
    </row>
    <row r="20" spans="1:12" ht="18.75">
      <c r="B20" s="1" t="s">
        <v>20</v>
      </c>
      <c r="J20" t="s">
        <v>19</v>
      </c>
    </row>
    <row r="21" spans="1:12" ht="18.75">
      <c r="B21" s="1" t="s">
        <v>30</v>
      </c>
      <c r="C21">
        <f>E2*C2-E2*C10</f>
        <v>787054.91092053475</v>
      </c>
      <c r="D21" t="s">
        <v>29</v>
      </c>
      <c r="E21">
        <f>E2*C2-E2*C10-E2*C3-E2*E4/C14-(E6-1)*C12*C4*C2/2</f>
        <v>202934.00335431367</v>
      </c>
      <c r="G21" t="s">
        <v>34</v>
      </c>
      <c r="H21">
        <f>E2*C2</f>
        <v>800000</v>
      </c>
      <c r="I21" t="s">
        <v>29</v>
      </c>
      <c r="J21">
        <f>E2*C2-E2*E4/(C8*H3)-(H3-1)*C8*C4*C2/2-E2*C3</f>
        <v>195833.33333333337</v>
      </c>
    </row>
    <row r="22" spans="1:12" ht="18.75">
      <c r="B22" s="1" t="s">
        <v>31</v>
      </c>
      <c r="C22">
        <f>E2*C3</f>
        <v>560000</v>
      </c>
      <c r="D22" t="s">
        <v>28</v>
      </c>
      <c r="E22">
        <f>C21-C22-C23-C24</f>
        <v>202934.00335431367</v>
      </c>
      <c r="G22" t="s">
        <v>31</v>
      </c>
      <c r="H22">
        <f>E2*C3</f>
        <v>560000</v>
      </c>
      <c r="I22" t="s">
        <v>28</v>
      </c>
      <c r="J22">
        <f>H21-H22-H23-H24</f>
        <v>195833.33333333334</v>
      </c>
    </row>
    <row r="23" spans="1:12" ht="18.75">
      <c r="B23" s="1" t="s">
        <v>32</v>
      </c>
      <c r="C23" s="5">
        <f>E2*E4/C14</f>
        <v>24120.907566221089</v>
      </c>
      <c r="D23" t="s">
        <v>22</v>
      </c>
      <c r="E23" s="5">
        <f>C21-C23-C24</f>
        <v>762934.00335431367</v>
      </c>
      <c r="G23" t="s">
        <v>32</v>
      </c>
      <c r="H23" s="5">
        <f>E2*E4/(H3*C8)</f>
        <v>26666.666666666668</v>
      </c>
      <c r="I23" t="s">
        <v>35</v>
      </c>
      <c r="J23" s="5">
        <f>H21-H23-H24</f>
        <v>755833.33333333337</v>
      </c>
    </row>
    <row r="24" spans="1:12" ht="18.75">
      <c r="B24" s="1" t="s">
        <v>33</v>
      </c>
      <c r="C24">
        <f>(E6-1)*C12*C4*C2/2</f>
        <v>0</v>
      </c>
      <c r="G24" t="s">
        <v>33</v>
      </c>
      <c r="H24">
        <f>(H3-1)*C8*C4*C2/2</f>
        <v>17500</v>
      </c>
    </row>
    <row r="26" spans="1:12" ht="18.75">
      <c r="A26" s="1" t="s">
        <v>11</v>
      </c>
      <c r="B26" s="10">
        <f>(E21-J21)/J21</f>
        <v>3.6258740532665326E-2</v>
      </c>
    </row>
  </sheetData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H5" sqref="H5"/>
    </sheetView>
  </sheetViews>
  <sheetFormatPr defaultRowHeight="15"/>
  <cols>
    <col min="1" max="1" width="5.7109375" customWidth="1"/>
    <col min="2" max="2" width="24.85546875" customWidth="1"/>
    <col min="3" max="3" width="14.28515625" customWidth="1"/>
    <col min="4" max="4" width="18.42578125" customWidth="1"/>
    <col min="5" max="5" width="18" customWidth="1"/>
    <col min="7" max="7" width="14.85546875" customWidth="1"/>
    <col min="8" max="8" width="14.5703125" customWidth="1"/>
    <col min="9" max="9" width="12.5703125" customWidth="1"/>
    <col min="10" max="10" width="13.7109375" customWidth="1"/>
    <col min="12" max="12" width="9" customWidth="1"/>
  </cols>
  <sheetData>
    <row r="1" spans="1:10" ht="18.75">
      <c r="A1" s="1"/>
      <c r="B1" s="1" t="s">
        <v>1</v>
      </c>
      <c r="C1" s="1"/>
      <c r="D1" s="1"/>
      <c r="E1" s="1"/>
      <c r="F1" s="1"/>
    </row>
    <row r="2" spans="1:10" ht="21">
      <c r="A2" s="1"/>
      <c r="B2" s="1" t="s">
        <v>4</v>
      </c>
      <c r="C2" s="1">
        <v>100</v>
      </c>
      <c r="D2" s="1" t="s">
        <v>0</v>
      </c>
      <c r="E2" s="1">
        <v>6400</v>
      </c>
      <c r="F2" s="1"/>
      <c r="G2" t="s">
        <v>22</v>
      </c>
      <c r="H2" s="5">
        <f>E2*C2-E2*C10-E2*E4/C14-(E6-1)*C12*C4*C2/2</f>
        <v>592125.12230931479</v>
      </c>
    </row>
    <row r="3" spans="1:10" ht="20.25">
      <c r="A3" s="1"/>
      <c r="B3" s="1" t="s">
        <v>5</v>
      </c>
      <c r="C3" s="1">
        <v>70</v>
      </c>
      <c r="D3" s="1" t="s">
        <v>6</v>
      </c>
      <c r="E3" s="1">
        <v>0.2</v>
      </c>
      <c r="F3" s="1"/>
      <c r="G3" t="s">
        <v>23</v>
      </c>
      <c r="H3">
        <v>4</v>
      </c>
    </row>
    <row r="4" spans="1:10" ht="20.25">
      <c r="A4" s="1"/>
      <c r="B4" s="1" t="s">
        <v>7</v>
      </c>
      <c r="C4" s="1">
        <v>0.17499999999999999</v>
      </c>
      <c r="D4" s="1" t="s">
        <v>8</v>
      </c>
      <c r="E4" s="1">
        <v>15000</v>
      </c>
      <c r="F4" s="1"/>
      <c r="G4" t="s">
        <v>37</v>
      </c>
      <c r="H4">
        <f>1+(C2-C3-H6)*((E2/(2*C6*E3*C2))^0.5)+((1+(C2-C3-H6)*((E2/(2*C6*E3*C2))^0.5))^2-1)^0.5</f>
        <v>2.1291625896895083</v>
      </c>
      <c r="I4">
        <f>1+(C2-C3)*((E2/(2*C6*E3*C2))^0.5)+((1+(C2-C3)*((E2/(2*C6*E3*C2))^0.5))^2-1)^0.5</f>
        <v>25.961481396815721</v>
      </c>
      <c r="J4">
        <f>((E4/C6)*(E3/C4)/(E6*(E6-1)))^0.5</f>
        <v>2.9277002188455996</v>
      </c>
    </row>
    <row r="5" spans="1:10" ht="20.25">
      <c r="A5" s="1"/>
      <c r="B5" s="1" t="s">
        <v>9</v>
      </c>
      <c r="C5" s="1">
        <v>0.25</v>
      </c>
      <c r="D5" s="1" t="s">
        <v>16</v>
      </c>
      <c r="E5" s="7">
        <f>((1+E4/(E6*C6))/(1+(E6-1)*C4/E3))^0.5</f>
        <v>2.1291625896895083</v>
      </c>
      <c r="F5" s="1"/>
      <c r="G5" t="s">
        <v>41</v>
      </c>
      <c r="H5">
        <f>(E4/C6)*(E3/C4)</f>
        <v>17.142857142857146</v>
      </c>
      <c r="I5" t="s">
        <v>39</v>
      </c>
      <c r="J5">
        <f>(E4/C6)*(E3/C4)/(H4*H4)</f>
        <v>3.7815126050420176</v>
      </c>
    </row>
    <row r="6" spans="1:10" ht="20.25">
      <c r="A6" s="1"/>
      <c r="B6" s="1" t="s">
        <v>10</v>
      </c>
      <c r="C6" s="1">
        <v>1000</v>
      </c>
      <c r="D6" s="3" t="s">
        <v>17</v>
      </c>
      <c r="E6" s="1">
        <v>2</v>
      </c>
      <c r="F6" s="1"/>
      <c r="G6" s="11" t="s">
        <v>38</v>
      </c>
      <c r="H6" s="5">
        <f>C2-C3-C10</f>
        <v>29.251461489995787</v>
      </c>
      <c r="I6" t="s">
        <v>40</v>
      </c>
      <c r="J6">
        <f>(E4/C6)*(E3/C4)/(I4*I4)</f>
        <v>2.5434562136022684E-2</v>
      </c>
    </row>
    <row r="7" spans="1:10" ht="18.75">
      <c r="A7" s="1"/>
      <c r="B7" s="1"/>
      <c r="C7" s="1"/>
      <c r="D7" s="1"/>
      <c r="E7" s="1"/>
      <c r="F7" s="1"/>
    </row>
    <row r="8" spans="1:10" ht="21">
      <c r="A8" s="1" t="s">
        <v>2</v>
      </c>
      <c r="B8" s="1" t="s">
        <v>12</v>
      </c>
      <c r="C8" s="1">
        <f>(2*E2*C6/(E3*C2))^0.5</f>
        <v>800</v>
      </c>
      <c r="D8" s="1"/>
      <c r="E8" s="1"/>
      <c r="F8" s="1"/>
    </row>
    <row r="9" spans="1:10" ht="18.75">
      <c r="A9" s="1"/>
      <c r="B9" s="1"/>
      <c r="C9" s="1"/>
      <c r="D9" s="1"/>
      <c r="E9" s="1"/>
      <c r="F9" s="1"/>
    </row>
    <row r="10" spans="1:10" ht="21">
      <c r="A10" s="1"/>
      <c r="B10" s="1" t="s">
        <v>13</v>
      </c>
      <c r="C10" s="7">
        <f>((2*C6*E3*C2/E2)^0.5)*(E5-1)^2/(2*E5)</f>
        <v>0.74853851000421312</v>
      </c>
      <c r="D10" s="1" t="s">
        <v>36</v>
      </c>
      <c r="E10" s="9">
        <f>C10/C2</f>
        <v>7.4853851000421315E-3</v>
      </c>
      <c r="F10" s="1"/>
    </row>
    <row r="11" spans="1:10" ht="18.75">
      <c r="A11" s="1"/>
      <c r="C11" s="1"/>
      <c r="D11" s="1"/>
      <c r="E11" s="1"/>
      <c r="F11" s="1"/>
    </row>
    <row r="12" spans="1:10" ht="18.75">
      <c r="A12" s="1"/>
      <c r="B12" s="1" t="s">
        <v>14</v>
      </c>
      <c r="C12" s="1">
        <f>E5*C8</f>
        <v>1703.3300717516067</v>
      </c>
      <c r="D12" s="1"/>
      <c r="E12" s="1"/>
      <c r="F12" s="1"/>
    </row>
    <row r="13" spans="1:10" ht="18.75">
      <c r="A13" s="1"/>
      <c r="C13" s="1"/>
      <c r="D13" s="1"/>
      <c r="E13" s="1"/>
      <c r="F13" s="1"/>
    </row>
    <row r="14" spans="1:10" ht="18.75">
      <c r="A14" s="1"/>
      <c r="B14" s="1" t="s">
        <v>15</v>
      </c>
      <c r="C14" s="7">
        <f>E6*E5*C8</f>
        <v>3406.6601435032135</v>
      </c>
      <c r="D14" s="1"/>
      <c r="E14" s="1"/>
      <c r="F14" s="1"/>
    </row>
    <row r="15" spans="1:10" ht="18.75">
      <c r="A15" s="2"/>
      <c r="B15" s="1"/>
      <c r="C15" s="1"/>
      <c r="D15" s="1"/>
      <c r="E15" s="1"/>
      <c r="F15" s="1"/>
    </row>
    <row r="16" spans="1:10" ht="18.75">
      <c r="A16" s="1" t="s">
        <v>3</v>
      </c>
      <c r="B16" s="1" t="s">
        <v>21</v>
      </c>
      <c r="C16" s="1"/>
      <c r="D16" s="1"/>
      <c r="E16" s="1"/>
      <c r="F16" s="1"/>
      <c r="J16" t="s">
        <v>18</v>
      </c>
    </row>
    <row r="17" spans="1:12" ht="18.75">
      <c r="A17" s="1"/>
      <c r="B17" s="1" t="s">
        <v>24</v>
      </c>
      <c r="C17" s="8">
        <f>E2*C2-E2*C10</f>
        <v>635209.353535973</v>
      </c>
      <c r="D17" t="s">
        <v>27</v>
      </c>
      <c r="E17" s="7">
        <f>E2*C2-E2*C10+C12*E3*C2/2+E2*C6/C12</f>
        <v>656000</v>
      </c>
      <c r="F17" s="1"/>
      <c r="G17" s="12" t="s">
        <v>24</v>
      </c>
      <c r="H17">
        <f>C2*E2</f>
        <v>640000</v>
      </c>
      <c r="I17" t="s">
        <v>29</v>
      </c>
      <c r="J17" s="6">
        <f>E2*C2+C8*E3*C2/2+E2*C6/C8</f>
        <v>656000</v>
      </c>
    </row>
    <row r="18" spans="1:12" ht="18.75">
      <c r="B18" s="1" t="s">
        <v>25</v>
      </c>
      <c r="C18" s="5">
        <f>E2*C6/C12</f>
        <v>3757.3457465108968</v>
      </c>
      <c r="D18" t="s">
        <v>28</v>
      </c>
      <c r="E18" s="5">
        <f>SUM(C17:C19)</f>
        <v>656000</v>
      </c>
      <c r="G18" s="12" t="s">
        <v>25</v>
      </c>
      <c r="H18">
        <f>C8*E3*C2/2</f>
        <v>8000</v>
      </c>
      <c r="I18" t="s">
        <v>28</v>
      </c>
      <c r="J18">
        <f>SUM(H17:H19)</f>
        <v>656000</v>
      </c>
    </row>
    <row r="19" spans="1:12" ht="18.75">
      <c r="A19" s="1"/>
      <c r="B19" s="1" t="s">
        <v>26</v>
      </c>
      <c r="C19" s="5">
        <f>C12*E3*C2/2</f>
        <v>17033.300717516067</v>
      </c>
      <c r="G19" s="12" t="s">
        <v>26</v>
      </c>
      <c r="H19">
        <f>E2*C6/C8</f>
        <v>8000</v>
      </c>
      <c r="L19" s="4"/>
    </row>
    <row r="20" spans="1:12" ht="18.75">
      <c r="B20" s="1" t="s">
        <v>20</v>
      </c>
      <c r="J20" t="s">
        <v>19</v>
      </c>
    </row>
    <row r="21" spans="1:12" ht="18.75">
      <c r="B21" s="1" t="s">
        <v>30</v>
      </c>
      <c r="C21">
        <f>E2*C2-E2*C10</f>
        <v>635209.353535973</v>
      </c>
      <c r="D21" t="s">
        <v>29</v>
      </c>
      <c r="E21">
        <f>E2*C2-E2*C10-E2*C3-E2*E4/C14-(E6-1)*C12*C4*C2/2</f>
        <v>144125.12230931473</v>
      </c>
      <c r="G21" t="s">
        <v>34</v>
      </c>
      <c r="H21">
        <f>E2*C2</f>
        <v>640000</v>
      </c>
      <c r="I21" t="s">
        <v>29</v>
      </c>
      <c r="J21">
        <f>E2*C2-E2*E4/(C8*H3)-(H3-1)*C8*C4*C2/2-E2*C3</f>
        <v>141000</v>
      </c>
    </row>
    <row r="22" spans="1:12" ht="18.75">
      <c r="B22" s="1" t="s">
        <v>31</v>
      </c>
      <c r="C22">
        <f>E2*C3</f>
        <v>448000</v>
      </c>
      <c r="D22" t="s">
        <v>28</v>
      </c>
      <c r="E22">
        <f>C21-C22-C23-C24</f>
        <v>144125.12230931473</v>
      </c>
      <c r="G22" t="s">
        <v>31</v>
      </c>
      <c r="H22">
        <f>E2*C3</f>
        <v>448000</v>
      </c>
      <c r="I22" t="s">
        <v>28</v>
      </c>
      <c r="J22">
        <f>H21-H22-H23-H24</f>
        <v>141000</v>
      </c>
    </row>
    <row r="23" spans="1:12" ht="18.75">
      <c r="B23" s="1" t="s">
        <v>32</v>
      </c>
      <c r="C23" s="5">
        <f>E2*E4/C14</f>
        <v>28180.093098831723</v>
      </c>
      <c r="D23" t="s">
        <v>22</v>
      </c>
      <c r="E23" s="5">
        <f>C21-C23-C24</f>
        <v>592125.12230931479</v>
      </c>
      <c r="G23" t="s">
        <v>32</v>
      </c>
      <c r="H23">
        <f>E2*E4/(H3*C8)</f>
        <v>30000</v>
      </c>
      <c r="I23" t="s">
        <v>35</v>
      </c>
      <c r="J23" s="5">
        <f>H21-H23-H24</f>
        <v>589000</v>
      </c>
    </row>
    <row r="24" spans="1:12" ht="18.75">
      <c r="B24" s="1" t="s">
        <v>33</v>
      </c>
      <c r="C24" s="5">
        <f>(E6-1)*C12*C4*C2/2</f>
        <v>14904.138127826558</v>
      </c>
      <c r="G24" t="s">
        <v>33</v>
      </c>
      <c r="H24">
        <f>(H3-1)*C8*C4*C2/2</f>
        <v>21000</v>
      </c>
    </row>
    <row r="26" spans="1:12" ht="18.75">
      <c r="A26" s="1" t="s">
        <v>11</v>
      </c>
      <c r="B26" s="10">
        <f>(E21-J21)/J21</f>
        <v>2.2163988009324308E-2</v>
      </c>
    </row>
  </sheetData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E15" sqref="E15"/>
    </sheetView>
  </sheetViews>
  <sheetFormatPr defaultRowHeight="15"/>
  <cols>
    <col min="1" max="1" width="5.7109375" customWidth="1"/>
    <col min="2" max="2" width="24.85546875" customWidth="1"/>
    <col min="3" max="3" width="14.28515625" customWidth="1"/>
    <col min="4" max="4" width="18.42578125" customWidth="1"/>
    <col min="5" max="5" width="18" customWidth="1"/>
    <col min="7" max="7" width="14.85546875" customWidth="1"/>
    <col min="8" max="8" width="14.5703125" customWidth="1"/>
    <col min="9" max="9" width="12.5703125" customWidth="1"/>
    <col min="10" max="10" width="13.7109375" customWidth="1"/>
    <col min="12" max="12" width="9" customWidth="1"/>
  </cols>
  <sheetData>
    <row r="1" spans="1:10" ht="18.75">
      <c r="A1" s="1"/>
      <c r="B1" s="1" t="s">
        <v>1</v>
      </c>
      <c r="C1" s="1"/>
      <c r="D1" s="1"/>
      <c r="E1" s="1"/>
      <c r="F1" s="1"/>
    </row>
    <row r="2" spans="1:10" ht="21">
      <c r="A2" s="1"/>
      <c r="B2" s="1" t="s">
        <v>4</v>
      </c>
      <c r="C2" s="1">
        <v>100</v>
      </c>
      <c r="D2" s="1" t="s">
        <v>0</v>
      </c>
      <c r="E2" s="1">
        <v>4800</v>
      </c>
      <c r="F2" s="1"/>
      <c r="G2" t="s">
        <v>22</v>
      </c>
      <c r="H2" s="5">
        <f>E2*C2-E2*C10-E2*E4/C14-(E6-1)*C12*C4*C2/2</f>
        <v>428794.25666417438</v>
      </c>
    </row>
    <row r="3" spans="1:10" ht="20.25">
      <c r="A3" s="1"/>
      <c r="B3" s="1" t="s">
        <v>5</v>
      </c>
      <c r="C3" s="1">
        <v>70</v>
      </c>
      <c r="D3" s="1" t="s">
        <v>6</v>
      </c>
      <c r="E3" s="1">
        <v>0.26</v>
      </c>
      <c r="F3" s="1"/>
      <c r="G3" t="s">
        <v>23</v>
      </c>
      <c r="H3">
        <v>5</v>
      </c>
    </row>
    <row r="4" spans="1:10" ht="20.25">
      <c r="A4" s="1"/>
      <c r="B4" s="1" t="s">
        <v>7</v>
      </c>
      <c r="C4" s="1">
        <v>0.17499999999999999</v>
      </c>
      <c r="D4" s="1" t="s">
        <v>8</v>
      </c>
      <c r="E4" s="1">
        <v>20000</v>
      </c>
      <c r="F4" s="1"/>
      <c r="G4" t="s">
        <v>37</v>
      </c>
      <c r="H4">
        <f>1+(C2-C3-H6)*((E2/(2*C6*E3*C2))^0.5)+((1+(C2-C3-H6)*((E2/(2*C6*E3*C2))^0.5))^2-1)^0.5</f>
        <v>1.8076945435668978</v>
      </c>
      <c r="I4">
        <f>1+(C2-C3)*((E2/(2*C6*E3*C2))^0.5)+((1+(C2-C3)*((E2/(2*C6*E3*C2))^0.5))^2-1)^0.5</f>
        <v>20.179753989520105</v>
      </c>
      <c r="J4">
        <f>((E4/C6)*(E3/C4)/(E6*(E6-1)))^0.5</f>
        <v>2.2253945610567474</v>
      </c>
    </row>
    <row r="5" spans="1:10" ht="20.25">
      <c r="A5" s="1"/>
      <c r="B5" s="1" t="s">
        <v>9</v>
      </c>
      <c r="C5" s="1">
        <v>0.25</v>
      </c>
      <c r="D5" s="1" t="s">
        <v>16</v>
      </c>
      <c r="E5" s="7">
        <f>((1+E4/(E6*C6))/(1+(E6-1)*C4/E3))^0.5</f>
        <v>1.8076945435668965</v>
      </c>
      <c r="F5" s="1"/>
      <c r="G5" t="s">
        <v>41</v>
      </c>
      <c r="H5">
        <f>(E4/C6)*(E3/C4)</f>
        <v>29.714285714285715</v>
      </c>
      <c r="I5" t="s">
        <v>39</v>
      </c>
      <c r="J5">
        <f>(E4/C6)*(E3/C4)/(H4*H4)</f>
        <v>9.0931677018633401</v>
      </c>
    </row>
    <row r="6" spans="1:10" ht="20.25">
      <c r="A6" s="1"/>
      <c r="B6" s="1" t="s">
        <v>10</v>
      </c>
      <c r="C6" s="1">
        <v>1000</v>
      </c>
      <c r="D6" s="3" t="s">
        <v>17</v>
      </c>
      <c r="E6" s="1">
        <v>3</v>
      </c>
      <c r="F6" s="1"/>
      <c r="G6" s="11" t="s">
        <v>38</v>
      </c>
      <c r="H6" s="5">
        <f>C2-C3-C10</f>
        <v>29.406090450589005</v>
      </c>
      <c r="I6" t="s">
        <v>40</v>
      </c>
      <c r="J6">
        <f>(E4/C6)*(E3/C4)/(I4*I4)</f>
        <v>7.2968187722201719E-2</v>
      </c>
    </row>
    <row r="7" spans="1:10" ht="18.75">
      <c r="A7" s="1"/>
      <c r="B7" s="1"/>
      <c r="C7" s="1"/>
      <c r="D7" s="1"/>
      <c r="E7" s="1"/>
      <c r="F7" s="1"/>
    </row>
    <row r="8" spans="1:10" ht="21">
      <c r="A8" s="1" t="s">
        <v>2</v>
      </c>
      <c r="B8" s="1" t="s">
        <v>12</v>
      </c>
      <c r="C8" s="7">
        <f>(2*E2*C6/(E3*C2))^0.5</f>
        <v>607.6436202502</v>
      </c>
      <c r="D8" s="1"/>
      <c r="E8" s="1"/>
      <c r="F8" s="1"/>
    </row>
    <row r="9" spans="1:10" ht="18.75">
      <c r="A9" s="1"/>
      <c r="B9" s="1"/>
      <c r="C9" s="1"/>
      <c r="D9" s="1"/>
      <c r="E9" s="1"/>
      <c r="F9" s="1"/>
    </row>
    <row r="10" spans="1:10" ht="21">
      <c r="A10" s="1"/>
      <c r="B10" s="1" t="s">
        <v>13</v>
      </c>
      <c r="C10" s="7">
        <f>((2*C6*E3*C2/E2)^0.5)*(E5-1)^2/(2*E5)</f>
        <v>0.5939095494109935</v>
      </c>
      <c r="D10" s="1" t="s">
        <v>36</v>
      </c>
      <c r="E10" s="9">
        <f>C10/C2</f>
        <v>5.9390954941099354E-3</v>
      </c>
      <c r="F10" s="1"/>
    </row>
    <row r="11" spans="1:10" ht="18.75">
      <c r="A11" s="1"/>
      <c r="C11" s="1"/>
      <c r="D11" s="1"/>
      <c r="E11" s="1"/>
      <c r="F11" s="1"/>
    </row>
    <row r="12" spans="1:10" ht="18.75">
      <c r="A12" s="1"/>
      <c r="B12" s="1" t="s">
        <v>14</v>
      </c>
      <c r="C12" s="1">
        <f>E5*C8</f>
        <v>1098.4340567595218</v>
      </c>
      <c r="D12" s="1"/>
      <c r="E12" s="1"/>
      <c r="F12" s="1"/>
    </row>
    <row r="13" spans="1:10" ht="18.75">
      <c r="A13" s="1"/>
      <c r="C13" s="1"/>
      <c r="D13" s="1"/>
      <c r="E13" s="1"/>
      <c r="F13" s="1"/>
    </row>
    <row r="14" spans="1:10" ht="18.75">
      <c r="A14" s="1"/>
      <c r="B14" s="1" t="s">
        <v>15</v>
      </c>
      <c r="C14" s="7">
        <f>E6*E5*C8</f>
        <v>3295.3021702785659</v>
      </c>
      <c r="D14" s="1"/>
      <c r="E14" s="1"/>
      <c r="F14" s="1"/>
    </row>
    <row r="15" spans="1:10" ht="18.75">
      <c r="A15" s="2"/>
      <c r="B15" s="1"/>
      <c r="C15" s="1"/>
      <c r="D15" s="1"/>
      <c r="E15" s="1"/>
      <c r="F15" s="1"/>
    </row>
    <row r="16" spans="1:10" ht="18.75">
      <c r="A16" s="1" t="s">
        <v>3</v>
      </c>
      <c r="B16" s="1" t="s">
        <v>21</v>
      </c>
      <c r="C16" s="1"/>
      <c r="D16" s="1"/>
      <c r="E16" s="1"/>
      <c r="F16" s="1"/>
      <c r="J16" t="s">
        <v>18</v>
      </c>
    </row>
    <row r="17" spans="1:12" ht="18.75">
      <c r="A17" s="1"/>
      <c r="B17" s="1" t="s">
        <v>24</v>
      </c>
      <c r="C17" s="8">
        <f>E2*C2-E2*C10</f>
        <v>477149.23416282726</v>
      </c>
      <c r="D17" t="s">
        <v>27</v>
      </c>
      <c r="E17" s="7">
        <f>E2*C2-E2*C10+C12*E3*C2/2+E2*C6/C12</f>
        <v>495798.73412650521</v>
      </c>
      <c r="F17" s="1"/>
      <c r="G17" s="12" t="s">
        <v>24</v>
      </c>
      <c r="H17">
        <f>C2*E2</f>
        <v>480000</v>
      </c>
      <c r="I17" t="s">
        <v>29</v>
      </c>
      <c r="J17" s="5">
        <f>E2*C2+C8*E3*C2/2+E2*C6/C8</f>
        <v>495798.73412650521</v>
      </c>
    </row>
    <row r="18" spans="1:12" ht="18.75">
      <c r="B18" s="1" t="s">
        <v>25</v>
      </c>
      <c r="C18" s="5">
        <f>E2*C6/C12</f>
        <v>4369.8572258041841</v>
      </c>
      <c r="D18" t="s">
        <v>28</v>
      </c>
      <c r="E18" s="5">
        <f>SUM(C17:C19)</f>
        <v>495798.73412650521</v>
      </c>
      <c r="G18" s="12" t="s">
        <v>25</v>
      </c>
      <c r="H18" s="5">
        <f>C8*E3*C2/2</f>
        <v>7899.3670632526009</v>
      </c>
      <c r="I18" t="s">
        <v>28</v>
      </c>
      <c r="J18">
        <f>SUM(H17:H19)</f>
        <v>495798.73412650521</v>
      </c>
    </row>
    <row r="19" spans="1:12" ht="18.75">
      <c r="A19" s="1"/>
      <c r="B19" s="1" t="s">
        <v>26</v>
      </c>
      <c r="C19" s="5">
        <f>C12*E3*C2/2</f>
        <v>14279.642737873783</v>
      </c>
      <c r="G19" s="12" t="s">
        <v>26</v>
      </c>
      <c r="H19" s="5">
        <f>E2*C6/C8</f>
        <v>7899.3670632525991</v>
      </c>
      <c r="L19" s="4"/>
    </row>
    <row r="20" spans="1:12" ht="18.75">
      <c r="B20" s="1" t="s">
        <v>20</v>
      </c>
      <c r="J20" t="s">
        <v>19</v>
      </c>
    </row>
    <row r="21" spans="1:12" ht="18.75">
      <c r="B21" s="1" t="s">
        <v>30</v>
      </c>
      <c r="C21">
        <f>E2*C2-E2*C10</f>
        <v>477149.23416282726</v>
      </c>
      <c r="D21" t="s">
        <v>29</v>
      </c>
      <c r="E21" s="5">
        <f>E2*C2-E2*C10-E2*C3-E2*E4/C14-(E6-1)*C12*C4*C2/2</f>
        <v>92794.256664174391</v>
      </c>
      <c r="G21" t="s">
        <v>34</v>
      </c>
      <c r="H21">
        <f>E2*C2</f>
        <v>480000</v>
      </c>
      <c r="I21" t="s">
        <v>29</v>
      </c>
      <c r="J21" s="5">
        <f>E2*C2-E2*E4/(C8*H3)-(H3-1)*C8*C4*C2/2-E2*C3</f>
        <v>91135.005038232601</v>
      </c>
    </row>
    <row r="22" spans="1:12" ht="18.75">
      <c r="B22" s="1" t="s">
        <v>31</v>
      </c>
      <c r="C22">
        <f>E2*C3</f>
        <v>336000</v>
      </c>
      <c r="D22" t="s">
        <v>28</v>
      </c>
      <c r="E22" s="5">
        <f>C21-C22-C23-C24</f>
        <v>92794.256664174391</v>
      </c>
      <c r="G22" t="s">
        <v>31</v>
      </c>
      <c r="H22">
        <f>E2*C3</f>
        <v>336000</v>
      </c>
      <c r="I22" t="s">
        <v>28</v>
      </c>
      <c r="J22" s="5">
        <f>H21-H22-H23-H24</f>
        <v>91135.005038232615</v>
      </c>
    </row>
    <row r="23" spans="1:12" ht="18.75">
      <c r="B23" s="1" t="s">
        <v>32</v>
      </c>
      <c r="C23" s="5">
        <f>E2*E4/C14</f>
        <v>29132.381505361227</v>
      </c>
      <c r="D23" t="s">
        <v>22</v>
      </c>
      <c r="E23" s="5">
        <f>C21-C23-C24</f>
        <v>428794.25666417438</v>
      </c>
      <c r="G23" t="s">
        <v>32</v>
      </c>
      <c r="H23" s="5">
        <f>E2*E4/(H3*C8)</f>
        <v>31597.468253010396</v>
      </c>
      <c r="I23" t="s">
        <v>35</v>
      </c>
      <c r="J23" s="5">
        <f>H21-H23-H24</f>
        <v>427135.0050382326</v>
      </c>
    </row>
    <row r="24" spans="1:12" ht="18.75">
      <c r="B24" s="1" t="s">
        <v>33</v>
      </c>
      <c r="C24" s="5">
        <f>(E6-1)*C12*C4*C2/2</f>
        <v>19222.59599329163</v>
      </c>
      <c r="G24" t="s">
        <v>33</v>
      </c>
      <c r="H24" s="5">
        <f>(H3-1)*C8*C4*C2/2</f>
        <v>21267.526708756999</v>
      </c>
    </row>
    <row r="26" spans="1:12" ht="18.75">
      <c r="A26" s="1" t="s">
        <v>11</v>
      </c>
      <c r="B26" s="10">
        <f>(E21-J21)/J21</f>
        <v>1.8206523665036362E-2</v>
      </c>
    </row>
  </sheetData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Condition 1</vt:lpstr>
      <vt:lpstr>Condition 2</vt:lpstr>
      <vt:lpstr>Condition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23132</cp:lastModifiedBy>
  <cp:lastPrinted>2016-11-08T00:48:16Z</cp:lastPrinted>
  <dcterms:created xsi:type="dcterms:W3CDTF">2016-11-08T00:09:47Z</dcterms:created>
  <dcterms:modified xsi:type="dcterms:W3CDTF">2016-12-07T17:14:32Z</dcterms:modified>
</cp:coreProperties>
</file>