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CC3B2A-0FC2-4FF0-A65E-AFB9B6CC3B01}" xr6:coauthVersionLast="40" xr6:coauthVersionMax="40" xr10:uidLastSave="{00000000-0000-0000-0000-000000000000}"/>
  <bookViews>
    <workbookView xWindow="0" yWindow="0" windowWidth="29010" windowHeight="123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1" i="1" l="1"/>
  <c r="M31" i="1"/>
  <c r="L31" i="1"/>
  <c r="K31" i="1"/>
  <c r="B30" i="1"/>
  <c r="B31" i="1" s="1"/>
  <c r="B9" i="1" s="1"/>
  <c r="B15" i="1" s="1"/>
  <c r="B16" i="1" s="1"/>
  <c r="N28" i="1"/>
  <c r="M23" i="1"/>
  <c r="M24" i="1" s="1"/>
  <c r="L23" i="1"/>
  <c r="L24" i="1" s="1"/>
  <c r="H23" i="1"/>
  <c r="H13" i="1" s="1"/>
  <c r="N22" i="1"/>
  <c r="N23" i="1" s="1"/>
  <c r="N24" i="1" s="1"/>
  <c r="M22" i="1"/>
  <c r="L22" i="1"/>
  <c r="H22" i="1"/>
  <c r="G22" i="1"/>
  <c r="F22" i="1"/>
  <c r="E22" i="1"/>
  <c r="D22" i="1"/>
  <c r="C22" i="1"/>
  <c r="H20" i="1"/>
  <c r="G20" i="1"/>
  <c r="G23" i="1" s="1"/>
  <c r="F20" i="1"/>
  <c r="F23" i="1" s="1"/>
  <c r="E20" i="1"/>
  <c r="E23" i="1" s="1"/>
  <c r="D20" i="1"/>
  <c r="D23" i="1" s="1"/>
  <c r="C20" i="1"/>
  <c r="C23" i="1" s="1"/>
  <c r="K15" i="1"/>
  <c r="K16" i="1" s="1"/>
  <c r="Q9" i="1"/>
  <c r="N9" i="1"/>
  <c r="L9" i="1"/>
  <c r="N6" i="1"/>
  <c r="Q2" i="1"/>
  <c r="Q5" i="1" s="1"/>
  <c r="P2" i="1"/>
  <c r="P5" i="1" s="1"/>
  <c r="O2" i="1"/>
  <c r="O5" i="1" s="1"/>
  <c r="N2" i="1"/>
  <c r="N5" i="1" s="1"/>
  <c r="M2" i="1"/>
  <c r="M5" i="1" s="1"/>
  <c r="L2" i="1"/>
  <c r="L5" i="1" s="1"/>
  <c r="H2" i="1"/>
  <c r="H4" i="1" s="1"/>
  <c r="G2" i="1"/>
  <c r="G4" i="1" s="1"/>
  <c r="F2" i="1"/>
  <c r="F4" i="1" s="1"/>
  <c r="E2" i="1"/>
  <c r="E4" i="1" s="1"/>
  <c r="D2" i="1"/>
  <c r="D4" i="1" s="1"/>
  <c r="C2" i="1"/>
  <c r="C4" i="1" s="1"/>
  <c r="D13" i="1" l="1"/>
  <c r="D24" i="1"/>
  <c r="C13" i="1"/>
  <c r="C24" i="1"/>
  <c r="E13" i="1"/>
  <c r="E24" i="1"/>
  <c r="F13" i="1"/>
  <c r="F24" i="1"/>
  <c r="L13" i="1"/>
  <c r="O13" i="1"/>
  <c r="O22" i="1"/>
  <c r="M13" i="1"/>
  <c r="P13" i="1"/>
  <c r="C5" i="1"/>
  <c r="C27" i="1"/>
  <c r="D5" i="1"/>
  <c r="D10" i="1" s="1"/>
  <c r="D12" i="1" s="1"/>
  <c r="D15" i="1" s="1"/>
  <c r="D16" i="1" s="1"/>
  <c r="E5" i="1"/>
  <c r="E10" i="1"/>
  <c r="E12" i="1" s="1"/>
  <c r="E15" i="1" s="1"/>
  <c r="E16" i="1" s="1"/>
  <c r="G13" i="1"/>
  <c r="G24" i="1"/>
  <c r="F5" i="1"/>
  <c r="F10" i="1" s="1"/>
  <c r="F12" i="1" s="1"/>
  <c r="F15" i="1" s="1"/>
  <c r="F16" i="1" s="1"/>
  <c r="H5" i="1"/>
  <c r="Q13" i="1"/>
  <c r="N13" i="1"/>
  <c r="G5" i="1"/>
  <c r="G10" i="1" s="1"/>
  <c r="G12" i="1" s="1"/>
  <c r="G15" i="1" s="1"/>
  <c r="G16" i="1" s="1"/>
  <c r="O4" i="1"/>
  <c r="Q4" i="1"/>
  <c r="P4" i="1"/>
  <c r="N4" i="1"/>
  <c r="H24" i="1"/>
  <c r="L4" i="1"/>
  <c r="M4" i="1"/>
  <c r="Q14" i="1" l="1"/>
  <c r="N14" i="1"/>
  <c r="N7" i="1"/>
  <c r="N10" i="1"/>
  <c r="N12" i="1" s="1"/>
  <c r="L7" i="1"/>
  <c r="L10" i="1" s="1"/>
  <c r="L12" i="1" s="1"/>
  <c r="L15" i="1" s="1"/>
  <c r="P7" i="1"/>
  <c r="P10" i="1"/>
  <c r="P12" i="1" s="1"/>
  <c r="P15" i="1" s="1"/>
  <c r="P16" i="1" s="1"/>
  <c r="Q7" i="1"/>
  <c r="Q10" i="1" s="1"/>
  <c r="Q12" i="1" s="1"/>
  <c r="Q15" i="1" s="1"/>
  <c r="O7" i="1"/>
  <c r="O10" i="1"/>
  <c r="O12" i="1" s="1"/>
  <c r="O15" i="1" s="1"/>
  <c r="O16" i="1" s="1"/>
  <c r="C29" i="1"/>
  <c r="C30" i="1" s="1"/>
  <c r="C28" i="1"/>
  <c r="M7" i="1"/>
  <c r="M10" i="1" s="1"/>
  <c r="M12" i="1" s="1"/>
  <c r="M15" i="1" s="1"/>
  <c r="M16" i="1" s="1"/>
  <c r="H31" i="1" l="1"/>
  <c r="H9" i="1" s="1"/>
  <c r="H10" i="1" s="1"/>
  <c r="H12" i="1" s="1"/>
  <c r="H15" i="1" s="1"/>
  <c r="C31" i="1"/>
  <c r="C9" i="1" s="1"/>
  <c r="C10" i="1" s="1"/>
  <c r="C12" i="1" s="1"/>
  <c r="C15" i="1" s="1"/>
  <c r="Q16" i="1"/>
  <c r="Q35" i="1"/>
  <c r="J35" i="1" s="1"/>
  <c r="J44" i="1"/>
  <c r="L16" i="1"/>
  <c r="K17" i="1" a="1"/>
  <c r="K17" i="1" s="1"/>
  <c r="N15" i="1"/>
  <c r="N16" i="1" s="1"/>
  <c r="J43" i="1" l="1"/>
  <c r="K43" i="1" s="1"/>
  <c r="K44" i="1" s="1"/>
  <c r="C16" i="1"/>
  <c r="B17" i="1" a="1"/>
  <c r="B17" i="1" s="1"/>
  <c r="A44" i="1"/>
  <c r="A46" i="1" s="1"/>
  <c r="H35" i="1"/>
  <c r="A35" i="1" s="1"/>
  <c r="H16" i="1"/>
</calcChain>
</file>

<file path=xl/sharedStrings.xml><?xml version="1.0" encoding="utf-8"?>
<sst xmlns="http://schemas.openxmlformats.org/spreadsheetml/2006/main" count="75" uniqueCount="38">
  <si>
    <t>Sneakers 2013</t>
  </si>
  <si>
    <t>Persistence</t>
  </si>
  <si>
    <t>New Revenue</t>
  </si>
  <si>
    <t>- Lost Revenue</t>
  </si>
  <si>
    <t>Net Revenue</t>
  </si>
  <si>
    <t>- Variable Cost</t>
  </si>
  <si>
    <t>- Fixed Cost</t>
  </si>
  <si>
    <t>- Selling, General, Adminstrative Expense</t>
  </si>
  <si>
    <t>- Ads and Promotion Expense</t>
  </si>
  <si>
    <t>- Change in Net Working Capital</t>
  </si>
  <si>
    <t>Taxable Income</t>
  </si>
  <si>
    <t xml:space="preserve">- Tax </t>
  </si>
  <si>
    <t>After Tax Income</t>
  </si>
  <si>
    <t>Add Depreciation</t>
  </si>
  <si>
    <t>Add Salvage Value</t>
  </si>
  <si>
    <t>Net Income</t>
  </si>
  <si>
    <t>NPV</t>
  </si>
  <si>
    <t>Year 1</t>
  </si>
  <si>
    <t>Year 2</t>
  </si>
  <si>
    <t>Year 3</t>
  </si>
  <si>
    <t>Year 4</t>
  </si>
  <si>
    <t>Year 5</t>
  </si>
  <si>
    <t>Year 6</t>
  </si>
  <si>
    <t>Building Depreciation</t>
  </si>
  <si>
    <t>Equipment</t>
  </si>
  <si>
    <t>Book Value after 3 Years</t>
  </si>
  <si>
    <t>Total Depreciation</t>
  </si>
  <si>
    <t>Tax 40%</t>
  </si>
  <si>
    <t>NWC</t>
  </si>
  <si>
    <t>Year 0</t>
  </si>
  <si>
    <t>Accounts Receivable</t>
  </si>
  <si>
    <t>Accounts Payable</t>
  </si>
  <si>
    <t>Inventory</t>
  </si>
  <si>
    <t>Net Working Capital</t>
  </si>
  <si>
    <t>Change in Net Working Capital</t>
  </si>
  <si>
    <t>IRR</t>
  </si>
  <si>
    <t>5.28 years</t>
  </si>
  <si>
    <t>4.069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</si>
</sst>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&quot;$&quot;#,##0.00"/>
  </numFmts>
  <fonts count="16" x14ac:knownFonts="1">
    <font>
      <sz val="10"/>
      <color rgb="FF000000"/>
      <name val="Arial"/>
    </font>
    <font>
      <b/>
      <i/>
      <sz val="12"/>
      <color rgb="FF9900FF"/>
      <name val="Arial"/>
      <family val="2"/>
    </font>
    <font>
      <b/>
      <i/>
      <sz val="10"/>
      <color rgb="FF9900FF"/>
      <name val="Arial"/>
      <family val="2"/>
    </font>
    <font>
      <sz val="10"/>
      <name val="Arial"/>
      <family val="2"/>
    </font>
    <font>
      <b/>
      <i/>
      <sz val="12"/>
      <color rgb="FF98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i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Alignment="1"/>
    <xf numFmtId="164" fontId="3" fillId="0" borderId="0" xfId="0" applyNumberFormat="1" applyFont="1"/>
    <xf numFmtId="164" fontId="3" fillId="3" borderId="0" xfId="0" applyNumberFormat="1" applyFont="1" applyFill="1"/>
    <xf numFmtId="164" fontId="0" fillId="5" borderId="0" xfId="0" applyNumberFormat="1" applyFont="1" applyFill="1"/>
    <xf numFmtId="164" fontId="6" fillId="5" borderId="0" xfId="0" applyNumberFormat="1" applyFont="1" applyFill="1"/>
    <xf numFmtId="164" fontId="3" fillId="0" borderId="0" xfId="0" applyNumberFormat="1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4" fontId="7" fillId="0" borderId="0" xfId="0" applyNumberFormat="1" applyFont="1"/>
    <xf numFmtId="9" fontId="3" fillId="0" borderId="0" xfId="0" applyNumberFormat="1" applyFont="1" applyAlignment="1"/>
    <xf numFmtId="0" fontId="8" fillId="0" borderId="1" xfId="0" applyFont="1" applyBorder="1" applyAlignment="1"/>
    <xf numFmtId="164" fontId="3" fillId="0" borderId="1" xfId="0" applyNumberFormat="1" applyFont="1" applyBorder="1"/>
    <xf numFmtId="164" fontId="7" fillId="0" borderId="1" xfId="0" applyNumberFormat="1" applyFont="1" applyBorder="1"/>
    <xf numFmtId="0" fontId="9" fillId="0" borderId="0" xfId="0" applyFont="1" applyAlignment="1"/>
    <xf numFmtId="165" fontId="7" fillId="0" borderId="0" xfId="0" applyNumberFormat="1" applyFont="1" applyAlignment="1"/>
    <xf numFmtId="165" fontId="3" fillId="0" borderId="0" xfId="0" applyNumberFormat="1" applyFont="1"/>
    <xf numFmtId="165" fontId="10" fillId="0" borderId="2" xfId="0" applyNumberFormat="1" applyFont="1" applyBorder="1" applyAlignment="1">
      <alignment horizontal="center"/>
    </xf>
    <xf numFmtId="165" fontId="11" fillId="5" borderId="3" xfId="0" applyNumberFormat="1" applyFont="1" applyFill="1" applyBorder="1"/>
    <xf numFmtId="0" fontId="7" fillId="0" borderId="0" xfId="0" applyFont="1" applyAlignment="1"/>
    <xf numFmtId="0" fontId="12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0" fontId="8" fillId="0" borderId="0" xfId="0" applyNumberFormat="1" applyFont="1" applyAlignment="1"/>
    <xf numFmtId="165" fontId="3" fillId="0" borderId="0" xfId="0" applyNumberFormat="1" applyFont="1" applyAlignment="1"/>
    <xf numFmtId="165" fontId="3" fillId="0" borderId="0" xfId="0" applyNumberFormat="1" applyFont="1" applyAlignment="1">
      <alignment horizontal="center"/>
    </xf>
    <xf numFmtId="9" fontId="8" fillId="0" borderId="0" xfId="0" applyNumberFormat="1" applyFont="1" applyAlignment="1"/>
    <xf numFmtId="0" fontId="8" fillId="0" borderId="0" xfId="0" applyFont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/>
    </xf>
    <xf numFmtId="165" fontId="14" fillId="0" borderId="0" xfId="0" applyNumberFormat="1" applyFont="1" applyAlignment="1"/>
    <xf numFmtId="165" fontId="14" fillId="0" borderId="0" xfId="0" applyNumberFormat="1" applyFont="1"/>
    <xf numFmtId="0" fontId="14" fillId="3" borderId="0" xfId="0" applyFont="1" applyFill="1"/>
    <xf numFmtId="0" fontId="14" fillId="0" borderId="0" xfId="0" applyFont="1" applyAlignment="1"/>
    <xf numFmtId="0" fontId="14" fillId="0" borderId="0" xfId="0" applyFont="1"/>
    <xf numFmtId="165" fontId="15" fillId="0" borderId="0" xfId="0" applyNumberFormat="1" applyFont="1" applyAlignment="1"/>
    <xf numFmtId="165" fontId="15" fillId="0" borderId="0" xfId="0" applyNumberFormat="1" applyFont="1"/>
    <xf numFmtId="10" fontId="3" fillId="0" borderId="0" xfId="0" applyNumberFormat="1" applyFont="1"/>
    <xf numFmtId="10" fontId="3" fillId="5" borderId="0" xfId="0" applyNumberFormat="1" applyFont="1" applyFill="1"/>
    <xf numFmtId="164" fontId="3" fillId="0" borderId="1" xfId="0" applyNumberFormat="1" applyFont="1" applyBorder="1" applyAlignment="1"/>
    <xf numFmtId="164" fontId="7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8"/>
  <sheetViews>
    <sheetView tabSelected="1" workbookViewId="0">
      <selection activeCell="H35" sqref="H35"/>
    </sheetView>
  </sheetViews>
  <sheetFormatPr defaultColWidth="14.42578125" defaultRowHeight="15.75" customHeight="1" x14ac:dyDescent="0.2"/>
  <cols>
    <col min="1" max="1" width="35.42578125" customWidth="1"/>
    <col min="2" max="2" width="15.7109375" customWidth="1"/>
    <col min="9" max="9" width="2.140625" customWidth="1"/>
    <col min="10" max="10" width="36.42578125" customWidth="1"/>
    <col min="11" max="11" width="15.140625" customWidth="1"/>
    <col min="15" max="15" width="13.85546875" customWidth="1"/>
  </cols>
  <sheetData>
    <row r="1" spans="1:17" ht="15.75" customHeight="1" x14ac:dyDescent="0.2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3"/>
      <c r="J1" s="4" t="s">
        <v>1</v>
      </c>
      <c r="K1" s="5">
        <v>2012</v>
      </c>
      <c r="L1" s="5">
        <v>2013</v>
      </c>
      <c r="M1" s="5">
        <v>2014</v>
      </c>
      <c r="N1" s="5">
        <v>2015</v>
      </c>
      <c r="O1" s="5">
        <v>2016</v>
      </c>
      <c r="P1" s="5">
        <v>2017</v>
      </c>
      <c r="Q1" s="5">
        <v>2018</v>
      </c>
    </row>
    <row r="2" spans="1:17" ht="15.75" customHeight="1" x14ac:dyDescent="0.2">
      <c r="A2" s="6" t="s">
        <v>2</v>
      </c>
      <c r="B2" s="7"/>
      <c r="C2" s="7">
        <f>115*1200000</f>
        <v>138000000</v>
      </c>
      <c r="D2" s="7">
        <f>115*1600000</f>
        <v>184000000</v>
      </c>
      <c r="E2" s="7">
        <f>115*1400000</f>
        <v>161000000</v>
      </c>
      <c r="F2" s="7">
        <f>115*2400000</f>
        <v>276000000</v>
      </c>
      <c r="G2" s="7">
        <f>115*1800000</f>
        <v>207000000</v>
      </c>
      <c r="H2" s="7">
        <f>115*900000</f>
        <v>103500000</v>
      </c>
      <c r="I2" s="8"/>
      <c r="J2" s="6" t="s">
        <v>2</v>
      </c>
      <c r="K2" s="7"/>
      <c r="L2" s="7">
        <f>PRODUCT(350000000,0.15)</f>
        <v>52500000</v>
      </c>
      <c r="M2" s="7">
        <f>(350000000*1.15)*0.18</f>
        <v>72449999.999999985</v>
      </c>
      <c r="N2" s="7">
        <f>(350000000*(1.15)^2)*0.2</f>
        <v>92575000</v>
      </c>
      <c r="O2" s="9">
        <f>PRODUCT(350000000,0.15)</f>
        <v>52500000</v>
      </c>
      <c r="P2" s="9">
        <f>(350000000*1.15)*0.18</f>
        <v>72449999.999999985</v>
      </c>
      <c r="Q2" s="10">
        <f>(350000000*(1.15)^2)*0.2</f>
        <v>92575000</v>
      </c>
    </row>
    <row r="3" spans="1:17" ht="15.75" customHeight="1" x14ac:dyDescent="0.2">
      <c r="A3" s="6" t="s">
        <v>3</v>
      </c>
      <c r="B3" s="11"/>
      <c r="C3" s="11">
        <v>35000000</v>
      </c>
      <c r="D3" s="11">
        <v>15000000</v>
      </c>
      <c r="E3" s="11">
        <v>0</v>
      </c>
      <c r="F3" s="11">
        <v>0</v>
      </c>
      <c r="G3" s="11">
        <v>0</v>
      </c>
      <c r="H3" s="11">
        <v>0</v>
      </c>
      <c r="I3" s="8"/>
      <c r="J3" s="6" t="s">
        <v>3</v>
      </c>
      <c r="K3" s="11"/>
      <c r="L3" s="11">
        <v>0</v>
      </c>
      <c r="M3" s="11">
        <v>0</v>
      </c>
      <c r="N3" s="11">
        <v>0</v>
      </c>
      <c r="O3" s="12">
        <v>0</v>
      </c>
      <c r="P3" s="12">
        <v>0</v>
      </c>
      <c r="Q3" s="12">
        <v>0</v>
      </c>
    </row>
    <row r="4" spans="1:17" ht="15.75" customHeight="1" x14ac:dyDescent="0.2">
      <c r="A4" s="13" t="s">
        <v>4</v>
      </c>
      <c r="B4" s="7"/>
      <c r="C4" s="7">
        <f t="shared" ref="C4:H4" si="0">C2-C3</f>
        <v>103000000</v>
      </c>
      <c r="D4" s="7">
        <f t="shared" si="0"/>
        <v>169000000</v>
      </c>
      <c r="E4" s="7">
        <f t="shared" si="0"/>
        <v>161000000</v>
      </c>
      <c r="F4" s="7">
        <f t="shared" si="0"/>
        <v>276000000</v>
      </c>
      <c r="G4" s="7">
        <f t="shared" si="0"/>
        <v>207000000</v>
      </c>
      <c r="H4" s="7">
        <f t="shared" si="0"/>
        <v>103500000</v>
      </c>
      <c r="I4" s="8"/>
      <c r="J4" s="13" t="s">
        <v>4</v>
      </c>
      <c r="K4" s="7"/>
      <c r="L4" s="7">
        <f t="shared" ref="L4:Q4" si="1">L2-L3</f>
        <v>52500000</v>
      </c>
      <c r="M4" s="7">
        <f t="shared" si="1"/>
        <v>72449999.999999985</v>
      </c>
      <c r="N4" s="7">
        <f t="shared" si="1"/>
        <v>92575000</v>
      </c>
      <c r="O4" s="7">
        <f t="shared" si="1"/>
        <v>52500000</v>
      </c>
      <c r="P4" s="7">
        <f t="shared" si="1"/>
        <v>72449999.999999985</v>
      </c>
      <c r="Q4" s="7">
        <f t="shared" si="1"/>
        <v>92575000</v>
      </c>
    </row>
    <row r="5" spans="1:17" ht="15.75" customHeight="1" x14ac:dyDescent="0.2">
      <c r="A5" s="6" t="s">
        <v>5</v>
      </c>
      <c r="B5" s="7"/>
      <c r="C5" s="7">
        <f t="shared" ref="C5:H5" si="2">55%*C4</f>
        <v>56650000.000000007</v>
      </c>
      <c r="D5" s="7">
        <f t="shared" si="2"/>
        <v>92950000.000000015</v>
      </c>
      <c r="E5" s="7">
        <f t="shared" si="2"/>
        <v>88550000</v>
      </c>
      <c r="F5" s="7">
        <f t="shared" si="2"/>
        <v>151800000</v>
      </c>
      <c r="G5" s="7">
        <f t="shared" si="2"/>
        <v>113850000.00000001</v>
      </c>
      <c r="H5" s="7">
        <f t="shared" si="2"/>
        <v>56925000.000000007</v>
      </c>
      <c r="I5" s="8"/>
      <c r="J5" s="6" t="s">
        <v>5</v>
      </c>
      <c r="K5" s="7"/>
      <c r="L5" s="7">
        <f t="shared" ref="L5:Q5" si="3">L2*0.38</f>
        <v>19950000</v>
      </c>
      <c r="M5" s="7">
        <f t="shared" si="3"/>
        <v>27530999.999999996</v>
      </c>
      <c r="N5" s="7">
        <f t="shared" si="3"/>
        <v>35178500</v>
      </c>
      <c r="O5" s="7">
        <f t="shared" si="3"/>
        <v>19950000</v>
      </c>
      <c r="P5" s="7">
        <f t="shared" si="3"/>
        <v>27530999.999999996</v>
      </c>
      <c r="Q5" s="7">
        <f t="shared" si="3"/>
        <v>35178500</v>
      </c>
    </row>
    <row r="6" spans="1:17" ht="15.75" customHeight="1" x14ac:dyDescent="0.2">
      <c r="A6" s="6" t="s">
        <v>6</v>
      </c>
      <c r="B6" s="11">
        <v>-150000000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8"/>
      <c r="J6" s="6" t="s">
        <v>6</v>
      </c>
      <c r="K6" s="11">
        <v>-58000000</v>
      </c>
      <c r="L6" s="11">
        <v>1800000</v>
      </c>
      <c r="M6" s="11">
        <v>1800000</v>
      </c>
      <c r="N6" s="11">
        <f>1800000+50000000</f>
        <v>51800000</v>
      </c>
      <c r="O6" s="11">
        <v>1800000</v>
      </c>
      <c r="P6" s="11">
        <v>1800000</v>
      </c>
      <c r="Q6" s="11">
        <v>1800000</v>
      </c>
    </row>
    <row r="7" spans="1:17" ht="15.75" customHeight="1" x14ac:dyDescent="0.2">
      <c r="A7" s="6" t="s">
        <v>7</v>
      </c>
      <c r="B7" s="11"/>
      <c r="C7" s="11">
        <v>7000000</v>
      </c>
      <c r="D7" s="11">
        <v>7000000</v>
      </c>
      <c r="E7" s="11">
        <v>7000000</v>
      </c>
      <c r="F7" s="11">
        <v>7000000</v>
      </c>
      <c r="G7" s="11">
        <v>7000000</v>
      </c>
      <c r="H7" s="11">
        <v>7000000</v>
      </c>
      <c r="I7" s="8"/>
      <c r="J7" s="6" t="s">
        <v>7</v>
      </c>
      <c r="K7" s="7"/>
      <c r="L7" s="7">
        <f>0.12*L4</f>
        <v>6300000</v>
      </c>
      <c r="M7" s="7">
        <f>0.1*M4</f>
        <v>7244999.9999999991</v>
      </c>
      <c r="N7" s="7">
        <f>0.08*N4</f>
        <v>7406000</v>
      </c>
      <c r="O7" s="14">
        <f>0.12*O4</f>
        <v>6300000</v>
      </c>
      <c r="P7" s="14">
        <f>0.1*P4</f>
        <v>7244999.9999999991</v>
      </c>
      <c r="Q7" s="14">
        <f>0.08*Q4</f>
        <v>7406000</v>
      </c>
    </row>
    <row r="8" spans="1:17" ht="15.75" customHeight="1" x14ac:dyDescent="0.2">
      <c r="A8" s="6" t="s">
        <v>8</v>
      </c>
      <c r="B8" s="11"/>
      <c r="C8" s="11">
        <v>27000000</v>
      </c>
      <c r="D8" s="11">
        <v>17000000</v>
      </c>
      <c r="E8" s="11">
        <v>12000000</v>
      </c>
      <c r="F8" s="11">
        <v>33000000</v>
      </c>
      <c r="G8" s="11">
        <v>27000000</v>
      </c>
      <c r="H8" s="11">
        <v>17000000</v>
      </c>
      <c r="I8" s="8"/>
      <c r="J8" s="6" t="s">
        <v>8</v>
      </c>
      <c r="K8" s="11"/>
      <c r="L8" s="11">
        <v>3000000</v>
      </c>
      <c r="M8" s="11">
        <v>2000000</v>
      </c>
      <c r="N8" s="11">
        <v>2000000</v>
      </c>
      <c r="O8" s="12">
        <v>3000000</v>
      </c>
      <c r="P8" s="12">
        <v>2000000</v>
      </c>
      <c r="Q8" s="12">
        <v>2000000</v>
      </c>
    </row>
    <row r="9" spans="1:17" ht="15.75" customHeight="1" x14ac:dyDescent="0.2">
      <c r="A9" s="6" t="s">
        <v>9</v>
      </c>
      <c r="B9" s="11">
        <f t="shared" ref="B9:C9" si="4">-B31</f>
        <v>-10000000</v>
      </c>
      <c r="C9" s="7">
        <f t="shared" si="4"/>
        <v>-1072500</v>
      </c>
      <c r="D9" s="11">
        <v>0</v>
      </c>
      <c r="E9" s="11">
        <v>0</v>
      </c>
      <c r="F9" s="11">
        <v>0</v>
      </c>
      <c r="G9" s="11">
        <v>0</v>
      </c>
      <c r="H9" s="7">
        <f>-H31</f>
        <v>11072500</v>
      </c>
      <c r="I9" s="8"/>
      <c r="J9" s="6" t="s">
        <v>9</v>
      </c>
      <c r="K9" s="11">
        <v>-40000000</v>
      </c>
      <c r="L9" s="11">
        <f>-L30</f>
        <v>0</v>
      </c>
      <c r="M9" s="11">
        <v>0</v>
      </c>
      <c r="N9" s="11">
        <f>-40000000+40000000</f>
        <v>0</v>
      </c>
      <c r="O9" s="12">
        <v>0</v>
      </c>
      <c r="P9" s="12">
        <v>0</v>
      </c>
      <c r="Q9" s="14">
        <f>-N31</f>
        <v>40000000</v>
      </c>
    </row>
    <row r="10" spans="1:17" ht="15.75" customHeight="1" x14ac:dyDescent="0.2">
      <c r="A10" s="13" t="s">
        <v>10</v>
      </c>
      <c r="B10" s="7"/>
      <c r="C10" s="7">
        <f t="shared" ref="C10:H10" si="5">C4-C5-C6-C7-C8+C9</f>
        <v>11277499.999999993</v>
      </c>
      <c r="D10" s="7">
        <f t="shared" si="5"/>
        <v>52049999.999999985</v>
      </c>
      <c r="E10" s="7">
        <f t="shared" si="5"/>
        <v>53450000</v>
      </c>
      <c r="F10" s="7">
        <f t="shared" si="5"/>
        <v>84200000</v>
      </c>
      <c r="G10" s="7">
        <f t="shared" si="5"/>
        <v>59149999.999999985</v>
      </c>
      <c r="H10" s="7">
        <f t="shared" si="5"/>
        <v>33647499.999999993</v>
      </c>
      <c r="I10" s="8"/>
      <c r="J10" s="13" t="s">
        <v>10</v>
      </c>
      <c r="K10" s="7"/>
      <c r="L10" s="7">
        <f t="shared" ref="L10:Q10" si="6">L4-L5-L6-L7-L8+L9</f>
        <v>21450000</v>
      </c>
      <c r="M10" s="7">
        <f t="shared" si="6"/>
        <v>33873999.999999985</v>
      </c>
      <c r="N10" s="7">
        <f t="shared" si="6"/>
        <v>-3809500</v>
      </c>
      <c r="O10" s="7">
        <f t="shared" si="6"/>
        <v>21450000</v>
      </c>
      <c r="P10" s="7">
        <f t="shared" si="6"/>
        <v>33873999.999999985</v>
      </c>
      <c r="Q10" s="7">
        <f t="shared" si="6"/>
        <v>86190500</v>
      </c>
    </row>
    <row r="11" spans="1:17" ht="15.75" customHeight="1" x14ac:dyDescent="0.2">
      <c r="A11" s="6" t="s">
        <v>11</v>
      </c>
      <c r="B11" s="15"/>
      <c r="C11" s="15">
        <v>0.4</v>
      </c>
      <c r="D11" s="15">
        <v>0.4</v>
      </c>
      <c r="E11" s="15">
        <v>0.4</v>
      </c>
      <c r="F11" s="15">
        <v>0.4</v>
      </c>
      <c r="G11" s="15">
        <v>0.4</v>
      </c>
      <c r="H11" s="15">
        <v>0.4</v>
      </c>
      <c r="I11" s="8"/>
      <c r="J11" s="6" t="s">
        <v>11</v>
      </c>
      <c r="K11" s="15"/>
      <c r="L11" s="15">
        <v>0.4</v>
      </c>
      <c r="M11" s="15">
        <v>0.4</v>
      </c>
      <c r="N11" s="15">
        <v>0.4</v>
      </c>
      <c r="O11" s="15">
        <v>0.4</v>
      </c>
      <c r="P11" s="15">
        <v>0.4</v>
      </c>
      <c r="Q11" s="15">
        <v>0.4</v>
      </c>
    </row>
    <row r="12" spans="1:17" ht="15.75" customHeight="1" x14ac:dyDescent="0.2">
      <c r="A12" s="13" t="s">
        <v>12</v>
      </c>
      <c r="B12" s="7"/>
      <c r="C12" s="7">
        <f t="shared" ref="C12:H12" si="7">C10*(1-C11)</f>
        <v>6766499.9999999953</v>
      </c>
      <c r="D12" s="7">
        <f t="shared" si="7"/>
        <v>31229999.999999989</v>
      </c>
      <c r="E12" s="7">
        <f t="shared" si="7"/>
        <v>32070000</v>
      </c>
      <c r="F12" s="7">
        <f t="shared" si="7"/>
        <v>50520000</v>
      </c>
      <c r="G12" s="7">
        <f t="shared" si="7"/>
        <v>35489999.999999993</v>
      </c>
      <c r="H12" s="7">
        <f t="shared" si="7"/>
        <v>20188499.999999996</v>
      </c>
      <c r="I12" s="8"/>
      <c r="J12" s="13" t="s">
        <v>12</v>
      </c>
      <c r="K12" s="7"/>
      <c r="L12" s="7">
        <f t="shared" ref="L12:Q12" si="8">L10*(1-L11)</f>
        <v>12870000</v>
      </c>
      <c r="M12" s="7">
        <f t="shared" si="8"/>
        <v>20324399.999999989</v>
      </c>
      <c r="N12" s="7">
        <f t="shared" si="8"/>
        <v>-2285700</v>
      </c>
      <c r="O12" s="7">
        <f t="shared" si="8"/>
        <v>12870000</v>
      </c>
      <c r="P12" s="7">
        <f t="shared" si="8"/>
        <v>20324399.999999989</v>
      </c>
      <c r="Q12" s="7">
        <f t="shared" si="8"/>
        <v>51714300</v>
      </c>
    </row>
    <row r="13" spans="1:17" ht="15.75" customHeight="1" x14ac:dyDescent="0.2">
      <c r="A13" s="6" t="s">
        <v>13</v>
      </c>
      <c r="B13" s="7"/>
      <c r="C13" s="7">
        <f t="shared" ref="C13:H13" si="9">C23*0.4</f>
        <v>3160000</v>
      </c>
      <c r="D13" s="7">
        <f t="shared" si="9"/>
        <v>5560000</v>
      </c>
      <c r="E13" s="7">
        <f t="shared" si="9"/>
        <v>4340000</v>
      </c>
      <c r="F13" s="7">
        <f t="shared" si="9"/>
        <v>3660000</v>
      </c>
      <c r="G13" s="7">
        <f t="shared" si="9"/>
        <v>3460000</v>
      </c>
      <c r="H13" s="7">
        <f t="shared" si="9"/>
        <v>2880000</v>
      </c>
      <c r="I13" s="8"/>
      <c r="J13" s="6" t="s">
        <v>13</v>
      </c>
      <c r="K13" s="7"/>
      <c r="L13" s="7">
        <f t="shared" ref="L13:N13" si="10">L24</f>
        <v>640000</v>
      </c>
      <c r="M13" s="7">
        <f t="shared" si="10"/>
        <v>1024000</v>
      </c>
      <c r="N13" s="7">
        <f t="shared" si="10"/>
        <v>608000</v>
      </c>
      <c r="O13" s="14">
        <f t="shared" ref="O13:Q13" si="11">L24</f>
        <v>640000</v>
      </c>
      <c r="P13" s="14">
        <f t="shared" si="11"/>
        <v>1024000</v>
      </c>
      <c r="Q13" s="14">
        <f t="shared" si="11"/>
        <v>608000</v>
      </c>
    </row>
    <row r="14" spans="1:17" ht="15.75" customHeight="1" x14ac:dyDescent="0.2">
      <c r="A14" s="6" t="s">
        <v>14</v>
      </c>
      <c r="B14" s="11"/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105000000</v>
      </c>
      <c r="I14" s="8"/>
      <c r="J14" s="6" t="s">
        <v>14</v>
      </c>
      <c r="K14" s="11"/>
      <c r="L14" s="11">
        <v>0</v>
      </c>
      <c r="M14" s="11">
        <v>0</v>
      </c>
      <c r="N14" s="7">
        <f>O22</f>
        <v>5728000</v>
      </c>
      <c r="O14" s="12">
        <v>0</v>
      </c>
      <c r="P14" s="12">
        <v>0</v>
      </c>
      <c r="Q14" s="14">
        <f>O22</f>
        <v>5728000</v>
      </c>
    </row>
    <row r="15" spans="1:17" ht="15.75" customHeight="1" x14ac:dyDescent="0.2">
      <c r="A15" s="16" t="s">
        <v>15</v>
      </c>
      <c r="B15" s="17">
        <f>B6+B9</f>
        <v>-160000000</v>
      </c>
      <c r="C15" s="17">
        <f t="shared" ref="C15:H15" si="12">C12+C13+C14</f>
        <v>9926499.9999999963</v>
      </c>
      <c r="D15" s="17">
        <f t="shared" si="12"/>
        <v>36789999.999999985</v>
      </c>
      <c r="E15" s="17">
        <f t="shared" si="12"/>
        <v>36410000</v>
      </c>
      <c r="F15" s="17">
        <f t="shared" si="12"/>
        <v>54180000</v>
      </c>
      <c r="G15" s="17">
        <f t="shared" si="12"/>
        <v>38949999.999999993</v>
      </c>
      <c r="H15" s="17">
        <f t="shared" si="12"/>
        <v>128068500</v>
      </c>
      <c r="I15" s="3"/>
      <c r="J15" s="16" t="s">
        <v>15</v>
      </c>
      <c r="K15" s="17">
        <f>K6+K9</f>
        <v>-98000000</v>
      </c>
      <c r="L15" s="17">
        <f t="shared" ref="L15:N15" si="13">L12+L13+L14</f>
        <v>13510000</v>
      </c>
      <c r="M15" s="17">
        <f t="shared" si="13"/>
        <v>21348399.999999989</v>
      </c>
      <c r="N15" s="17">
        <f t="shared" si="13"/>
        <v>4050300</v>
      </c>
      <c r="O15" s="18">
        <f t="shared" ref="O15:Q15" si="14">SUM(O12:O14)</f>
        <v>13510000</v>
      </c>
      <c r="P15" s="18">
        <f t="shared" si="14"/>
        <v>21348399.999999989</v>
      </c>
      <c r="Q15" s="18">
        <f t="shared" si="14"/>
        <v>58050300</v>
      </c>
    </row>
    <row r="16" spans="1:17" ht="15.75" customHeight="1" x14ac:dyDescent="0.2">
      <c r="A16" s="19"/>
      <c r="B16" s="20">
        <f>B15</f>
        <v>-160000000</v>
      </c>
      <c r="C16" s="20">
        <f t="shared" ref="C16:H16" si="15">C15/(1+0.11)^C43</f>
        <v>8942792.7927927878</v>
      </c>
      <c r="D16" s="20">
        <f t="shared" si="15"/>
        <v>29859589.319048762</v>
      </c>
      <c r="E16" s="20">
        <f t="shared" si="15"/>
        <v>26622678.193167597</v>
      </c>
      <c r="F16" s="20">
        <f t="shared" si="15"/>
        <v>35690044.179176107</v>
      </c>
      <c r="G16" s="20">
        <f t="shared" si="15"/>
        <v>23114929.227880854</v>
      </c>
      <c r="H16" s="20">
        <f t="shared" si="15"/>
        <v>68470649.916637391</v>
      </c>
      <c r="I16" s="3"/>
      <c r="K16" s="7">
        <f>K15</f>
        <v>-98000000</v>
      </c>
      <c r="L16" s="21">
        <f t="shared" ref="L16:Q16" si="16">L15/(1+0.14)^C43</f>
        <v>11850877.192982456</v>
      </c>
      <c r="M16" s="21">
        <f t="shared" si="16"/>
        <v>16426900.584795309</v>
      </c>
      <c r="N16" s="21">
        <f t="shared" si="16"/>
        <v>2733837.1320730257</v>
      </c>
      <c r="O16" s="14">
        <f t="shared" si="16"/>
        <v>7999004.5472712591</v>
      </c>
      <c r="P16" s="14">
        <f t="shared" si="16"/>
        <v>11087689.994219074</v>
      </c>
      <c r="Q16" s="14">
        <f t="shared" si="16"/>
        <v>26446935.769023314</v>
      </c>
    </row>
    <row r="17" spans="1:17" ht="15.75" customHeight="1" x14ac:dyDescent="0.2">
      <c r="A17" s="22" t="s">
        <v>16</v>
      </c>
      <c r="B17" s="23">
        <f t="array" ref="B17">NPV(0.11,C15,D15,E15,F15,G15,H15)+B15</f>
        <v>32700683.628703475</v>
      </c>
      <c r="C17" s="24"/>
      <c r="D17" s="24"/>
      <c r="E17" s="24"/>
      <c r="F17" s="24"/>
      <c r="G17" s="24"/>
      <c r="H17" s="24"/>
      <c r="I17" s="3"/>
      <c r="J17" s="25" t="s">
        <v>16</v>
      </c>
      <c r="K17" s="23">
        <f t="array" ref="K17">NPV(0.14,L15,M15,N15,15,P15,Q15)+K15</f>
        <v>-29453750.445702657</v>
      </c>
      <c r="O17" s="14"/>
      <c r="P17" s="14"/>
      <c r="Q17" s="14"/>
    </row>
    <row r="18" spans="1:17" ht="15.75" customHeight="1" x14ac:dyDescent="0.2">
      <c r="B18" s="26"/>
      <c r="C18" s="26" t="s">
        <v>17</v>
      </c>
      <c r="D18" s="26" t="s">
        <v>18</v>
      </c>
      <c r="E18" s="26" t="s">
        <v>19</v>
      </c>
      <c r="F18" s="26" t="s">
        <v>20</v>
      </c>
      <c r="G18" s="26" t="s">
        <v>21</v>
      </c>
      <c r="H18" s="26" t="s">
        <v>22</v>
      </c>
      <c r="I18" s="3"/>
      <c r="K18" s="27"/>
      <c r="L18" s="27" t="s">
        <v>17</v>
      </c>
      <c r="M18" s="27" t="s">
        <v>18</v>
      </c>
      <c r="N18" s="27" t="s">
        <v>19</v>
      </c>
      <c r="O18" s="28"/>
      <c r="P18" s="28"/>
      <c r="Q18" s="28"/>
    </row>
    <row r="19" spans="1:17" ht="15.75" customHeight="1" x14ac:dyDescent="0.2">
      <c r="A19" s="13" t="s">
        <v>23</v>
      </c>
      <c r="B19" s="29"/>
      <c r="C19" s="29">
        <v>2.5999999999999999E-2</v>
      </c>
      <c r="D19" s="29">
        <v>0.05</v>
      </c>
      <c r="E19" s="29">
        <v>4.7E-2</v>
      </c>
      <c r="F19" s="29">
        <v>4.4999999999999998E-2</v>
      </c>
      <c r="G19" s="29">
        <v>4.2999999999999997E-2</v>
      </c>
      <c r="H19" s="29">
        <v>0.04</v>
      </c>
      <c r="I19" s="3"/>
      <c r="J19" s="13" t="s">
        <v>23</v>
      </c>
      <c r="K19" s="30"/>
      <c r="L19" s="30">
        <v>0</v>
      </c>
      <c r="M19" s="30">
        <v>0</v>
      </c>
      <c r="N19" s="30">
        <v>0</v>
      </c>
    </row>
    <row r="20" spans="1:17" ht="15.75" customHeight="1" x14ac:dyDescent="0.2">
      <c r="A20" s="31">
        <v>150000000</v>
      </c>
      <c r="B20" s="21"/>
      <c r="C20" s="21">
        <f t="shared" ref="C20:H20" si="17">C19*$A$20</f>
        <v>3900000</v>
      </c>
      <c r="D20" s="21">
        <f t="shared" si="17"/>
        <v>7500000</v>
      </c>
      <c r="E20" s="21">
        <f t="shared" si="17"/>
        <v>7050000</v>
      </c>
      <c r="F20" s="21">
        <f t="shared" si="17"/>
        <v>6750000</v>
      </c>
      <c r="G20" s="21">
        <f t="shared" si="17"/>
        <v>6449999.9999999991</v>
      </c>
      <c r="H20" s="21">
        <f t="shared" si="17"/>
        <v>6000000</v>
      </c>
      <c r="I20" s="3"/>
      <c r="J20" s="30"/>
    </row>
    <row r="21" spans="1:17" ht="15.75" customHeight="1" x14ac:dyDescent="0.2">
      <c r="A21" s="13" t="s">
        <v>24</v>
      </c>
      <c r="B21" s="29"/>
      <c r="C21" s="29">
        <v>0.2</v>
      </c>
      <c r="D21" s="29">
        <v>0.32</v>
      </c>
      <c r="E21" s="29">
        <v>0.19</v>
      </c>
      <c r="F21" s="29">
        <v>0.12</v>
      </c>
      <c r="G21" s="29">
        <v>0.11</v>
      </c>
      <c r="H21" s="29">
        <v>0.06</v>
      </c>
      <c r="I21" s="3"/>
      <c r="J21" s="13" t="s">
        <v>24</v>
      </c>
      <c r="K21" s="32"/>
      <c r="L21" s="32">
        <v>0.2</v>
      </c>
      <c r="M21" s="32">
        <v>0.32</v>
      </c>
      <c r="N21" s="32">
        <v>0.19</v>
      </c>
      <c r="O21" s="33" t="s">
        <v>25</v>
      </c>
      <c r="P21" s="34"/>
      <c r="Q21" s="34"/>
    </row>
    <row r="22" spans="1:17" ht="15.75" customHeight="1" x14ac:dyDescent="0.2">
      <c r="A22" s="31">
        <v>20000000</v>
      </c>
      <c r="B22" s="30"/>
      <c r="C22" s="30">
        <f t="shared" ref="C22:H22" si="18">$A$22*C21</f>
        <v>4000000</v>
      </c>
      <c r="D22" s="30">
        <f t="shared" si="18"/>
        <v>6400000</v>
      </c>
      <c r="E22" s="30">
        <f t="shared" si="18"/>
        <v>3800000</v>
      </c>
      <c r="F22" s="30">
        <f t="shared" si="18"/>
        <v>2400000</v>
      </c>
      <c r="G22" s="30">
        <f t="shared" si="18"/>
        <v>2200000</v>
      </c>
      <c r="H22" s="30">
        <f t="shared" si="18"/>
        <v>1200000</v>
      </c>
      <c r="I22" s="3"/>
      <c r="J22" s="31">
        <v>8000000</v>
      </c>
      <c r="L22" s="21">
        <f>$J$22*0.2</f>
        <v>1600000</v>
      </c>
      <c r="M22" s="21">
        <f>$J$22*0.32</f>
        <v>2560000</v>
      </c>
      <c r="N22" s="21">
        <f>$J$22*0.19</f>
        <v>1520000</v>
      </c>
      <c r="O22" s="35">
        <f>J22-L24-M24-N24</f>
        <v>5728000</v>
      </c>
    </row>
    <row r="23" spans="1:17" ht="15.75" customHeight="1" x14ac:dyDescent="0.2">
      <c r="A23" s="6" t="s">
        <v>26</v>
      </c>
      <c r="C23" s="21">
        <f t="shared" ref="C23:H23" si="19">C20+C22</f>
        <v>7900000</v>
      </c>
      <c r="D23" s="21">
        <f t="shared" si="19"/>
        <v>13900000</v>
      </c>
      <c r="E23" s="21">
        <f t="shared" si="19"/>
        <v>10850000</v>
      </c>
      <c r="F23" s="21">
        <f t="shared" si="19"/>
        <v>9150000</v>
      </c>
      <c r="G23" s="21">
        <f t="shared" si="19"/>
        <v>8650000</v>
      </c>
      <c r="H23" s="21">
        <f t="shared" si="19"/>
        <v>7200000</v>
      </c>
      <c r="I23" s="3"/>
      <c r="J23" s="6" t="s">
        <v>26</v>
      </c>
      <c r="L23" s="21">
        <f t="shared" ref="L23:N23" si="20">L22</f>
        <v>1600000</v>
      </c>
      <c r="M23" s="21">
        <f t="shared" si="20"/>
        <v>2560000</v>
      </c>
      <c r="N23" s="21">
        <f t="shared" si="20"/>
        <v>1520000</v>
      </c>
    </row>
    <row r="24" spans="1:17" ht="15.75" customHeight="1" x14ac:dyDescent="0.2">
      <c r="A24" s="6" t="s">
        <v>27</v>
      </c>
      <c r="C24" s="21">
        <f t="shared" ref="C24:H24" si="21">40%*C23</f>
        <v>3160000</v>
      </c>
      <c r="D24" s="21">
        <f t="shared" si="21"/>
        <v>5560000</v>
      </c>
      <c r="E24" s="21">
        <f t="shared" si="21"/>
        <v>4340000</v>
      </c>
      <c r="F24" s="21">
        <f t="shared" si="21"/>
        <v>3660000</v>
      </c>
      <c r="G24" s="21">
        <f t="shared" si="21"/>
        <v>3460000</v>
      </c>
      <c r="H24" s="21">
        <f t="shared" si="21"/>
        <v>2880000</v>
      </c>
      <c r="I24" s="3"/>
      <c r="J24" s="6" t="s">
        <v>27</v>
      </c>
      <c r="L24" s="21">
        <f t="shared" ref="L24:N24" si="22">0.4*L23</f>
        <v>640000</v>
      </c>
      <c r="M24" s="21">
        <f t="shared" si="22"/>
        <v>1024000</v>
      </c>
      <c r="N24" s="21">
        <f t="shared" si="22"/>
        <v>608000</v>
      </c>
    </row>
    <row r="25" spans="1:17" ht="15.75" customHeight="1" x14ac:dyDescent="0.2">
      <c r="I25" s="3"/>
    </row>
    <row r="26" spans="1:17" ht="15.75" customHeight="1" x14ac:dyDescent="0.2">
      <c r="A26" s="13" t="s">
        <v>28</v>
      </c>
      <c r="B26" s="26" t="s">
        <v>29</v>
      </c>
      <c r="C26" s="26" t="s">
        <v>17</v>
      </c>
      <c r="D26" s="26" t="s">
        <v>18</v>
      </c>
      <c r="E26" s="26" t="s">
        <v>19</v>
      </c>
      <c r="F26" s="26" t="s">
        <v>20</v>
      </c>
      <c r="G26" s="26" t="s">
        <v>21</v>
      </c>
      <c r="H26" s="26" t="s">
        <v>22</v>
      </c>
      <c r="I26" s="3"/>
      <c r="K26" s="27" t="s">
        <v>29</v>
      </c>
      <c r="L26" s="27" t="s">
        <v>17</v>
      </c>
      <c r="M26" s="27" t="s">
        <v>18</v>
      </c>
      <c r="N26" s="27" t="s">
        <v>19</v>
      </c>
    </row>
    <row r="27" spans="1:17" ht="15.75" customHeight="1" x14ac:dyDescent="0.2">
      <c r="A27" s="6" t="s">
        <v>30</v>
      </c>
      <c r="B27" s="36">
        <v>0</v>
      </c>
      <c r="C27" s="37">
        <f>0.08*C4</f>
        <v>8240000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8"/>
      <c r="J27" s="39" t="s">
        <v>30</v>
      </c>
      <c r="K27" s="36">
        <v>25000000</v>
      </c>
      <c r="L27" s="36">
        <v>0</v>
      </c>
      <c r="M27" s="36">
        <v>0</v>
      </c>
      <c r="N27" s="36">
        <v>-25000000</v>
      </c>
      <c r="O27" s="40"/>
    </row>
    <row r="28" spans="1:17" ht="15.75" customHeight="1" x14ac:dyDescent="0.2">
      <c r="A28" s="6" t="s">
        <v>31</v>
      </c>
      <c r="B28" s="36">
        <v>-5000000</v>
      </c>
      <c r="C28" s="37">
        <f>-(0.2*C5)</f>
        <v>-11330000.000000002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8"/>
      <c r="J28" s="39" t="s">
        <v>31</v>
      </c>
      <c r="K28" s="36">
        <v>-10000000</v>
      </c>
      <c r="L28" s="36">
        <v>0</v>
      </c>
      <c r="M28" s="36">
        <v>0</v>
      </c>
      <c r="N28" s="36">
        <f>10000000</f>
        <v>10000000</v>
      </c>
      <c r="O28" s="40"/>
    </row>
    <row r="29" spans="1:17" ht="15.75" customHeight="1" x14ac:dyDescent="0.2">
      <c r="A29" s="6" t="s">
        <v>32</v>
      </c>
      <c r="B29" s="36">
        <v>15000000</v>
      </c>
      <c r="C29" s="37">
        <f>0.25*C5</f>
        <v>14162500.000000002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8"/>
      <c r="J29" s="39" t="s">
        <v>32</v>
      </c>
      <c r="K29" s="36">
        <v>25000000</v>
      </c>
      <c r="L29" s="36">
        <v>0</v>
      </c>
      <c r="M29" s="36">
        <v>0</v>
      </c>
      <c r="N29" s="36">
        <v>-25000000</v>
      </c>
      <c r="O29" s="40"/>
    </row>
    <row r="30" spans="1:17" ht="15.75" customHeight="1" x14ac:dyDescent="0.2">
      <c r="A30" s="6" t="s">
        <v>33</v>
      </c>
      <c r="B30" s="36">
        <f t="shared" ref="B30:C30" si="23">SUM(B27:B29)</f>
        <v>10000000</v>
      </c>
      <c r="C30" s="37">
        <f t="shared" si="23"/>
        <v>11072500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8"/>
      <c r="J30" s="39"/>
      <c r="K30" s="36"/>
      <c r="L30" s="36"/>
      <c r="M30" s="36"/>
      <c r="N30" s="36"/>
      <c r="O30" s="40"/>
    </row>
    <row r="31" spans="1:17" ht="15.75" customHeight="1" x14ac:dyDescent="0.2">
      <c r="A31" s="6" t="s">
        <v>34</v>
      </c>
      <c r="B31" s="41">
        <f>B30</f>
        <v>10000000</v>
      </c>
      <c r="C31" s="42">
        <f>C30-B31</f>
        <v>1072500</v>
      </c>
      <c r="D31" s="41">
        <v>0</v>
      </c>
      <c r="E31" s="41">
        <v>0</v>
      </c>
      <c r="F31" s="41">
        <v>0</v>
      </c>
      <c r="G31" s="41">
        <v>0</v>
      </c>
      <c r="H31" s="42">
        <f>-C30</f>
        <v>-11072500</v>
      </c>
      <c r="I31" s="38"/>
      <c r="J31" s="39" t="s">
        <v>34</v>
      </c>
      <c r="K31" s="41">
        <f t="shared" ref="K31:N31" si="24">SUM(K27:K29)</f>
        <v>40000000</v>
      </c>
      <c r="L31" s="41">
        <f t="shared" si="24"/>
        <v>0</v>
      </c>
      <c r="M31" s="41">
        <f t="shared" si="24"/>
        <v>0</v>
      </c>
      <c r="N31" s="41">
        <f t="shared" si="24"/>
        <v>-40000000</v>
      </c>
      <c r="O31" s="40"/>
    </row>
    <row r="32" spans="1:17" ht="15.75" customHeight="1" x14ac:dyDescent="0.2">
      <c r="B32" s="40"/>
      <c r="C32" s="40"/>
      <c r="D32" s="40"/>
      <c r="E32" s="40"/>
      <c r="F32" s="40"/>
      <c r="G32" s="40"/>
      <c r="H32" s="40"/>
      <c r="I32" s="38"/>
      <c r="J32" s="40"/>
      <c r="K32" s="39"/>
      <c r="L32" s="40"/>
      <c r="M32" s="40"/>
      <c r="N32" s="40"/>
      <c r="O32" s="40"/>
    </row>
    <row r="33" spans="1:19" ht="15.75" customHeight="1" x14ac:dyDescent="0.2">
      <c r="A33" s="33"/>
      <c r="I33" s="3"/>
      <c r="J33" s="33"/>
    </row>
    <row r="34" spans="1:19" ht="15.75" customHeight="1" x14ac:dyDescent="0.2">
      <c r="A34" s="31" t="s">
        <v>35</v>
      </c>
      <c r="B34" s="7"/>
      <c r="C34" s="7"/>
      <c r="D34" s="7"/>
      <c r="E34" s="7"/>
      <c r="F34" s="7"/>
      <c r="G34" s="7"/>
      <c r="H34" s="7"/>
      <c r="I34" s="3"/>
      <c r="J34" s="31" t="s">
        <v>35</v>
      </c>
    </row>
    <row r="35" spans="1:19" ht="15.75" customHeight="1" x14ac:dyDescent="0.2">
      <c r="A35" s="43">
        <f>IRR(B35:H35)</f>
        <v>0.16045167187224552</v>
      </c>
      <c r="B35" s="11">
        <v>-160000000</v>
      </c>
      <c r="C35" s="11">
        <v>9926500</v>
      </c>
      <c r="D35" s="11">
        <v>36790000</v>
      </c>
      <c r="E35" s="11">
        <v>36410000</v>
      </c>
      <c r="F35" s="11">
        <v>54180000</v>
      </c>
      <c r="G35" s="11">
        <v>38950000</v>
      </c>
      <c r="H35" s="11">
        <f>H15</f>
        <v>128068500</v>
      </c>
      <c r="I35" s="3"/>
      <c r="J35" s="44">
        <f>IRR(K35:Q35)</f>
        <v>7.207259088919038E-2</v>
      </c>
      <c r="K35" s="45">
        <v>-98000000</v>
      </c>
      <c r="L35" s="45">
        <v>13510000</v>
      </c>
      <c r="M35" s="45">
        <v>21348400</v>
      </c>
      <c r="N35" s="45">
        <v>4050300</v>
      </c>
      <c r="O35" s="46">
        <v>13510000</v>
      </c>
      <c r="P35" s="46">
        <v>21348400</v>
      </c>
      <c r="Q35" s="46">
        <f>Q15</f>
        <v>58050300</v>
      </c>
    </row>
    <row r="36" spans="1:19" ht="15.75" customHeight="1" x14ac:dyDescent="0.2">
      <c r="A36" s="43"/>
      <c r="I36" s="8"/>
    </row>
    <row r="37" spans="1:19" ht="15.75" customHeight="1" x14ac:dyDescent="0.2">
      <c r="I37" s="8"/>
    </row>
    <row r="38" spans="1:19" ht="15.75" customHeight="1" x14ac:dyDescent="0.2">
      <c r="I38" s="8"/>
    </row>
    <row r="39" spans="1:19" ht="12.75" x14ac:dyDescent="0.2">
      <c r="I39" s="8"/>
    </row>
    <row r="40" spans="1:19" ht="12.75" x14ac:dyDescent="0.2">
      <c r="A40" s="3"/>
      <c r="B40" s="3"/>
      <c r="C40" s="3"/>
      <c r="D40" s="3"/>
      <c r="E40" s="3"/>
      <c r="F40" s="3"/>
      <c r="G40" s="3"/>
      <c r="H40" s="3"/>
      <c r="I40" s="8"/>
      <c r="J40" s="3"/>
      <c r="K40" s="3"/>
      <c r="L40" s="3"/>
      <c r="M40" s="3"/>
      <c r="N40" s="3"/>
      <c r="O40" s="3"/>
    </row>
    <row r="43" spans="1:19" ht="12.75" x14ac:dyDescent="0.2">
      <c r="B43" s="6"/>
      <c r="C43" s="6">
        <v>1</v>
      </c>
      <c r="D43" s="6">
        <v>2</v>
      </c>
      <c r="E43" s="6">
        <v>3</v>
      </c>
      <c r="F43" s="6">
        <v>4</v>
      </c>
      <c r="G43" s="6">
        <v>5</v>
      </c>
      <c r="H43" s="6">
        <v>6</v>
      </c>
      <c r="J43" s="21">
        <f>L16+M16+N16+O16+P16+J46</f>
        <v>50098309.451341122</v>
      </c>
      <c r="K43" s="21">
        <f>90000000-J43</f>
        <v>39901690.548658878</v>
      </c>
    </row>
    <row r="44" spans="1:19" ht="12.75" x14ac:dyDescent="0.2">
      <c r="A44" s="7">
        <f>C15+D15+E15+F15</f>
        <v>137306500</v>
      </c>
      <c r="J44">
        <f>10000000/L15</f>
        <v>0.74019245003700962</v>
      </c>
      <c r="K44" s="21">
        <f>K43/Q15</f>
        <v>0.68736407130813926</v>
      </c>
      <c r="M44" s="21"/>
      <c r="N44" s="21"/>
      <c r="O44" s="21"/>
      <c r="P44" s="21"/>
      <c r="Q44" s="21"/>
      <c r="R44" s="21"/>
      <c r="S44" s="21"/>
    </row>
    <row r="45" spans="1:19" ht="12.75" x14ac:dyDescent="0.2">
      <c r="A45" s="6">
        <v>140000000</v>
      </c>
      <c r="J45" s="6" t="s">
        <v>36</v>
      </c>
      <c r="M45" s="21"/>
      <c r="N45" s="21"/>
      <c r="O45" s="21"/>
      <c r="P45" s="30"/>
      <c r="Q45" s="21"/>
      <c r="R45" s="21"/>
      <c r="S45" s="21"/>
    </row>
    <row r="46" spans="1:19" ht="12.75" x14ac:dyDescent="0.2">
      <c r="A46" s="7">
        <f>A45-A44</f>
        <v>2693500</v>
      </c>
      <c r="M46" s="21"/>
      <c r="N46" s="21"/>
      <c r="O46" s="21"/>
      <c r="P46" s="21"/>
      <c r="Q46" s="21"/>
      <c r="R46" s="21"/>
      <c r="S46" s="21"/>
    </row>
    <row r="47" spans="1:19" ht="12.75" x14ac:dyDescent="0.2">
      <c r="M47" s="21"/>
    </row>
    <row r="48" spans="1:19" ht="12.75" x14ac:dyDescent="0.2">
      <c r="A48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Zuerlein</dc:creator>
  <cp:lastModifiedBy>Reid Zuerlein</cp:lastModifiedBy>
  <dcterms:created xsi:type="dcterms:W3CDTF">2019-01-28T03:53:50Z</dcterms:created>
  <dcterms:modified xsi:type="dcterms:W3CDTF">2019-01-28T03:53:50Z</dcterms:modified>
</cp:coreProperties>
</file>