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814DFC3E-2E91-4797-BE62-AAA7A8DD323F}" xr6:coauthVersionLast="40" xr6:coauthVersionMax="40" xr10:uidLastSave="{00000000-0000-0000-0000-000000000000}"/>
  <bookViews>
    <workbookView xWindow="7605" yWindow="1965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64" i="1" l="1"/>
  <c r="F65" i="1" s="1"/>
  <c r="F60" i="1"/>
  <c r="B52" i="1"/>
  <c r="C49" i="1" s="1"/>
  <c r="F36" i="1"/>
  <c r="B36" i="1"/>
  <c r="F29" i="1"/>
  <c r="F39" i="1" s="1"/>
  <c r="B29" i="1"/>
  <c r="L28" i="1"/>
  <c r="L32" i="1" s="1"/>
  <c r="I28" i="1"/>
  <c r="I32" i="1" s="1"/>
  <c r="B20" i="1"/>
  <c r="B15" i="1"/>
  <c r="E10" i="1"/>
  <c r="E6" i="1"/>
  <c r="B9" i="1" s="1"/>
  <c r="B11" i="1" s="1"/>
  <c r="E11" i="1" s="1"/>
  <c r="E14" i="1" s="1"/>
  <c r="E16" i="1" s="1"/>
  <c r="B21" i="1" s="1"/>
  <c r="D6" i="1"/>
  <c r="C6" i="1"/>
  <c r="B6" i="1"/>
  <c r="I30" i="1" l="1"/>
  <c r="I31" i="1"/>
  <c r="B38" i="1" s="1"/>
  <c r="B37" i="1"/>
  <c r="L30" i="1"/>
  <c r="L31" i="1"/>
  <c r="F37" i="1"/>
  <c r="B19" i="1"/>
  <c r="B22" i="1" s="1"/>
  <c r="C50" i="1"/>
  <c r="B39" i="1"/>
  <c r="C51" i="1"/>
  <c r="I33" i="1" l="1"/>
  <c r="B32" i="1" s="1"/>
  <c r="B34" i="1" s="1"/>
  <c r="B40" i="1" s="1"/>
  <c r="H50" i="1"/>
  <c r="I50" i="1" s="1"/>
  <c r="J50" i="1" s="1"/>
  <c r="H51" i="1"/>
  <c r="F38" i="1"/>
  <c r="H52" i="1"/>
  <c r="H49" i="1"/>
  <c r="I49" i="1" s="1"/>
  <c r="J49" i="1" s="1"/>
  <c r="L33" i="1"/>
  <c r="F32" i="1" s="1"/>
  <c r="F34" i="1" s="1"/>
  <c r="F40" i="1" s="1"/>
  <c r="B59" i="1" l="1"/>
  <c r="I52" i="1"/>
  <c r="F41" i="1"/>
  <c r="J53" i="1"/>
  <c r="I51" i="1" s="1"/>
  <c r="B41" i="1"/>
  <c r="J51" i="1" l="1"/>
  <c r="B61" i="1"/>
  <c r="B62" i="1" s="1"/>
  <c r="F61" i="1" s="1"/>
  <c r="F67" i="1" s="1"/>
</calcChain>
</file>

<file path=xl/sharedStrings.xml><?xml version="1.0" encoding="utf-8"?>
<sst xmlns="http://schemas.openxmlformats.org/spreadsheetml/2006/main" count="108" uniqueCount="54">
  <si>
    <t>Corporate WACC Caluclation:</t>
  </si>
  <si>
    <t>Income Before Taxes</t>
  </si>
  <si>
    <t>Tax Expense</t>
  </si>
  <si>
    <t>Tax Rate</t>
  </si>
  <si>
    <t>Average Tax Rate</t>
  </si>
  <si>
    <t>Levered Beta</t>
  </si>
  <si>
    <t>Target D/V</t>
  </si>
  <si>
    <t>Avg Tax Rate</t>
  </si>
  <si>
    <t>Target E/V</t>
  </si>
  <si>
    <t>Debt to Equity Ratio</t>
  </si>
  <si>
    <t>Target D/E</t>
  </si>
  <si>
    <t>Unlevered Beta</t>
  </si>
  <si>
    <t>New Levered Beta</t>
  </si>
  <si>
    <t>10 YR T-Bill Rate</t>
  </si>
  <si>
    <t>Spread to Treasury</t>
  </si>
  <si>
    <t>Rd</t>
  </si>
  <si>
    <t>EMRP</t>
  </si>
  <si>
    <t>Re</t>
  </si>
  <si>
    <t>D/V</t>
  </si>
  <si>
    <t>E/V</t>
  </si>
  <si>
    <t>WACC</t>
  </si>
  <si>
    <t>Cost of Capital of Exploration and Production:</t>
  </si>
  <si>
    <t>Cost of Capital of Refining:</t>
  </si>
  <si>
    <t>Beta E&amp;P</t>
  </si>
  <si>
    <t>Beta Refining</t>
  </si>
  <si>
    <t>Industry Average D/E</t>
  </si>
  <si>
    <t>Unlevered Beta E&amp;P</t>
  </si>
  <si>
    <t>Unlevered Beta Refining</t>
  </si>
  <si>
    <t xml:space="preserve">Re </t>
  </si>
  <si>
    <t>Industry Average Equity Beta</t>
  </si>
  <si>
    <t>Petrochemical WACC:</t>
  </si>
  <si>
    <t>Weight</t>
  </si>
  <si>
    <t>Beta</t>
  </si>
  <si>
    <t>Divisions</t>
  </si>
  <si>
    <t>Assets 2006 ($mil)</t>
  </si>
  <si>
    <t>Weights</t>
  </si>
  <si>
    <t>Avg Beta of Comps</t>
  </si>
  <si>
    <t>Avg Debt / Equity</t>
  </si>
  <si>
    <t>W x uB</t>
  </si>
  <si>
    <t>Exploration and Production</t>
  </si>
  <si>
    <t>Refining and Marketing</t>
  </si>
  <si>
    <t>Petrochemicals</t>
  </si>
  <si>
    <t>N/A</t>
  </si>
  <si>
    <t>TOTAL</t>
  </si>
  <si>
    <t>Midland Energy</t>
  </si>
  <si>
    <t>Formula for Unlevered Petro Beta: Midland Energy uBeta = (E&amp;P W x uB) + (R&amp;M W x uB) + (P W x uB)</t>
  </si>
  <si>
    <t>Solving for P uB</t>
  </si>
  <si>
    <t>Levering Petro Beta</t>
  </si>
  <si>
    <t>Risk Free Rate</t>
  </si>
  <si>
    <t>Debt / Equity</t>
  </si>
  <si>
    <t>Cost of Debt</t>
  </si>
  <si>
    <t>Cost of Equity</t>
  </si>
  <si>
    <t>Risk Premium</t>
  </si>
  <si>
    <t>10 Yr Treasury Spread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</si>
</sst>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&quot;$&quot;* #,##0_);_(&quot;$&quot;* \(#,##0\);_(&quot;$&quot;* &quot;-&quot;??_);_(@_)"/>
    <numFmt numFmtId="165" formatCode="0.0000"/>
    <numFmt numFmtId="166" formatCode="0.000"/>
    <numFmt numFmtId="167" formatCode="0.0%"/>
  </numFmts>
  <fonts count="7">
    <font>
      <sz val="10"/>
      <color rgb="FF000000"/>
      <name val="Arial"/>
    </font>
    <font>
      <b/>
      <sz val="9"/>
      <color rgb="FF00000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1"/>
      <color rgb="FF000000"/>
      <name val="Inconsolata"/>
    </font>
    <font>
      <sz val="11"/>
      <color rgb="FF000000"/>
      <name val="Inconsolata"/>
    </font>
    <font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1" fillId="2" borderId="0" xfId="0" applyFont="1" applyFill="1" applyAlignment="1"/>
    <xf numFmtId="0" fontId="2" fillId="0" borderId="1" xfId="0" applyFont="1" applyBorder="1"/>
    <xf numFmtId="0" fontId="2" fillId="0" borderId="1" xfId="0" applyFont="1" applyBorder="1" applyAlignment="1"/>
    <xf numFmtId="164" fontId="2" fillId="0" borderId="1" xfId="0" applyNumberFormat="1" applyFont="1" applyBorder="1" applyAlignment="1"/>
    <xf numFmtId="10" fontId="2" fillId="0" borderId="1" xfId="0" applyNumberFormat="1" applyFont="1" applyBorder="1"/>
    <xf numFmtId="10" fontId="3" fillId="3" borderId="1" xfId="0" applyNumberFormat="1" applyFont="1" applyFill="1" applyBorder="1"/>
    <xf numFmtId="0" fontId="3" fillId="0" borderId="1" xfId="0" applyFont="1" applyBorder="1" applyAlignment="1"/>
    <xf numFmtId="10" fontId="2" fillId="0" borderId="1" xfId="0" applyNumberFormat="1" applyFont="1" applyBorder="1" applyAlignment="1"/>
    <xf numFmtId="165" fontId="3" fillId="3" borderId="1" xfId="0" applyNumberFormat="1" applyFont="1" applyFill="1" applyBorder="1"/>
    <xf numFmtId="2" fontId="3" fillId="3" borderId="1" xfId="0" applyNumberFormat="1" applyFont="1" applyFill="1" applyBorder="1"/>
    <xf numFmtId="2" fontId="2" fillId="0" borderId="1" xfId="0" applyNumberFormat="1" applyFont="1" applyBorder="1"/>
    <xf numFmtId="0" fontId="3" fillId="0" borderId="0" xfId="0" applyFont="1" applyAlignment="1"/>
    <xf numFmtId="9" fontId="2" fillId="0" borderId="1" xfId="0" applyNumberFormat="1" applyFont="1" applyBorder="1" applyAlignment="1"/>
    <xf numFmtId="9" fontId="2" fillId="0" borderId="1" xfId="0" applyNumberFormat="1" applyFont="1" applyBorder="1"/>
    <xf numFmtId="166" fontId="0" fillId="2" borderId="1" xfId="0" applyNumberFormat="1" applyFont="1" applyFill="1" applyBorder="1"/>
    <xf numFmtId="2" fontId="2" fillId="0" borderId="1" xfId="0" applyNumberFormat="1" applyFont="1" applyBorder="1" applyAlignment="1"/>
    <xf numFmtId="166" fontId="2" fillId="0" borderId="1" xfId="0" applyNumberFormat="1" applyFont="1" applyBorder="1"/>
    <xf numFmtId="2" fontId="2" fillId="2" borderId="1" xfId="0" applyNumberFormat="1" applyFont="1" applyFill="1" applyBorder="1"/>
    <xf numFmtId="2" fontId="2" fillId="0" borderId="0" xfId="0" applyNumberFormat="1" applyFont="1"/>
    <xf numFmtId="166" fontId="4" fillId="3" borderId="1" xfId="0" applyNumberFormat="1" applyFont="1" applyFill="1" applyBorder="1"/>
    <xf numFmtId="0" fontId="5" fillId="2" borderId="0" xfId="0" applyFont="1" applyFill="1"/>
    <xf numFmtId="2" fontId="4" fillId="3" borderId="1" xfId="0" applyNumberFormat="1" applyFont="1" applyFill="1" applyBorder="1"/>
    <xf numFmtId="0" fontId="2" fillId="0" borderId="0" xfId="0" applyFont="1" applyAlignment="1"/>
    <xf numFmtId="0" fontId="6" fillId="0" borderId="0" xfId="0" applyFont="1" applyAlignment="1"/>
    <xf numFmtId="0" fontId="6" fillId="0" borderId="0" xfId="0" applyFont="1"/>
    <xf numFmtId="3" fontId="2" fillId="0" borderId="1" xfId="0" applyNumberFormat="1" applyFont="1" applyBorder="1" applyAlignment="1"/>
    <xf numFmtId="167" fontId="2" fillId="0" borderId="1" xfId="0" applyNumberFormat="1" applyFont="1" applyBorder="1" applyAlignment="1"/>
    <xf numFmtId="165" fontId="2" fillId="0" borderId="1" xfId="0" applyNumberFormat="1" applyFont="1" applyBorder="1"/>
    <xf numFmtId="3" fontId="3" fillId="0" borderId="1" xfId="0" applyNumberFormat="1" applyFont="1" applyBorder="1" applyAlignment="1"/>
    <xf numFmtId="0" fontId="2" fillId="0" borderId="1" xfId="0" applyFont="1" applyBorder="1" applyAlignment="1">
      <alignment horizontal="right"/>
    </xf>
    <xf numFmtId="167" fontId="2" fillId="0" borderId="1" xfId="0" applyNumberFormat="1" applyFont="1" applyBorder="1"/>
    <xf numFmtId="166" fontId="3" fillId="3" borderId="1" xfId="0" applyNumberFormat="1" applyFont="1" applyFill="1" applyBorder="1"/>
    <xf numFmtId="165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/>
    <xf numFmtId="165" fontId="2" fillId="0" borderId="0" xfId="0" applyNumberFormat="1" applyFont="1"/>
    <xf numFmtId="166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67"/>
  <sheetViews>
    <sheetView tabSelected="1" workbookViewId="0"/>
  </sheetViews>
  <sheetFormatPr defaultColWidth="14.42578125" defaultRowHeight="15.75" customHeight="1"/>
  <cols>
    <col min="1" max="1" width="24.7109375" customWidth="1"/>
    <col min="2" max="2" width="16.7109375" customWidth="1"/>
    <col min="4" max="4" width="17.140625" customWidth="1"/>
    <col min="5" max="5" width="23.7109375" customWidth="1"/>
    <col min="6" max="6" width="16.5703125" customWidth="1"/>
    <col min="7" max="7" width="17" customWidth="1"/>
    <col min="8" max="8" width="25.140625" customWidth="1"/>
    <col min="11" max="11" width="25.140625" customWidth="1"/>
  </cols>
  <sheetData>
    <row r="1" spans="1:6" ht="15.75" customHeight="1">
      <c r="A1" s="1" t="s">
        <v>0</v>
      </c>
    </row>
    <row r="3" spans="1:6" ht="15.75" customHeight="1">
      <c r="A3" s="2"/>
      <c r="B3" s="3">
        <v>2004</v>
      </c>
      <c r="C3" s="3">
        <v>2005</v>
      </c>
      <c r="D3" s="3">
        <v>2006</v>
      </c>
    </row>
    <row r="4" spans="1:6" ht="15.75" customHeight="1">
      <c r="A4" s="3" t="s">
        <v>1</v>
      </c>
      <c r="B4" s="4">
        <v>17910</v>
      </c>
      <c r="C4" s="4">
        <v>32723</v>
      </c>
      <c r="D4" s="4">
        <v>30447</v>
      </c>
    </row>
    <row r="5" spans="1:6" ht="15.75" customHeight="1">
      <c r="A5" s="3" t="s">
        <v>2</v>
      </c>
      <c r="B5" s="4">
        <v>7414</v>
      </c>
      <c r="C5" s="4">
        <v>12830</v>
      </c>
      <c r="D5" s="4">
        <v>11747</v>
      </c>
    </row>
    <row r="6" spans="1:6" ht="15.75" customHeight="1">
      <c r="A6" s="3" t="s">
        <v>3</v>
      </c>
      <c r="B6" s="5">
        <f t="shared" ref="B6:D6" si="0">B5/B4</f>
        <v>0.41395868230039085</v>
      </c>
      <c r="C6" s="5">
        <f t="shared" si="0"/>
        <v>0.39207896586498792</v>
      </c>
      <c r="D6" s="5">
        <f t="shared" si="0"/>
        <v>0.38581797878280288</v>
      </c>
      <c r="E6" s="6">
        <f>AVERAGE(B6:D6)</f>
        <v>0.39728520898272723</v>
      </c>
      <c r="F6" s="7" t="s">
        <v>4</v>
      </c>
    </row>
    <row r="8" spans="1:6" ht="15.75" customHeight="1">
      <c r="A8" s="3" t="s">
        <v>5</v>
      </c>
      <c r="B8" s="3">
        <v>1.25</v>
      </c>
      <c r="D8" s="3" t="s">
        <v>6</v>
      </c>
      <c r="E8" s="8">
        <v>0.42199999999999999</v>
      </c>
    </row>
    <row r="9" spans="1:6" ht="15.75" customHeight="1">
      <c r="A9" s="3" t="s">
        <v>7</v>
      </c>
      <c r="B9" s="5">
        <f>E6</f>
        <v>0.39728520898272723</v>
      </c>
      <c r="D9" s="3" t="s">
        <v>8</v>
      </c>
      <c r="E9" s="8">
        <v>0.57799999999999996</v>
      </c>
    </row>
    <row r="10" spans="1:6" ht="15.75" customHeight="1">
      <c r="A10" s="3" t="s">
        <v>9</v>
      </c>
      <c r="B10" s="8">
        <v>0.59299999999999997</v>
      </c>
      <c r="D10" s="3" t="s">
        <v>10</v>
      </c>
      <c r="E10" s="8">
        <f>E8/E9</f>
        <v>0.73010380622837379</v>
      </c>
    </row>
    <row r="11" spans="1:6" ht="15.75" customHeight="1">
      <c r="A11" s="7" t="s">
        <v>11</v>
      </c>
      <c r="B11" s="9">
        <f>B8/(1+(1-B9)*B10)</f>
        <v>0.92087145278506144</v>
      </c>
      <c r="D11" s="7" t="s">
        <v>12</v>
      </c>
      <c r="E11" s="10">
        <f>B11*(1+(1-E6)*E10)</f>
        <v>1.3260957446232431</v>
      </c>
    </row>
    <row r="13" spans="1:6" ht="15.75" customHeight="1">
      <c r="A13" s="3" t="s">
        <v>13</v>
      </c>
      <c r="B13" s="8">
        <v>4.6600000000000003E-2</v>
      </c>
      <c r="D13" s="3" t="s">
        <v>13</v>
      </c>
      <c r="E13" s="8">
        <v>4.6600000000000003E-2</v>
      </c>
    </row>
    <row r="14" spans="1:6" ht="15.75" customHeight="1">
      <c r="A14" s="3" t="s">
        <v>14</v>
      </c>
      <c r="B14" s="8">
        <v>1.6199999999999999E-2</v>
      </c>
      <c r="D14" s="3" t="s">
        <v>12</v>
      </c>
      <c r="E14" s="11">
        <f>E11</f>
        <v>1.3260957446232431</v>
      </c>
    </row>
    <row r="15" spans="1:6" ht="15.75" customHeight="1">
      <c r="A15" s="7" t="s">
        <v>15</v>
      </c>
      <c r="B15" s="6">
        <f>B13+B14</f>
        <v>6.2799999999999995E-2</v>
      </c>
      <c r="D15" s="3" t="s">
        <v>16</v>
      </c>
      <c r="E15" s="8">
        <v>0.05</v>
      </c>
    </row>
    <row r="16" spans="1:6" ht="15.75" customHeight="1">
      <c r="D16" s="7" t="s">
        <v>17</v>
      </c>
      <c r="E16" s="6">
        <f>E13+(E14*E15)</f>
        <v>0.11290478723116217</v>
      </c>
    </row>
    <row r="17" spans="1:12" ht="15.75" customHeight="1">
      <c r="A17" s="3" t="s">
        <v>18</v>
      </c>
      <c r="B17" s="8">
        <v>0.42199999999999999</v>
      </c>
    </row>
    <row r="18" spans="1:12" ht="15.75" customHeight="1">
      <c r="A18" s="3" t="s">
        <v>19</v>
      </c>
      <c r="B18" s="8">
        <v>0.57799999999999996</v>
      </c>
    </row>
    <row r="19" spans="1:12" ht="15.75" customHeight="1">
      <c r="A19" s="3" t="s">
        <v>3</v>
      </c>
      <c r="B19" s="5">
        <f>E6</f>
        <v>0.39728520898272723</v>
      </c>
    </row>
    <row r="20" spans="1:12" ht="15.75" customHeight="1">
      <c r="A20" s="3" t="s">
        <v>15</v>
      </c>
      <c r="B20" s="5">
        <f>B15</f>
        <v>6.2799999999999995E-2</v>
      </c>
    </row>
    <row r="21" spans="1:12" ht="15.75" customHeight="1">
      <c r="A21" s="3" t="s">
        <v>17</v>
      </c>
      <c r="B21" s="5">
        <f>E16</f>
        <v>0.11290478723116217</v>
      </c>
    </row>
    <row r="22" spans="1:12" ht="15.75" customHeight="1">
      <c r="A22" s="7" t="s">
        <v>20</v>
      </c>
      <c r="B22" s="6">
        <f>(B20*B17*(1-B19))+(B21*B18)</f>
        <v>8.1231873325235085E-2</v>
      </c>
    </row>
    <row r="25" spans="1:12" ht="15.75" customHeight="1">
      <c r="A25" s="1" t="s">
        <v>21</v>
      </c>
      <c r="E25" s="1" t="s">
        <v>22</v>
      </c>
      <c r="H25" s="12" t="s">
        <v>23</v>
      </c>
      <c r="K25" s="12" t="s">
        <v>24</v>
      </c>
    </row>
    <row r="26" spans="1:12" ht="15.75" customHeight="1">
      <c r="E26" s="2"/>
      <c r="F26" s="2"/>
    </row>
    <row r="27" spans="1:12" ht="15.75" customHeight="1">
      <c r="A27" s="3" t="s">
        <v>13</v>
      </c>
      <c r="B27" s="8">
        <v>4.6600000000000003E-2</v>
      </c>
      <c r="E27" s="3" t="s">
        <v>13</v>
      </c>
      <c r="F27" s="8">
        <v>4.6600000000000003E-2</v>
      </c>
      <c r="H27" s="3" t="s">
        <v>18</v>
      </c>
      <c r="I27" s="13">
        <v>0.46</v>
      </c>
      <c r="K27" s="3" t="s">
        <v>18</v>
      </c>
      <c r="L27" s="13">
        <v>0.31</v>
      </c>
    </row>
    <row r="28" spans="1:12" ht="15.75" customHeight="1">
      <c r="A28" s="3" t="s">
        <v>14</v>
      </c>
      <c r="B28" s="8">
        <v>1.6E-2</v>
      </c>
      <c r="E28" s="3" t="s">
        <v>14</v>
      </c>
      <c r="F28" s="8">
        <v>1.7999999999999999E-2</v>
      </c>
      <c r="H28" s="3" t="s">
        <v>19</v>
      </c>
      <c r="I28" s="14">
        <f>1-I27</f>
        <v>0.54</v>
      </c>
      <c r="K28" s="3" t="s">
        <v>19</v>
      </c>
      <c r="L28" s="14">
        <f>1-L27</f>
        <v>0.69</v>
      </c>
    </row>
    <row r="29" spans="1:12" ht="15.75" customHeight="1">
      <c r="A29" s="3" t="s">
        <v>15</v>
      </c>
      <c r="B29" s="6">
        <f>SUM(B27:B28)</f>
        <v>6.2600000000000003E-2</v>
      </c>
      <c r="E29" s="3" t="s">
        <v>15</v>
      </c>
      <c r="F29" s="6">
        <f>SUM(F27:F28)</f>
        <v>6.4600000000000005E-2</v>
      </c>
      <c r="H29" s="3" t="s">
        <v>25</v>
      </c>
      <c r="I29" s="8">
        <v>0.39800000000000002</v>
      </c>
      <c r="K29" s="3" t="s">
        <v>25</v>
      </c>
      <c r="L29" s="8">
        <v>0.20300000000000001</v>
      </c>
    </row>
    <row r="30" spans="1:12" ht="15.75" customHeight="1">
      <c r="H30" s="3" t="s">
        <v>26</v>
      </c>
      <c r="I30" s="15">
        <f>I37/(1+(1-E6)*I29)</f>
        <v>0.92750874960937291</v>
      </c>
      <c r="K30" s="3" t="s">
        <v>27</v>
      </c>
      <c r="L30" s="16">
        <f>L37/(1+(1-E6)*L29)</f>
        <v>1.0691841414377732</v>
      </c>
    </row>
    <row r="31" spans="1:12" ht="15.75" customHeight="1">
      <c r="A31" s="3" t="s">
        <v>13</v>
      </c>
      <c r="B31" s="8">
        <v>4.6600000000000003E-2</v>
      </c>
      <c r="E31" s="3" t="s">
        <v>13</v>
      </c>
      <c r="F31" s="8">
        <v>4.6600000000000003E-2</v>
      </c>
      <c r="H31" s="3" t="s">
        <v>4</v>
      </c>
      <c r="I31" s="5">
        <f>E6</f>
        <v>0.39728520898272723</v>
      </c>
      <c r="K31" s="3" t="s">
        <v>4</v>
      </c>
      <c r="L31" s="5">
        <f>E6</f>
        <v>0.39728520898272723</v>
      </c>
    </row>
    <row r="32" spans="1:12" ht="15.75" customHeight="1">
      <c r="A32" s="3" t="s">
        <v>12</v>
      </c>
      <c r="B32" s="17">
        <f>I33</f>
        <v>1.4026785054687523</v>
      </c>
      <c r="E32" s="3" t="s">
        <v>12</v>
      </c>
      <c r="F32" s="11">
        <f>L33</f>
        <v>1.3591700348023155</v>
      </c>
      <c r="H32" s="3" t="s">
        <v>10</v>
      </c>
      <c r="I32" s="18">
        <f>I27/I28</f>
        <v>0.85185185185185186</v>
      </c>
      <c r="J32" s="19"/>
      <c r="K32" s="3" t="s">
        <v>10</v>
      </c>
      <c r="L32" s="18">
        <f>L27/L28</f>
        <v>0.44927536231884063</v>
      </c>
    </row>
    <row r="33" spans="1:12">
      <c r="A33" s="3" t="s">
        <v>16</v>
      </c>
      <c r="B33" s="8">
        <v>0.05</v>
      </c>
      <c r="E33" s="3" t="s">
        <v>16</v>
      </c>
      <c r="F33" s="8">
        <v>0.05</v>
      </c>
      <c r="H33" s="3" t="s">
        <v>12</v>
      </c>
      <c r="I33" s="20">
        <f>I30*(1+(1-I31)*0.85)</f>
        <v>1.4026785054687523</v>
      </c>
      <c r="J33" s="21"/>
      <c r="K33" s="3" t="s">
        <v>12</v>
      </c>
      <c r="L33" s="22">
        <f>L30*(1+(1-L31)*0.45)</f>
        <v>1.3591700348023155</v>
      </c>
    </row>
    <row r="34" spans="1:12" ht="15.75" customHeight="1">
      <c r="A34" s="3" t="s">
        <v>17</v>
      </c>
      <c r="B34" s="6">
        <f>B31+(B32*B33)</f>
        <v>0.11673392527343762</v>
      </c>
      <c r="E34" s="3" t="s">
        <v>28</v>
      </c>
      <c r="F34" s="6">
        <f>F31+(F32*F33)</f>
        <v>0.11455850174011578</v>
      </c>
    </row>
    <row r="36" spans="1:12" ht="15.75" customHeight="1">
      <c r="A36" s="3" t="s">
        <v>18</v>
      </c>
      <c r="B36" s="14">
        <f t="shared" ref="B36:B37" si="1">I27</f>
        <v>0.46</v>
      </c>
      <c r="E36" s="3" t="s">
        <v>18</v>
      </c>
      <c r="F36" s="14">
        <f t="shared" ref="F36:F37" si="2">L27</f>
        <v>0.31</v>
      </c>
    </row>
    <row r="37" spans="1:12" ht="15.75" customHeight="1">
      <c r="A37" s="3" t="s">
        <v>19</v>
      </c>
      <c r="B37" s="14">
        <f t="shared" si="1"/>
        <v>0.54</v>
      </c>
      <c r="E37" s="3" t="s">
        <v>19</v>
      </c>
      <c r="F37" s="14">
        <f t="shared" si="2"/>
        <v>0.69</v>
      </c>
      <c r="H37" s="23" t="s">
        <v>29</v>
      </c>
      <c r="I37" s="23">
        <v>1.1499999999999999</v>
      </c>
      <c r="K37" s="23" t="s">
        <v>29</v>
      </c>
      <c r="L37" s="23">
        <v>1.2</v>
      </c>
    </row>
    <row r="38" spans="1:12" ht="15.75" customHeight="1">
      <c r="A38" s="3" t="s">
        <v>3</v>
      </c>
      <c r="B38" s="5">
        <f>I31</f>
        <v>0.39728520898272723</v>
      </c>
      <c r="E38" s="3" t="s">
        <v>3</v>
      </c>
      <c r="F38" s="5">
        <f>L31</f>
        <v>0.39728520898272723</v>
      </c>
    </row>
    <row r="39" spans="1:12" ht="12.75">
      <c r="A39" s="3" t="s">
        <v>15</v>
      </c>
      <c r="B39" s="5">
        <f>B29</f>
        <v>6.2600000000000003E-2</v>
      </c>
      <c r="E39" s="3" t="s">
        <v>15</v>
      </c>
      <c r="F39" s="5">
        <f>F29</f>
        <v>6.4600000000000005E-2</v>
      </c>
    </row>
    <row r="40" spans="1:12" ht="12.75">
      <c r="A40" s="3" t="s">
        <v>17</v>
      </c>
      <c r="B40" s="5">
        <f>B34</f>
        <v>0.11673392527343762</v>
      </c>
      <c r="E40" s="3" t="s">
        <v>17</v>
      </c>
      <c r="F40" s="5">
        <f>F34</f>
        <v>0.11455850174011578</v>
      </c>
    </row>
    <row r="41" spans="1:12" ht="12.75">
      <c r="A41" s="7" t="s">
        <v>20</v>
      </c>
      <c r="B41" s="6">
        <f>(B29*B36*(1-B38))+(B34*B37)</f>
        <v>8.0392094769789715E-2</v>
      </c>
      <c r="E41" s="7" t="s">
        <v>20</v>
      </c>
      <c r="F41" s="6">
        <f>(F39*F36*(1-F38)+(F37*F40))</f>
        <v>9.1115332605591792E-2</v>
      </c>
    </row>
    <row r="44" spans="1:12" ht="12.75">
      <c r="A44" s="12" t="s">
        <v>30</v>
      </c>
    </row>
    <row r="46" spans="1:12" ht="12.75">
      <c r="A46" s="24" t="s">
        <v>31</v>
      </c>
      <c r="B46" s="25"/>
      <c r="C46" s="25"/>
      <c r="D46" s="25"/>
      <c r="E46" s="24" t="s">
        <v>32</v>
      </c>
    </row>
    <row r="48" spans="1:12" ht="12.75">
      <c r="A48" s="3" t="s">
        <v>33</v>
      </c>
      <c r="B48" s="3" t="s">
        <v>34</v>
      </c>
      <c r="C48" s="3" t="s">
        <v>35</v>
      </c>
      <c r="E48" s="3" t="s">
        <v>33</v>
      </c>
      <c r="F48" s="3" t="s">
        <v>36</v>
      </c>
      <c r="G48" s="3" t="s">
        <v>37</v>
      </c>
      <c r="H48" s="3" t="s">
        <v>3</v>
      </c>
      <c r="I48" s="3" t="s">
        <v>11</v>
      </c>
      <c r="J48" s="3" t="s">
        <v>38</v>
      </c>
    </row>
    <row r="49" spans="1:10" ht="12.75">
      <c r="A49" s="3" t="s">
        <v>39</v>
      </c>
      <c r="B49" s="26">
        <v>140100</v>
      </c>
      <c r="C49" s="5">
        <f>B49/B52</f>
        <v>0.53396041603939337</v>
      </c>
      <c r="E49" s="3" t="s">
        <v>39</v>
      </c>
      <c r="F49" s="3">
        <v>1.1499999999999999</v>
      </c>
      <c r="G49" s="27">
        <v>0.39800000000000002</v>
      </c>
      <c r="H49" s="5">
        <f>L31</f>
        <v>0.39728520898272723</v>
      </c>
      <c r="I49" s="17">
        <f t="shared" ref="I49:I50" si="3">F49/(1+(1-H49)*(G49))</f>
        <v>0.92750874960937291</v>
      </c>
      <c r="J49" s="28">
        <f t="shared" ref="J49:J51" si="4">I49*C49</f>
        <v>0.49525295782159828</v>
      </c>
    </row>
    <row r="50" spans="1:10" ht="12.75">
      <c r="A50" s="3" t="s">
        <v>40</v>
      </c>
      <c r="B50" s="26">
        <v>93829</v>
      </c>
      <c r="C50" s="5">
        <f>B50/B52</f>
        <v>0.35760865008251425</v>
      </c>
      <c r="E50" s="3" t="s">
        <v>40</v>
      </c>
      <c r="F50" s="3">
        <v>1.2</v>
      </c>
      <c r="G50" s="27">
        <v>0.20300000000000001</v>
      </c>
      <c r="H50" s="5">
        <f>L31</f>
        <v>0.39728520898272723</v>
      </c>
      <c r="I50" s="17">
        <f t="shared" si="3"/>
        <v>1.0691841414377732</v>
      </c>
      <c r="J50" s="28">
        <f t="shared" si="4"/>
        <v>0.38234949750919406</v>
      </c>
    </row>
    <row r="51" spans="1:10" ht="12.75">
      <c r="A51" s="7" t="s">
        <v>41</v>
      </c>
      <c r="B51" s="29">
        <v>28450</v>
      </c>
      <c r="C51" s="6">
        <f>B51/B52</f>
        <v>0.10843093387809238</v>
      </c>
      <c r="E51" s="7" t="s">
        <v>41</v>
      </c>
      <c r="F51" s="30" t="s">
        <v>42</v>
      </c>
      <c r="G51" s="31"/>
      <c r="H51" s="5">
        <f>L31</f>
        <v>0.39728520898272723</v>
      </c>
      <c r="I51" s="32">
        <f>J53/C51</f>
        <v>0.4002321396401417</v>
      </c>
      <c r="J51" s="33">
        <f t="shared" si="4"/>
        <v>4.3397544669207644E-2</v>
      </c>
    </row>
    <row r="52" spans="1:10" ht="12.75">
      <c r="A52" s="3" t="s">
        <v>43</v>
      </c>
      <c r="B52" s="34">
        <f>SUM(B49:B51)</f>
        <v>262379</v>
      </c>
      <c r="C52" s="2"/>
      <c r="E52" s="3" t="s">
        <v>44</v>
      </c>
      <c r="F52" s="3">
        <v>1.25</v>
      </c>
      <c r="G52" s="27">
        <v>0.59299999999999997</v>
      </c>
      <c r="H52" s="5">
        <f>L31</f>
        <v>0.39728520898272723</v>
      </c>
      <c r="I52" s="17">
        <f>F52/(1+(1-H52)*(G52))</f>
        <v>0.92087145278506144</v>
      </c>
      <c r="J52" s="2"/>
    </row>
    <row r="53" spans="1:10" ht="12.75">
      <c r="J53" s="35">
        <f>0.921-J50-J49</f>
        <v>4.3397544669207644E-2</v>
      </c>
    </row>
    <row r="54" spans="1:10" ht="12.75">
      <c r="E54" s="23" t="s">
        <v>45</v>
      </c>
    </row>
    <row r="55" spans="1:10" ht="12.75">
      <c r="E55" s="23" t="s">
        <v>46</v>
      </c>
      <c r="J55" s="36"/>
    </row>
    <row r="57" spans="1:10" ht="12.75">
      <c r="A57" s="24" t="s">
        <v>47</v>
      </c>
      <c r="E57" s="24"/>
    </row>
    <row r="59" spans="1:10" ht="12.75">
      <c r="A59" s="3" t="s">
        <v>3</v>
      </c>
      <c r="B59" s="5">
        <f>H52</f>
        <v>0.39728520898272723</v>
      </c>
      <c r="E59" s="3" t="s">
        <v>48</v>
      </c>
      <c r="F59" s="8">
        <v>4.6600000000000003E-2</v>
      </c>
    </row>
    <row r="60" spans="1:10" ht="12.75">
      <c r="A60" s="3" t="s">
        <v>49</v>
      </c>
      <c r="B60" s="8">
        <v>0.66669999999999996</v>
      </c>
      <c r="E60" s="3" t="s">
        <v>50</v>
      </c>
      <c r="F60" s="8">
        <f>F59+F63</f>
        <v>6.0100000000000001E-2</v>
      </c>
    </row>
    <row r="61" spans="1:10" ht="12.75">
      <c r="A61" s="3" t="s">
        <v>11</v>
      </c>
      <c r="B61" s="17">
        <f>I51</f>
        <v>0.4002321396401417</v>
      </c>
      <c r="E61" s="3" t="s">
        <v>51</v>
      </c>
      <c r="F61" s="5">
        <f>F59+(B62*F62)</f>
        <v>7.4652870038444563E-2</v>
      </c>
    </row>
    <row r="62" spans="1:10" ht="12.75">
      <c r="A62" s="3" t="s">
        <v>5</v>
      </c>
      <c r="B62" s="17">
        <f>B61*(1+(1-B59)*(B60))</f>
        <v>0.5610574007688911</v>
      </c>
      <c r="E62" s="3" t="s">
        <v>52</v>
      </c>
      <c r="F62" s="13">
        <v>0.05</v>
      </c>
    </row>
    <row r="63" spans="1:10" ht="12.75">
      <c r="E63" s="3" t="s">
        <v>53</v>
      </c>
      <c r="F63" s="8">
        <v>1.35E-2</v>
      </c>
    </row>
    <row r="64" spans="1:10" ht="12.75">
      <c r="E64" s="3" t="s">
        <v>18</v>
      </c>
      <c r="F64" s="2">
        <f>0.4</f>
        <v>0.4</v>
      </c>
    </row>
    <row r="65" spans="5:6" ht="12.75">
      <c r="E65" s="3" t="s">
        <v>19</v>
      </c>
      <c r="F65" s="2">
        <f>1-F64</f>
        <v>0.6</v>
      </c>
    </row>
    <row r="66" spans="5:6" ht="12.75">
      <c r="E66" s="2"/>
      <c r="F66" s="2"/>
    </row>
    <row r="67" spans="5:6" ht="12.75">
      <c r="E67" s="7" t="s">
        <v>20</v>
      </c>
      <c r="F67" s="6">
        <f>(F60*(1-H52)*(F64))+(F61*F65)</f>
        <v>5.9280985599121969E-2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Reid Zuerlein</dc:creator>
  <cp:lastModifiedBy>Reid Zuerlein</cp:lastModifiedBy>
  <dcterms:created xsi:type="dcterms:W3CDTF">2019-02-18T04:51:37Z</dcterms:created>
  <dcterms:modified xsi:type="dcterms:W3CDTF">2019-02-18T04:51:37Z</dcterms:modified>
</cp:coreProperties>
</file>