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lucas\Desktop\Spring 2019\Fina 475\sim2\"/>
    </mc:Choice>
  </mc:AlternateContent>
  <xr:revisionPtr revIDLastSave="0" documentId="13_ncr:1_{8C06BA5F-2962-4D9A-8C38-A81BFAA3CFD3}" xr6:coauthVersionLast="40" xr6:coauthVersionMax="40" xr10:uidLastSave="{00000000-0000-0000-0000-000000000000}"/>
  <bookViews>
    <workbookView xWindow="12607" yWindow="3435" windowWidth="16876" windowHeight="10522" xr2:uid="{00000000-000D-0000-FFFF-FFFF00000000}"/>
  </bookViews>
  <sheets>
    <sheet name="ReadMe" sheetId="2" r:id="rId1"/>
    <sheet name="Bel Vino Valuation (Expanded)" sheetId="1" r:id="rId2"/>
    <sheet name="Starshine Valuation (Expanded)" sheetId="4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4" l="1"/>
  <c r="G46" i="4"/>
  <c r="H46" i="4"/>
  <c r="I46" i="4"/>
  <c r="J46" i="4"/>
  <c r="P50" i="4"/>
  <c r="P50" i="1"/>
  <c r="P46" i="1"/>
  <c r="P48" i="1"/>
  <c r="P49" i="1"/>
  <c r="F49" i="1"/>
  <c r="G49" i="1"/>
  <c r="H49" i="1"/>
  <c r="I49" i="1"/>
  <c r="J49" i="1"/>
  <c r="F46" i="1"/>
  <c r="G46" i="1"/>
  <c r="H46" i="1"/>
  <c r="I46" i="1"/>
  <c r="J46" i="1"/>
  <c r="E46" i="1"/>
  <c r="J47" i="4"/>
  <c r="J47" i="1"/>
  <c r="P49" i="4"/>
  <c r="J49" i="4"/>
  <c r="I49" i="4"/>
  <c r="H49" i="4"/>
  <c r="G49" i="4"/>
  <c r="J50" i="4"/>
  <c r="I50" i="4"/>
  <c r="H50" i="4"/>
  <c r="G50" i="4"/>
  <c r="F49" i="4"/>
  <c r="F50" i="4"/>
  <c r="P46" i="4"/>
  <c r="P48" i="4"/>
  <c r="G50" i="1"/>
  <c r="H50" i="1"/>
  <c r="I50" i="1"/>
  <c r="J50" i="1"/>
  <c r="F50" i="1"/>
  <c r="J25" i="1"/>
  <c r="G25" i="1"/>
  <c r="H25" i="1"/>
  <c r="I25" i="1"/>
  <c r="F25" i="1"/>
  <c r="F26" i="1"/>
  <c r="F27" i="1"/>
  <c r="F44" i="1"/>
  <c r="G26" i="1"/>
  <c r="G27" i="1"/>
  <c r="G44" i="1"/>
  <c r="H26" i="1"/>
  <c r="H27" i="1"/>
  <c r="H44" i="1"/>
  <c r="I26" i="1"/>
  <c r="I27" i="1"/>
  <c r="I44" i="1"/>
  <c r="J26" i="1"/>
  <c r="J27" i="1"/>
  <c r="J44" i="1"/>
  <c r="E51" i="1"/>
  <c r="E53" i="1"/>
  <c r="E40" i="1"/>
  <c r="E41" i="1"/>
  <c r="E42" i="1"/>
  <c r="E43" i="1"/>
  <c r="E44" i="1"/>
  <c r="E45" i="1"/>
  <c r="E56" i="1"/>
  <c r="F10" i="4"/>
  <c r="G10" i="4"/>
  <c r="H10" i="4"/>
  <c r="I10" i="4"/>
  <c r="J10" i="4"/>
  <c r="F11" i="4"/>
  <c r="G11" i="4"/>
  <c r="H11" i="4"/>
  <c r="I11" i="4"/>
  <c r="J11" i="4"/>
  <c r="J12" i="4"/>
  <c r="J13" i="4"/>
  <c r="C35" i="4"/>
  <c r="D32" i="4"/>
  <c r="D35" i="4"/>
  <c r="E32" i="4"/>
  <c r="E35" i="4"/>
  <c r="F32" i="4"/>
  <c r="F34" i="4"/>
  <c r="F35" i="4"/>
  <c r="G32" i="4"/>
  <c r="G34" i="4"/>
  <c r="G35" i="4"/>
  <c r="H32" i="4"/>
  <c r="H34" i="4"/>
  <c r="H35" i="4"/>
  <c r="I32" i="4"/>
  <c r="I34" i="4"/>
  <c r="I35" i="4"/>
  <c r="J32" i="4"/>
  <c r="J14" i="4"/>
  <c r="J15" i="4"/>
  <c r="J16" i="4"/>
  <c r="J17" i="4"/>
  <c r="J40" i="4"/>
  <c r="D41" i="4"/>
  <c r="J41" i="4"/>
  <c r="J34" i="4"/>
  <c r="J42" i="4"/>
  <c r="J43" i="4"/>
  <c r="J21" i="4"/>
  <c r="J22" i="4"/>
  <c r="J23" i="4"/>
  <c r="J24" i="4"/>
  <c r="J25" i="4"/>
  <c r="J26" i="4"/>
  <c r="I12" i="4"/>
  <c r="I21" i="4"/>
  <c r="I22" i="4"/>
  <c r="I13" i="4"/>
  <c r="I23" i="4"/>
  <c r="I24" i="4"/>
  <c r="I25" i="4"/>
  <c r="I26" i="4"/>
  <c r="J27" i="4"/>
  <c r="J44" i="4"/>
  <c r="J29" i="4"/>
  <c r="I29" i="4"/>
  <c r="J30" i="4"/>
  <c r="J45" i="4"/>
  <c r="I14" i="4"/>
  <c r="I15" i="4"/>
  <c r="I16" i="4"/>
  <c r="I17" i="4"/>
  <c r="I40" i="4"/>
  <c r="I41" i="4"/>
  <c r="I42" i="4"/>
  <c r="I43" i="4"/>
  <c r="H12" i="4"/>
  <c r="H21" i="4"/>
  <c r="H22" i="4"/>
  <c r="H13" i="4"/>
  <c r="H23" i="4"/>
  <c r="H24" i="4"/>
  <c r="H25" i="4"/>
  <c r="H26" i="4"/>
  <c r="I27" i="4"/>
  <c r="I44" i="4"/>
  <c r="H29" i="4"/>
  <c r="I30" i="4"/>
  <c r="I45" i="4"/>
  <c r="H14" i="4"/>
  <c r="H15" i="4"/>
  <c r="H16" i="4"/>
  <c r="H17" i="4"/>
  <c r="H40" i="4"/>
  <c r="H41" i="4"/>
  <c r="H42" i="4"/>
  <c r="H43" i="4"/>
  <c r="G12" i="4"/>
  <c r="G21" i="4"/>
  <c r="G22" i="4"/>
  <c r="G13" i="4"/>
  <c r="G23" i="4"/>
  <c r="G24" i="4"/>
  <c r="G25" i="4"/>
  <c r="G26" i="4"/>
  <c r="H27" i="4"/>
  <c r="H44" i="4"/>
  <c r="G29" i="4"/>
  <c r="H30" i="4"/>
  <c r="H45" i="4"/>
  <c r="G14" i="4"/>
  <c r="G15" i="4"/>
  <c r="G16" i="4"/>
  <c r="G17" i="4"/>
  <c r="G40" i="4"/>
  <c r="G41" i="4"/>
  <c r="G42" i="4"/>
  <c r="G43" i="4"/>
  <c r="F12" i="4"/>
  <c r="F21" i="4"/>
  <c r="F22" i="4"/>
  <c r="F13" i="4"/>
  <c r="F23" i="4"/>
  <c r="F24" i="4"/>
  <c r="F25" i="4"/>
  <c r="F26" i="4"/>
  <c r="G27" i="4"/>
  <c r="G44" i="4"/>
  <c r="F29" i="4"/>
  <c r="G30" i="4"/>
  <c r="G45" i="4"/>
  <c r="F14" i="4"/>
  <c r="F15" i="4"/>
  <c r="F16" i="4"/>
  <c r="F17" i="4"/>
  <c r="F40" i="4"/>
  <c r="F41" i="4"/>
  <c r="F42" i="4"/>
  <c r="F43" i="4"/>
  <c r="E26" i="4"/>
  <c r="F27" i="4"/>
  <c r="F44" i="4"/>
  <c r="F30" i="4"/>
  <c r="F45" i="4"/>
  <c r="E40" i="4"/>
  <c r="E41" i="4"/>
  <c r="E42" i="4"/>
  <c r="E43" i="4"/>
  <c r="D26" i="4"/>
  <c r="E27" i="4"/>
  <c r="E44" i="4"/>
  <c r="E30" i="4"/>
  <c r="E45" i="4"/>
  <c r="E51" i="4"/>
  <c r="E53" i="4"/>
  <c r="F10" i="1"/>
  <c r="G10" i="1"/>
  <c r="H10" i="1"/>
  <c r="I10" i="1"/>
  <c r="J10" i="1"/>
  <c r="F11" i="1"/>
  <c r="G11" i="1"/>
  <c r="H11" i="1"/>
  <c r="I11" i="1"/>
  <c r="J11" i="1"/>
  <c r="J12" i="1"/>
  <c r="J13" i="1"/>
  <c r="C32" i="1"/>
  <c r="C35" i="1"/>
  <c r="D32" i="1"/>
  <c r="D35" i="1"/>
  <c r="E32" i="1"/>
  <c r="E35" i="1"/>
  <c r="F32" i="1"/>
  <c r="F34" i="1"/>
  <c r="F35" i="1"/>
  <c r="G32" i="1"/>
  <c r="G34" i="1"/>
  <c r="G35" i="1"/>
  <c r="H32" i="1"/>
  <c r="H34" i="1"/>
  <c r="H35" i="1"/>
  <c r="I32" i="1"/>
  <c r="I34" i="1"/>
  <c r="I35" i="1"/>
  <c r="J32" i="1"/>
  <c r="J14" i="1"/>
  <c r="J15" i="1"/>
  <c r="J16" i="1"/>
  <c r="J17" i="1"/>
  <c r="J40" i="1"/>
  <c r="D41" i="1"/>
  <c r="J41" i="1"/>
  <c r="J34" i="1"/>
  <c r="J42" i="1"/>
  <c r="J43" i="1"/>
  <c r="J21" i="1"/>
  <c r="J22" i="1"/>
  <c r="J23" i="1"/>
  <c r="J24" i="1"/>
  <c r="I12" i="1"/>
  <c r="I21" i="1"/>
  <c r="I22" i="1"/>
  <c r="I13" i="1"/>
  <c r="I23" i="1"/>
  <c r="I24" i="1"/>
  <c r="J29" i="1"/>
  <c r="I29" i="1"/>
  <c r="J30" i="1"/>
  <c r="J45" i="1"/>
  <c r="G12" i="1"/>
  <c r="G13" i="1"/>
  <c r="G14" i="1"/>
  <c r="G15" i="1"/>
  <c r="G16" i="1"/>
  <c r="G17" i="1"/>
  <c r="G40" i="1"/>
  <c r="G41" i="1"/>
  <c r="G42" i="1"/>
  <c r="G43" i="1"/>
  <c r="G21" i="1"/>
  <c r="G22" i="1"/>
  <c r="G23" i="1"/>
  <c r="G24" i="1"/>
  <c r="F12" i="1"/>
  <c r="F21" i="1"/>
  <c r="F22" i="1"/>
  <c r="F13" i="1"/>
  <c r="F23" i="1"/>
  <c r="F24" i="1"/>
  <c r="G29" i="1"/>
  <c r="F29" i="1"/>
  <c r="G30" i="1"/>
  <c r="G45" i="1"/>
  <c r="H12" i="1"/>
  <c r="H13" i="1"/>
  <c r="H14" i="1"/>
  <c r="H15" i="1"/>
  <c r="H16" i="1"/>
  <c r="H17" i="1"/>
  <c r="H40" i="1"/>
  <c r="H41" i="1"/>
  <c r="H42" i="1"/>
  <c r="H43" i="1"/>
  <c r="H21" i="1"/>
  <c r="H22" i="1"/>
  <c r="H23" i="1"/>
  <c r="H24" i="1"/>
  <c r="H29" i="1"/>
  <c r="H30" i="1"/>
  <c r="H45" i="1"/>
  <c r="I14" i="1"/>
  <c r="I15" i="1"/>
  <c r="I16" i="1"/>
  <c r="I17" i="1"/>
  <c r="I40" i="1"/>
  <c r="I41" i="1"/>
  <c r="I42" i="1"/>
  <c r="I43" i="1"/>
  <c r="I30" i="1"/>
  <c r="I45" i="1"/>
  <c r="F14" i="1"/>
  <c r="F15" i="1"/>
  <c r="F16" i="1"/>
  <c r="F17" i="1"/>
  <c r="F40" i="1"/>
  <c r="F41" i="1"/>
  <c r="F42" i="1"/>
  <c r="F43" i="1"/>
  <c r="E26" i="1"/>
  <c r="F30" i="1"/>
  <c r="F45" i="1"/>
  <c r="D30" i="4"/>
  <c r="C30" i="4"/>
  <c r="C26" i="4"/>
  <c r="D27" i="4"/>
  <c r="C27" i="4"/>
  <c r="E30" i="1"/>
  <c r="D30" i="1"/>
  <c r="C30" i="1"/>
  <c r="D26" i="1"/>
  <c r="E27" i="1"/>
  <c r="C26" i="1"/>
  <c r="D27" i="1"/>
  <c r="J35" i="4"/>
  <c r="J35" i="1"/>
  <c r="E8" i="4"/>
  <c r="F8" i="4"/>
  <c r="G8" i="4"/>
  <c r="H8" i="4"/>
  <c r="I8" i="4"/>
  <c r="J8" i="4"/>
  <c r="K10" i="4"/>
  <c r="K11" i="4"/>
  <c r="K13" i="4"/>
  <c r="K14" i="4"/>
  <c r="K15" i="4"/>
  <c r="K16" i="4"/>
  <c r="E56" i="4"/>
  <c r="D47" i="1"/>
  <c r="K16" i="1"/>
  <c r="K15" i="1"/>
  <c r="K14" i="1"/>
  <c r="K13" i="1"/>
  <c r="E12" i="1"/>
  <c r="D12" i="1"/>
  <c r="C12" i="1"/>
  <c r="C17" i="1"/>
  <c r="K11" i="1"/>
  <c r="K10" i="1"/>
  <c r="E8" i="1"/>
  <c r="F8" i="1"/>
  <c r="G8" i="1"/>
  <c r="H8" i="1"/>
  <c r="I8" i="1"/>
  <c r="J8" i="1"/>
  <c r="D17" i="1"/>
  <c r="E17" i="1"/>
</calcChain>
</file>

<file path=xl/sharedStrings.xml><?xml version="1.0" encoding="utf-8"?>
<sst xmlns="http://schemas.openxmlformats.org/spreadsheetml/2006/main" count="154" uniqueCount="70">
  <si>
    <t>&lt;=History</t>
  </si>
  <si>
    <t>Pro Forma =&gt;</t>
  </si>
  <si>
    <t>Operating Forecasts</t>
  </si>
  <si>
    <t>Pro forma assumptions</t>
  </si>
  <si>
    <t>US Sales</t>
  </si>
  <si>
    <t>annual growth</t>
  </si>
  <si>
    <t>International Sales</t>
  </si>
  <si>
    <t>Net Sales</t>
  </si>
  <si>
    <t>Cost of Goods Sold</t>
  </si>
  <si>
    <t>of sales</t>
  </si>
  <si>
    <t>Depreciation</t>
  </si>
  <si>
    <t>of beginning net PP&amp;E</t>
  </si>
  <si>
    <t>Marketing Expense</t>
  </si>
  <si>
    <t>Other SG&amp;A</t>
  </si>
  <si>
    <t>EBIT</t>
  </si>
  <si>
    <t>Supplementary Schedules</t>
  </si>
  <si>
    <t>Net Working Capital</t>
  </si>
  <si>
    <t>working cash</t>
  </si>
  <si>
    <t>A/R</t>
  </si>
  <si>
    <t>days sales outstanding</t>
  </si>
  <si>
    <t>Inventory</t>
  </si>
  <si>
    <t>days of COGS</t>
  </si>
  <si>
    <t>Other CA</t>
  </si>
  <si>
    <t>A/P</t>
  </si>
  <si>
    <t>days of cash op expenses</t>
  </si>
  <si>
    <t>Net working capital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</si>
  <si>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NWC</t>
    </r>
  </si>
  <si>
    <t>Other assets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</si>
  <si>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Other assets</t>
    </r>
  </si>
  <si>
    <t>Beginning net PP&amp;E</t>
  </si>
  <si>
    <t>Capital Expenditures</t>
  </si>
  <si>
    <t>given</t>
  </si>
  <si>
    <t>Ending Net PP&amp;E</t>
  </si>
  <si>
    <t>Free Cash Flow Calculation</t>
  </si>
  <si>
    <t>WACC Calculation</t>
  </si>
  <si>
    <t>Asset beta</t>
  </si>
  <si>
    <t>EBIT(1-t)</t>
  </si>
  <si>
    <t>tax rate =</t>
  </si>
  <si>
    <t>Risk-free rate</t>
  </si>
  <si>
    <t>Market Risk Premium</t>
  </si>
  <si>
    <t>Capital expenditures</t>
  </si>
  <si>
    <t>Cost of debt</t>
  </si>
  <si>
    <t>Target D/V</t>
  </si>
  <si>
    <t>Free cash flow</t>
  </si>
  <si>
    <t>Implied debt beta</t>
  </si>
  <si>
    <t>Terminal value</t>
  </si>
  <si>
    <t xml:space="preserve">Perp. g = </t>
  </si>
  <si>
    <t>growing perpetuity</t>
  </si>
  <si>
    <t>Re-levered equity beta</t>
  </si>
  <si>
    <t>Discount factor</t>
  </si>
  <si>
    <t>Cost of equity</t>
  </si>
  <si>
    <t>PV(FCF + TV)</t>
  </si>
  <si>
    <t>WACC</t>
  </si>
  <si>
    <t>PV Enterprise</t>
  </si>
  <si>
    <t>Less EOY 2008 Debt</t>
  </si>
  <si>
    <t>Estimated Equity Value</t>
  </si>
  <si>
    <t>number of shares (000,000s)</t>
  </si>
  <si>
    <t>Value per share</t>
  </si>
  <si>
    <t xml:space="preserve">M&amp;A in Wine Country </t>
  </si>
  <si>
    <t>Bel Vino Base Case Valuation: Expanded</t>
  </si>
  <si>
    <t xml:space="preserve">Finance Simulation: M&amp;A in Wine Country </t>
  </si>
  <si>
    <t>Valuation Exercise</t>
  </si>
  <si>
    <t>M&amp;A in Wine Country</t>
  </si>
  <si>
    <t xml:space="preserve">Starshine Base Case Valuation: Expanded
</t>
  </si>
  <si>
    <t xml:space="preserve">Note: 
This exercise is designed to help you determine the value of the assigned enterprise. Use assumptions supplied in the Foreground Reading and in the spreadsheet to estimate free cash flows, a WACC, and terminal values for Bel Vino Corporation and Starshine Vineyards.   
Complete the valuation exercise and submit to your instructor as directed. 
</t>
  </si>
  <si>
    <t xml:space="preserve">cash cycle </t>
  </si>
  <si>
    <t>(Cogs for that year * 708)/365</t>
  </si>
  <si>
    <t>If beta of debt is not 0 then its risky debt</t>
  </si>
  <si>
    <t>Use CAPM^</t>
  </si>
  <si>
    <t xml:space="preserve">Use CAPM again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</si>
</sst>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"/>
    <numFmt numFmtId="166" formatCode="_(* #,##0_);_(* \(#,##0\);_(* &quot;-&quot;??_);_(@_)"/>
    <numFmt numFmtId="167" formatCode="0.0"/>
    <numFmt numFmtId="168" formatCode="0.0000000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indexed="48"/>
      <name val="Arial"/>
      <family val="2"/>
    </font>
    <font>
      <sz val="11"/>
      <color rgb="FF0066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0066FF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0" fillId="2" borderId="0" xfId="0" applyFill="1"/>
    <xf numFmtId="1" fontId="0" fillId="2" borderId="0" xfId="0" applyNumberFormat="1" applyFill="1"/>
    <xf numFmtId="1" fontId="4" fillId="2" borderId="0" xfId="0" applyNumberFormat="1" applyFont="1" applyFill="1"/>
    <xf numFmtId="1" fontId="5" fillId="3" borderId="1" xfId="0" applyNumberFormat="1" applyFont="1" applyFill="1" applyBorder="1"/>
    <xf numFmtId="1" fontId="0" fillId="3" borderId="0" xfId="0" applyNumberFormat="1" applyFill="1"/>
    <xf numFmtId="0" fontId="0" fillId="3" borderId="0" xfId="0" applyFill="1"/>
    <xf numFmtId="0" fontId="6" fillId="2" borderId="0" xfId="0" applyFont="1" applyFill="1"/>
    <xf numFmtId="1" fontId="0" fillId="2" borderId="2" xfId="1" applyNumberFormat="1" applyFont="1" applyFill="1" applyBorder="1"/>
    <xf numFmtId="1" fontId="7" fillId="3" borderId="3" xfId="1" applyNumberFormat="1" applyFont="1" applyFill="1" applyBorder="1"/>
    <xf numFmtId="1" fontId="7" fillId="3" borderId="2" xfId="1" applyNumberFormat="1" applyFont="1" applyFill="1" applyBorder="1"/>
    <xf numFmtId="0" fontId="8" fillId="3" borderId="3" xfId="1" applyNumberFormat="1" applyFont="1" applyFill="1" applyBorder="1"/>
    <xf numFmtId="0" fontId="0" fillId="3" borderId="2" xfId="0" applyFill="1" applyBorder="1"/>
    <xf numFmtId="0" fontId="0" fillId="3" borderId="1" xfId="0" applyFill="1" applyBorder="1"/>
    <xf numFmtId="1" fontId="0" fillId="3" borderId="1" xfId="0" applyNumberFormat="1" applyFill="1" applyBorder="1"/>
    <xf numFmtId="164" fontId="0" fillId="3" borderId="1" xfId="3" applyNumberFormat="1" applyFont="1" applyFill="1" applyBorder="1"/>
    <xf numFmtId="1" fontId="0" fillId="2" borderId="2" xfId="0" applyNumberFormat="1" applyFill="1" applyBorder="1"/>
    <xf numFmtId="1" fontId="0" fillId="3" borderId="3" xfId="0" applyNumberFormat="1" applyFill="1" applyBorder="1"/>
    <xf numFmtId="164" fontId="0" fillId="3" borderId="1" xfId="0" applyNumberFormat="1" applyFill="1" applyBorder="1"/>
    <xf numFmtId="1" fontId="6" fillId="2" borderId="0" xfId="0" applyNumberFormat="1" applyFont="1" applyFill="1"/>
    <xf numFmtId="1" fontId="9" fillId="2" borderId="0" xfId="0" applyNumberFormat="1" applyFont="1" applyFill="1"/>
    <xf numFmtId="0" fontId="0" fillId="2" borderId="2" xfId="0" applyFill="1" applyBorder="1"/>
    <xf numFmtId="10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9" fontId="0" fillId="3" borderId="1" xfId="3" applyFont="1" applyFill="1" applyBorder="1"/>
    <xf numFmtId="0" fontId="6" fillId="4" borderId="0" xfId="0" applyFont="1" applyFill="1"/>
    <xf numFmtId="0" fontId="0" fillId="4" borderId="0" xfId="0" applyFill="1"/>
    <xf numFmtId="0" fontId="11" fillId="4" borderId="0" xfId="0" applyFont="1" applyFill="1"/>
    <xf numFmtId="0" fontId="8" fillId="4" borderId="0" xfId="0" applyFont="1" applyFill="1"/>
    <xf numFmtId="0" fontId="11" fillId="4" borderId="2" xfId="0" applyFont="1" applyFill="1" applyBorder="1"/>
    <xf numFmtId="1" fontId="0" fillId="4" borderId="0" xfId="0" applyNumberFormat="1" applyFill="1"/>
    <xf numFmtId="0" fontId="0" fillId="5" borderId="4" xfId="0" applyFill="1" applyBorder="1"/>
    <xf numFmtId="9" fontId="0" fillId="4" borderId="5" xfId="3" applyFont="1" applyFill="1" applyBorder="1"/>
    <xf numFmtId="0" fontId="0" fillId="5" borderId="0" xfId="0" applyFill="1" applyBorder="1"/>
    <xf numFmtId="1" fontId="0" fillId="4" borderId="2" xfId="0" applyNumberFormat="1" applyFill="1" applyBorder="1"/>
    <xf numFmtId="165" fontId="0" fillId="4" borderId="0" xfId="0" applyNumberFormat="1" applyFill="1"/>
    <xf numFmtId="0" fontId="2" fillId="4" borderId="0" xfId="0" applyFont="1" applyFill="1"/>
    <xf numFmtId="1" fontId="0" fillId="4" borderId="5" xfId="0" applyNumberFormat="1" applyFill="1" applyBorder="1"/>
    <xf numFmtId="0" fontId="0" fillId="4" borderId="2" xfId="0" applyFill="1" applyBorder="1"/>
    <xf numFmtId="0" fontId="0" fillId="6" borderId="0" xfId="0" applyFill="1"/>
    <xf numFmtId="44" fontId="0" fillId="6" borderId="6" xfId="2" applyFont="1" applyFill="1" applyBorder="1"/>
    <xf numFmtId="0" fontId="0" fillId="0" borderId="0" xfId="0" applyAlignment="1">
      <alignment horizontal="left" vertical="top" wrapText="1"/>
    </xf>
    <xf numFmtId="0" fontId="6" fillId="5" borderId="7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10" fontId="0" fillId="5" borderId="13" xfId="3" applyNumberFormat="1" applyFont="1" applyFill="1" applyBorder="1"/>
    <xf numFmtId="9" fontId="0" fillId="5" borderId="13" xfId="3" applyFont="1" applyFill="1" applyBorder="1"/>
    <xf numFmtId="0" fontId="0" fillId="5" borderId="13" xfId="0" applyFill="1" applyBorder="1"/>
    <xf numFmtId="2" fontId="0" fillId="5" borderId="13" xfId="0" applyNumberFormat="1" applyFill="1" applyBorder="1"/>
    <xf numFmtId="0" fontId="0" fillId="5" borderId="14" xfId="0" applyFill="1" applyBorder="1"/>
    <xf numFmtId="0" fontId="0" fillId="5" borderId="15" xfId="0" applyFill="1" applyBorder="1"/>
    <xf numFmtId="0" fontId="12" fillId="0" borderId="0" xfId="0" applyFont="1" applyAlignment="1">
      <alignment vertical="top" wrapText="1"/>
    </xf>
    <xf numFmtId="166" fontId="14" fillId="2" borderId="0" xfId="4" applyNumberFormat="1" applyFont="1" applyFill="1"/>
    <xf numFmtId="166" fontId="13" fillId="2" borderId="0" xfId="4" applyNumberFormat="1" applyFont="1" applyFill="1"/>
    <xf numFmtId="166" fontId="14" fillId="2" borderId="2" xfId="4" applyNumberFormat="1" applyFont="1" applyFill="1" applyBorder="1"/>
    <xf numFmtId="10" fontId="2" fillId="5" borderId="16" xfId="0" applyNumberFormat="1" applyFont="1" applyFill="1" applyBorder="1"/>
    <xf numFmtId="1" fontId="2" fillId="4" borderId="5" xfId="0" applyNumberFormat="1" applyFont="1" applyFill="1" applyBorder="1"/>
    <xf numFmtId="167" fontId="0" fillId="4" borderId="0" xfId="0" applyNumberFormat="1" applyFill="1"/>
    <xf numFmtId="0" fontId="0" fillId="0" borderId="0" xfId="0" quotePrefix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68" fontId="0" fillId="0" borderId="0" xfId="0" applyNumberFormat="1"/>
    <xf numFmtId="166" fontId="0" fillId="2" borderId="0" xfId="0" applyNumberFormat="1" applyFill="1"/>
    <xf numFmtId="1" fontId="0" fillId="2" borderId="3" xfId="0" applyNumberFormat="1" applyFill="1" applyBorder="1"/>
    <xf numFmtId="166" fontId="0" fillId="3" borderId="0" xfId="0" applyNumberFormat="1" applyFill="1"/>
  </cellXfs>
  <cellStyles count="5">
    <cellStyle name="Comma" xfId="1" builtinId="3"/>
    <cellStyle name="Comma 2" xfId="4" xr:uid="{00000000-0005-0000-0000-000001000000}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581025</xdr:colOff>
      <xdr:row>2</xdr:row>
      <xdr:rowOff>123762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78" r="11575"/>
        <a:stretch/>
      </xdr:blipFill>
      <xdr:spPr>
        <a:xfrm>
          <a:off x="0" y="0"/>
          <a:ext cx="7896225" cy="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695238</xdr:colOff>
      <xdr:row>5</xdr:row>
      <xdr:rowOff>161838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5238" cy="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589409</xdr:colOff>
      <xdr:row>2</xdr:row>
      <xdr:rowOff>111062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123809" cy="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92184" cy="504762"/>
    <xdr:pic>
      <xdr:nvPicPr>
        <xdr:cNvPr id="2" name="Picture 1">
          <a:extLst>
            <a:ext uri="{FF2B5EF4-FFF2-40B4-BE49-F238E27FC236}">
              <a16:creationId xmlns:a16="http://schemas.microsoft.com/office/drawing/2014/main" id="{E6DA4B6A-1B79-274A-BBB5-11684F047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92184" cy="504762"/>
        </a:xfrm>
        <a:prstGeom prst="rect">
          <a:avLst/>
        </a:prstGeom>
      </xdr:spPr>
    </xdr:pic>
    <xdr:clientData/>
  </xdr:oneCellAnchor>
  <xdr:oneCellAnchor>
    <xdr:from>
      <xdr:col>0</xdr:col>
      <xdr:colOff>19050</xdr:colOff>
      <xdr:row>2</xdr:row>
      <xdr:rowOff>133350</xdr:rowOff>
    </xdr:from>
    <xdr:ext cx="695238" cy="695238"/>
    <xdr:pic>
      <xdr:nvPicPr>
        <xdr:cNvPr id="3" name="Picture 2">
          <a:extLst>
            <a:ext uri="{FF2B5EF4-FFF2-40B4-BE49-F238E27FC236}">
              <a16:creationId xmlns:a16="http://schemas.microsoft.com/office/drawing/2014/main" id="{D662DFE1-5E31-E44B-AF65-6A5F0DD42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14350"/>
          <a:ext cx="695238" cy="6952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4"/>
  <sheetViews>
    <sheetView tabSelected="1" workbookViewId="0">
      <selection activeCell="K17" sqref="K17"/>
    </sheetView>
  </sheetViews>
  <sheetFormatPr defaultColWidth="8.796875" defaultRowHeight="14.25" x14ac:dyDescent="0.45"/>
  <sheetData>
    <row r="3" spans="1:15" ht="9.75" customHeight="1" x14ac:dyDescent="0.45"/>
    <row r="4" spans="1:15" ht="21" x14ac:dyDescent="0.65">
      <c r="A4" s="63" t="s">
        <v>60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15" ht="21" x14ac:dyDescent="0.65">
      <c r="A5" s="63" t="s">
        <v>61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</row>
    <row r="6" spans="1:15" x14ac:dyDescent="0.4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</row>
    <row r="7" spans="1:15" ht="15" customHeight="1" x14ac:dyDescent="0.45">
      <c r="A7" s="65" t="s">
        <v>64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55"/>
      <c r="O7" s="55"/>
    </row>
    <row r="8" spans="1:15" ht="15" customHeight="1" x14ac:dyDescent="0.45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55"/>
      <c r="O8" s="55"/>
    </row>
    <row r="9" spans="1:15" ht="15" customHeight="1" x14ac:dyDescent="0.45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55"/>
      <c r="O9" s="55"/>
    </row>
    <row r="10" spans="1:15" ht="15" customHeight="1" x14ac:dyDescent="0.45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55"/>
      <c r="O10" s="55"/>
    </row>
    <row r="11" spans="1:15" ht="24.75" customHeight="1" x14ac:dyDescent="0.45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55"/>
      <c r="O11" s="55"/>
    </row>
    <row r="12" spans="1:15" x14ac:dyDescent="0.4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</row>
    <row r="13" spans="1:15" x14ac:dyDescent="0.4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</row>
    <row r="14" spans="1:15" x14ac:dyDescent="0.4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</row>
  </sheetData>
  <mergeCells count="4">
    <mergeCell ref="A4:O4"/>
    <mergeCell ref="A5:O5"/>
    <mergeCell ref="A6:O6"/>
    <mergeCell ref="A7:M11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Q56"/>
  <sheetViews>
    <sheetView zoomScale="70" zoomScaleNormal="70" workbookViewId="0">
      <selection activeCell="O54" sqref="O54"/>
    </sheetView>
  </sheetViews>
  <sheetFormatPr defaultColWidth="8.796875" defaultRowHeight="14.25" x14ac:dyDescent="0.45"/>
  <cols>
    <col min="1" max="1" width="10.46484375" customWidth="1"/>
    <col min="2" max="2" width="17" customWidth="1"/>
    <col min="14" max="14" width="13.46484375" customWidth="1"/>
  </cols>
  <sheetData>
    <row r="3" spans="1:14" ht="9.75" customHeight="1" x14ac:dyDescent="0.45"/>
    <row r="4" spans="1:14" ht="21" x14ac:dyDescent="0.65">
      <c r="B4" s="1" t="s">
        <v>58</v>
      </c>
    </row>
    <row r="5" spans="1:14" ht="21" x14ac:dyDescent="0.65">
      <c r="B5" s="1" t="s">
        <v>59</v>
      </c>
    </row>
    <row r="6" spans="1:14" ht="21" x14ac:dyDescent="0.65">
      <c r="A6" s="1"/>
    </row>
    <row r="7" spans="1:14" x14ac:dyDescent="0.45">
      <c r="A7" s="2"/>
      <c r="B7" s="2"/>
      <c r="C7" s="3"/>
      <c r="D7" s="3"/>
      <c r="E7" s="4" t="s">
        <v>0</v>
      </c>
      <c r="F7" s="5" t="s">
        <v>1</v>
      </c>
      <c r="G7" s="6"/>
      <c r="H7" s="6"/>
      <c r="I7" s="6"/>
      <c r="J7" s="6"/>
      <c r="K7" s="6"/>
      <c r="L7" s="7"/>
      <c r="M7" s="7"/>
      <c r="N7" s="7"/>
    </row>
    <row r="8" spans="1:14" x14ac:dyDescent="0.45">
      <c r="A8" s="8" t="s">
        <v>2</v>
      </c>
      <c r="B8" s="2"/>
      <c r="C8" s="9">
        <v>2010</v>
      </c>
      <c r="D8" s="9">
        <v>2011</v>
      </c>
      <c r="E8" s="9">
        <f t="shared" ref="E8:J8" si="0">+D8+1</f>
        <v>2012</v>
      </c>
      <c r="F8" s="10">
        <f t="shared" si="0"/>
        <v>2013</v>
      </c>
      <c r="G8" s="11">
        <f t="shared" si="0"/>
        <v>2014</v>
      </c>
      <c r="H8" s="11">
        <f t="shared" si="0"/>
        <v>2015</v>
      </c>
      <c r="I8" s="11">
        <f t="shared" si="0"/>
        <v>2016</v>
      </c>
      <c r="J8" s="11">
        <f t="shared" si="0"/>
        <v>2017</v>
      </c>
      <c r="K8" s="12" t="s">
        <v>3</v>
      </c>
      <c r="L8" s="13"/>
      <c r="M8" s="13"/>
      <c r="N8" s="7"/>
    </row>
    <row r="9" spans="1:14" x14ac:dyDescent="0.45">
      <c r="A9" s="2"/>
      <c r="B9" s="2"/>
      <c r="C9" s="2"/>
      <c r="D9" s="2"/>
      <c r="E9" s="2"/>
      <c r="F9" s="14"/>
      <c r="G9" s="7"/>
      <c r="H9" s="7"/>
      <c r="I9" s="7"/>
      <c r="J9" s="7"/>
      <c r="K9" s="14"/>
      <c r="L9" s="7"/>
      <c r="M9" s="7"/>
      <c r="N9" s="7"/>
    </row>
    <row r="10" spans="1:14" x14ac:dyDescent="0.45">
      <c r="A10" s="3" t="s">
        <v>4</v>
      </c>
      <c r="B10" s="3"/>
      <c r="C10" s="3">
        <v>330</v>
      </c>
      <c r="D10" s="3">
        <v>328</v>
      </c>
      <c r="E10" s="3">
        <v>330</v>
      </c>
      <c r="F10" s="15">
        <f>E10*(1.005)</f>
        <v>331.65</v>
      </c>
      <c r="G10" s="15">
        <f t="shared" ref="G10:J10" si="1">F10*(1.005)</f>
        <v>333.30824999999993</v>
      </c>
      <c r="H10" s="15">
        <f t="shared" si="1"/>
        <v>334.9747912499999</v>
      </c>
      <c r="I10" s="15">
        <f t="shared" si="1"/>
        <v>336.64966520624984</v>
      </c>
      <c r="J10" s="15">
        <f t="shared" si="1"/>
        <v>338.33291353228105</v>
      </c>
      <c r="K10" s="16">
        <f>0.005</f>
        <v>5.0000000000000001E-3</v>
      </c>
      <c r="L10" s="7" t="s">
        <v>5</v>
      </c>
      <c r="M10" s="7"/>
      <c r="N10" s="7"/>
    </row>
    <row r="11" spans="1:14" x14ac:dyDescent="0.45">
      <c r="A11" s="3" t="s">
        <v>6</v>
      </c>
      <c r="B11" s="3"/>
      <c r="C11" s="17">
        <v>29</v>
      </c>
      <c r="D11" s="17">
        <v>32</v>
      </c>
      <c r="E11" s="17">
        <v>36</v>
      </c>
      <c r="F11" s="18">
        <f>E11*(1.13)</f>
        <v>40.679999999999993</v>
      </c>
      <c r="G11" s="18">
        <f t="shared" ref="G11:J11" si="2">F11*(1.13)</f>
        <v>45.968399999999988</v>
      </c>
      <c r="H11" s="18">
        <f t="shared" si="2"/>
        <v>51.944291999999983</v>
      </c>
      <c r="I11" s="18">
        <f t="shared" si="2"/>
        <v>58.697049959999973</v>
      </c>
      <c r="J11" s="18">
        <f t="shared" si="2"/>
        <v>66.327666454799967</v>
      </c>
      <c r="K11" s="16">
        <f>0.13</f>
        <v>0.13</v>
      </c>
      <c r="L11" s="7" t="s">
        <v>5</v>
      </c>
      <c r="M11" s="7"/>
      <c r="N11" s="7"/>
    </row>
    <row r="12" spans="1:14" x14ac:dyDescent="0.45">
      <c r="A12" s="3" t="s">
        <v>7</v>
      </c>
      <c r="B12" s="3"/>
      <c r="C12" s="3">
        <f>SUM(C10:C11)</f>
        <v>359</v>
      </c>
      <c r="D12" s="3">
        <f t="shared" ref="D12:E12" si="3">SUM(D10:D11)</f>
        <v>360</v>
      </c>
      <c r="E12" s="3">
        <f t="shared" si="3"/>
        <v>366</v>
      </c>
      <c r="F12" s="15">
        <f>F10+F11</f>
        <v>372.33</v>
      </c>
      <c r="G12" s="15">
        <f t="shared" ref="G12:J12" si="4">G10+G11</f>
        <v>379.2766499999999</v>
      </c>
      <c r="H12" s="15">
        <f t="shared" si="4"/>
        <v>386.91908324999986</v>
      </c>
      <c r="I12" s="15">
        <f t="shared" si="4"/>
        <v>395.34671516624979</v>
      </c>
      <c r="J12" s="15">
        <f t="shared" si="4"/>
        <v>404.66057998708101</v>
      </c>
      <c r="K12" s="19"/>
      <c r="L12" s="7"/>
      <c r="M12" s="7"/>
      <c r="N12" s="7"/>
    </row>
    <row r="13" spans="1:14" x14ac:dyDescent="0.45">
      <c r="A13" s="3" t="s">
        <v>8</v>
      </c>
      <c r="B13" s="3"/>
      <c r="C13" s="3">
        <v>160</v>
      </c>
      <c r="D13" s="3">
        <v>150</v>
      </c>
      <c r="E13" s="3">
        <v>140</v>
      </c>
      <c r="F13" s="15">
        <f>F12*0.38</f>
        <v>141.4854</v>
      </c>
      <c r="G13" s="15">
        <f t="shared" ref="G13:J13" si="5">G12*0.38</f>
        <v>144.12512699999996</v>
      </c>
      <c r="H13" s="15">
        <f t="shared" si="5"/>
        <v>147.02925163499995</v>
      </c>
      <c r="I13" s="15">
        <f t="shared" si="5"/>
        <v>150.23175176317491</v>
      </c>
      <c r="J13" s="15">
        <f t="shared" si="5"/>
        <v>153.77102039509077</v>
      </c>
      <c r="K13" s="16">
        <f>0.38</f>
        <v>0.38</v>
      </c>
      <c r="L13" s="7" t="s">
        <v>9</v>
      </c>
      <c r="M13" s="7"/>
      <c r="N13" s="7"/>
    </row>
    <row r="14" spans="1:14" x14ac:dyDescent="0.45">
      <c r="A14" s="3" t="s">
        <v>10</v>
      </c>
      <c r="B14" s="3"/>
      <c r="C14" s="3">
        <v>24</v>
      </c>
      <c r="D14" s="3">
        <v>9</v>
      </c>
      <c r="E14" s="3">
        <v>9</v>
      </c>
      <c r="F14" s="15">
        <f>0.2*F32</f>
        <v>25.200000000000003</v>
      </c>
      <c r="G14" s="15">
        <f t="shared" ref="G14:J14" si="6">0.2*G32</f>
        <v>24.16</v>
      </c>
      <c r="H14" s="15">
        <f t="shared" si="6"/>
        <v>23.328000000000003</v>
      </c>
      <c r="I14" s="15">
        <f t="shared" si="6"/>
        <v>22.662400000000005</v>
      </c>
      <c r="J14" s="15">
        <f t="shared" si="6"/>
        <v>22.129920000000002</v>
      </c>
      <c r="K14" s="16">
        <f>0.2</f>
        <v>0.2</v>
      </c>
      <c r="L14" s="7" t="s">
        <v>11</v>
      </c>
      <c r="M14" s="7"/>
      <c r="N14" s="7"/>
    </row>
    <row r="15" spans="1:14" x14ac:dyDescent="0.45">
      <c r="A15" s="3" t="s">
        <v>12</v>
      </c>
      <c r="B15" s="3"/>
      <c r="C15" s="3">
        <v>23.4</v>
      </c>
      <c r="D15" s="3">
        <v>23.76</v>
      </c>
      <c r="E15" s="3">
        <v>24.3</v>
      </c>
      <c r="F15" s="15">
        <f>0.07*F12</f>
        <v>26.063100000000002</v>
      </c>
      <c r="G15" s="15">
        <f t="shared" ref="G15:J15" si="7">0.07*G12</f>
        <v>26.549365499999997</v>
      </c>
      <c r="H15" s="15">
        <f t="shared" si="7"/>
        <v>27.084335827499991</v>
      </c>
      <c r="I15" s="15">
        <f t="shared" si="7"/>
        <v>27.67427006163749</v>
      </c>
      <c r="J15" s="15">
        <f t="shared" si="7"/>
        <v>28.326240599095673</v>
      </c>
      <c r="K15" s="16">
        <f>0.07</f>
        <v>7.0000000000000007E-2</v>
      </c>
      <c r="L15" s="7" t="s">
        <v>9</v>
      </c>
      <c r="M15" s="7"/>
      <c r="N15" s="7"/>
    </row>
    <row r="16" spans="1:14" x14ac:dyDescent="0.45">
      <c r="A16" s="3" t="s">
        <v>13</v>
      </c>
      <c r="B16" s="3"/>
      <c r="C16" s="17">
        <v>106.6</v>
      </c>
      <c r="D16" s="17">
        <v>108.24</v>
      </c>
      <c r="E16" s="17">
        <v>110.7</v>
      </c>
      <c r="F16" s="18">
        <f>0.3*F12</f>
        <v>111.699</v>
      </c>
      <c r="G16" s="18">
        <f t="shared" ref="G16:J16" si="8">0.3*G12</f>
        <v>113.78299499999997</v>
      </c>
      <c r="H16" s="18">
        <f t="shared" si="8"/>
        <v>116.07572497499996</v>
      </c>
      <c r="I16" s="18">
        <f t="shared" si="8"/>
        <v>118.60401454987493</v>
      </c>
      <c r="J16" s="18">
        <f t="shared" si="8"/>
        <v>121.3981739961243</v>
      </c>
      <c r="K16" s="16">
        <f>0.3</f>
        <v>0.3</v>
      </c>
      <c r="L16" s="7" t="s">
        <v>9</v>
      </c>
      <c r="M16" s="7"/>
      <c r="N16" s="7"/>
    </row>
    <row r="17" spans="1:15" x14ac:dyDescent="0.45">
      <c r="A17" s="2" t="s">
        <v>14</v>
      </c>
      <c r="B17" s="2"/>
      <c r="C17" s="3">
        <f>+C12-SUM(C13:C16)</f>
        <v>45</v>
      </c>
      <c r="D17" s="3">
        <f t="shared" ref="D17:J17" si="9">+D12-SUM(D13:D16)</f>
        <v>69</v>
      </c>
      <c r="E17" s="3">
        <f t="shared" si="9"/>
        <v>82</v>
      </c>
      <c r="F17" s="3">
        <f t="shared" si="9"/>
        <v>67.882499999999993</v>
      </c>
      <c r="G17" s="3">
        <f t="shared" si="9"/>
        <v>70.659162499999979</v>
      </c>
      <c r="H17" s="3">
        <f t="shared" si="9"/>
        <v>73.40177081249999</v>
      </c>
      <c r="I17" s="3">
        <f t="shared" si="9"/>
        <v>76.174278791562472</v>
      </c>
      <c r="J17" s="3">
        <f t="shared" si="9"/>
        <v>79.035224996770239</v>
      </c>
      <c r="K17" s="14"/>
      <c r="L17" s="7"/>
      <c r="M17" s="7"/>
      <c r="N17" s="7"/>
    </row>
    <row r="18" spans="1:15" x14ac:dyDescent="0.45">
      <c r="A18" s="3"/>
      <c r="B18" s="3"/>
      <c r="C18" s="3"/>
      <c r="D18" s="3"/>
      <c r="E18" s="3"/>
      <c r="F18" s="14"/>
      <c r="G18" s="7"/>
      <c r="H18" s="7"/>
      <c r="I18" s="7"/>
      <c r="J18" s="7"/>
      <c r="K18" s="14"/>
      <c r="L18" s="7"/>
      <c r="M18" s="7"/>
      <c r="N18" s="7"/>
    </row>
    <row r="19" spans="1:15" x14ac:dyDescent="0.45">
      <c r="A19" s="20" t="s">
        <v>15</v>
      </c>
      <c r="B19" s="20"/>
      <c r="C19" s="2"/>
      <c r="D19" s="2"/>
      <c r="E19" s="2"/>
      <c r="F19" s="14"/>
      <c r="G19" s="7"/>
      <c r="H19" s="7"/>
      <c r="I19" s="7"/>
      <c r="J19" s="7"/>
      <c r="K19" s="14"/>
      <c r="L19" s="7"/>
      <c r="M19" s="7"/>
      <c r="N19" s="7"/>
    </row>
    <row r="20" spans="1:15" x14ac:dyDescent="0.45">
      <c r="A20" s="21" t="s">
        <v>16</v>
      </c>
      <c r="B20" s="21"/>
      <c r="C20" s="2"/>
      <c r="D20" s="2"/>
      <c r="E20" s="2"/>
      <c r="F20" s="14"/>
      <c r="G20" s="7"/>
      <c r="H20" s="7"/>
      <c r="I20" s="7"/>
      <c r="J20" s="7"/>
      <c r="K20" s="14"/>
      <c r="L20" s="7"/>
      <c r="M20" s="7"/>
      <c r="N20" s="7"/>
    </row>
    <row r="21" spans="1:15" x14ac:dyDescent="0.45">
      <c r="A21" s="2"/>
      <c r="B21" s="3" t="s">
        <v>17</v>
      </c>
      <c r="C21" s="2">
        <v>10</v>
      </c>
      <c r="D21" s="2">
        <v>10</v>
      </c>
      <c r="E21" s="2">
        <v>10</v>
      </c>
      <c r="F21" s="15">
        <f>0.028*F12</f>
        <v>10.425240000000001</v>
      </c>
      <c r="G21" s="15">
        <f t="shared" ref="G21:J21" si="10">0.028*G12</f>
        <v>10.619746199999998</v>
      </c>
      <c r="H21" s="15">
        <f t="shared" si="10"/>
        <v>10.833734330999997</v>
      </c>
      <c r="I21" s="15">
        <f t="shared" si="10"/>
        <v>11.069708024654995</v>
      </c>
      <c r="J21" s="15">
        <f t="shared" si="10"/>
        <v>11.330496239638268</v>
      </c>
      <c r="K21" s="16">
        <v>2.8000000000000001E-2</v>
      </c>
      <c r="L21" s="7" t="s">
        <v>9</v>
      </c>
      <c r="M21" s="7"/>
      <c r="N21" s="7"/>
    </row>
    <row r="22" spans="1:15" x14ac:dyDescent="0.45">
      <c r="A22" s="2"/>
      <c r="B22" s="3" t="s">
        <v>18</v>
      </c>
      <c r="C22" s="2">
        <v>98</v>
      </c>
      <c r="D22" s="2">
        <v>99</v>
      </c>
      <c r="E22" s="2">
        <v>100</v>
      </c>
      <c r="F22" s="15">
        <f>(100*F12)/365</f>
        <v>102.00821917808219</v>
      </c>
      <c r="G22" s="15">
        <f t="shared" ref="G22:J22" si="11">(100*G12)/365</f>
        <v>103.91141095890409</v>
      </c>
      <c r="H22" s="15">
        <f t="shared" si="11"/>
        <v>106.00522828767119</v>
      </c>
      <c r="I22" s="15">
        <f t="shared" si="11"/>
        <v>108.31416853869857</v>
      </c>
      <c r="J22" s="15">
        <f t="shared" si="11"/>
        <v>110.86591232522767</v>
      </c>
      <c r="K22" s="14">
        <v>100</v>
      </c>
      <c r="L22" s="7" t="s">
        <v>19</v>
      </c>
      <c r="M22" s="7"/>
      <c r="N22" s="7"/>
      <c r="O22" t="s">
        <v>65</v>
      </c>
    </row>
    <row r="23" spans="1:15" x14ac:dyDescent="0.45">
      <c r="A23" s="2"/>
      <c r="B23" s="3" t="s">
        <v>20</v>
      </c>
      <c r="C23" s="2">
        <v>310</v>
      </c>
      <c r="D23" s="2">
        <v>291</v>
      </c>
      <c r="E23" s="2">
        <v>272</v>
      </c>
      <c r="F23" s="15">
        <f>(F13*708)/365</f>
        <v>274.44291287671234</v>
      </c>
      <c r="G23" s="15">
        <f t="shared" ref="G23:J23" si="12">(G13*708)/365</f>
        <v>279.56326004383556</v>
      </c>
      <c r="H23" s="15">
        <f t="shared" si="12"/>
        <v>285.1964661851506</v>
      </c>
      <c r="I23" s="15">
        <f t="shared" si="12"/>
        <v>291.40843903651461</v>
      </c>
      <c r="J23" s="15">
        <f t="shared" si="12"/>
        <v>298.27365051979251</v>
      </c>
      <c r="K23" s="14">
        <v>708</v>
      </c>
      <c r="L23" s="7" t="s">
        <v>21</v>
      </c>
      <c r="M23" s="7"/>
      <c r="N23" s="7"/>
      <c r="O23" t="s">
        <v>66</v>
      </c>
    </row>
    <row r="24" spans="1:15" x14ac:dyDescent="0.45">
      <c r="A24" s="2"/>
      <c r="B24" s="3" t="s">
        <v>22</v>
      </c>
      <c r="C24" s="2">
        <v>7</v>
      </c>
      <c r="D24" s="2">
        <v>7</v>
      </c>
      <c r="E24" s="2">
        <v>7</v>
      </c>
      <c r="F24" s="15">
        <f>0.02*F12</f>
        <v>7.4466000000000001</v>
      </c>
      <c r="G24" s="15">
        <f t="shared" ref="G24:J24" si="13">0.02*G12</f>
        <v>7.5855329999999981</v>
      </c>
      <c r="H24" s="15">
        <f t="shared" si="13"/>
        <v>7.7383816649999977</v>
      </c>
      <c r="I24" s="15">
        <f t="shared" si="13"/>
        <v>7.9069343033249959</v>
      </c>
      <c r="J24" s="15">
        <f t="shared" si="13"/>
        <v>8.0932115997416201</v>
      </c>
      <c r="K24" s="16">
        <v>0.02</v>
      </c>
      <c r="L24" s="7" t="s">
        <v>9</v>
      </c>
      <c r="M24" s="7"/>
      <c r="N24" s="7"/>
    </row>
    <row r="25" spans="1:15" x14ac:dyDescent="0.45">
      <c r="A25" s="2"/>
      <c r="B25" s="3" t="s">
        <v>23</v>
      </c>
      <c r="C25" s="22">
        <v>90</v>
      </c>
      <c r="D25" s="22">
        <v>90</v>
      </c>
      <c r="E25" s="22">
        <v>90</v>
      </c>
      <c r="F25" s="70">
        <f>(F12*90)/365</f>
        <v>91.807397260273959</v>
      </c>
      <c r="G25" s="70">
        <f t="shared" ref="G25:J25" si="14">(G12*90)/365</f>
        <v>93.520269863013667</v>
      </c>
      <c r="H25" s="70">
        <f t="shared" si="14"/>
        <v>95.404705458904075</v>
      </c>
      <c r="I25" s="70">
        <f t="shared" si="14"/>
        <v>97.482751684828727</v>
      </c>
      <c r="J25" s="70">
        <f t="shared" si="14"/>
        <v>99.77932109270489</v>
      </c>
      <c r="K25" s="14">
        <v>90</v>
      </c>
      <c r="L25" s="7" t="s">
        <v>24</v>
      </c>
      <c r="M25" s="7"/>
      <c r="N25" s="7"/>
    </row>
    <row r="26" spans="1:15" x14ac:dyDescent="0.45">
      <c r="A26" s="2" t="s">
        <v>25</v>
      </c>
      <c r="B26" s="2"/>
      <c r="C26" s="2">
        <f>C21+C22+C23+C24-C25</f>
        <v>335</v>
      </c>
      <c r="D26" s="2">
        <f t="shared" ref="D26:J26" si="15">D21+D22+D23+D24-D25</f>
        <v>317</v>
      </c>
      <c r="E26" s="2">
        <f t="shared" si="15"/>
        <v>299</v>
      </c>
      <c r="F26" s="2">
        <f t="shared" si="15"/>
        <v>302.51557479452055</v>
      </c>
      <c r="G26" s="2">
        <f t="shared" si="15"/>
        <v>308.15968033972598</v>
      </c>
      <c r="H26" s="2">
        <f t="shared" si="15"/>
        <v>314.36910500991775</v>
      </c>
      <c r="I26" s="2">
        <f t="shared" si="15"/>
        <v>321.21649821836445</v>
      </c>
      <c r="J26" s="2">
        <f t="shared" si="15"/>
        <v>328.78394959169515</v>
      </c>
      <c r="K26" s="14"/>
      <c r="L26" s="7"/>
      <c r="M26" s="7"/>
      <c r="N26" s="7"/>
    </row>
    <row r="27" spans="1:15" ht="14.65" x14ac:dyDescent="0.45">
      <c r="A27" s="2"/>
      <c r="B27" s="2" t="s">
        <v>26</v>
      </c>
      <c r="C27" s="2">
        <v>335</v>
      </c>
      <c r="D27" s="2">
        <f>D26-C26</f>
        <v>-18</v>
      </c>
      <c r="E27" s="2">
        <f>E26-D26</f>
        <v>-18</v>
      </c>
      <c r="F27" s="7">
        <f t="shared" ref="F27:J27" si="16">F26-E26</f>
        <v>3.5155747945205462</v>
      </c>
      <c r="G27" s="7">
        <f t="shared" si="16"/>
        <v>5.6441055452054343</v>
      </c>
      <c r="H27" s="7">
        <f t="shared" si="16"/>
        <v>6.2094246701917655</v>
      </c>
      <c r="I27" s="7">
        <f t="shared" si="16"/>
        <v>6.8473932084467037</v>
      </c>
      <c r="J27" s="7">
        <f t="shared" si="16"/>
        <v>7.5674513733306981</v>
      </c>
      <c r="K27" s="14"/>
      <c r="L27" s="7"/>
      <c r="M27" s="7"/>
      <c r="N27" s="7"/>
    </row>
    <row r="28" spans="1:15" x14ac:dyDescent="0.45">
      <c r="A28" s="2"/>
      <c r="B28" s="2"/>
      <c r="C28" s="2"/>
      <c r="D28" s="2"/>
      <c r="E28" s="2"/>
      <c r="F28" s="14"/>
      <c r="G28" s="7"/>
      <c r="H28" s="7"/>
      <c r="I28" s="7"/>
      <c r="J28" s="7"/>
      <c r="K28" s="14"/>
      <c r="L28" s="7"/>
      <c r="M28" s="7"/>
      <c r="N28" s="7"/>
    </row>
    <row r="29" spans="1:15" x14ac:dyDescent="0.45">
      <c r="A29" s="3" t="s">
        <v>27</v>
      </c>
      <c r="B29" s="3"/>
      <c r="C29" s="2">
        <v>45</v>
      </c>
      <c r="D29" s="2">
        <v>45</v>
      </c>
      <c r="E29" s="2">
        <v>45</v>
      </c>
      <c r="F29" s="15">
        <f>0.125*F12</f>
        <v>46.541249999999998</v>
      </c>
      <c r="G29" s="15">
        <f t="shared" ref="G29:J29" si="17">0.125*G12</f>
        <v>47.409581249999988</v>
      </c>
      <c r="H29" s="15">
        <f t="shared" si="17"/>
        <v>48.364885406249982</v>
      </c>
      <c r="I29" s="15">
        <f t="shared" si="17"/>
        <v>49.418339395781224</v>
      </c>
      <c r="J29" s="15">
        <f t="shared" si="17"/>
        <v>50.582572498385126</v>
      </c>
      <c r="K29" s="23">
        <v>0.125</v>
      </c>
      <c r="L29" s="7" t="s">
        <v>9</v>
      </c>
      <c r="M29" s="7"/>
      <c r="N29" s="7"/>
    </row>
    <row r="30" spans="1:15" ht="14.65" x14ac:dyDescent="0.45">
      <c r="A30" s="2"/>
      <c r="B30" s="2" t="s">
        <v>28</v>
      </c>
      <c r="C30" s="3">
        <f>C29-B29</f>
        <v>45</v>
      </c>
      <c r="D30" s="3">
        <f>D29-C29</f>
        <v>0</v>
      </c>
      <c r="E30" s="3">
        <f t="shared" ref="E30:J30" si="18">E29-D29</f>
        <v>0</v>
      </c>
      <c r="F30" s="6">
        <f t="shared" si="18"/>
        <v>1.541249999999998</v>
      </c>
      <c r="G30" s="6">
        <f t="shared" si="18"/>
        <v>0.86833124999999001</v>
      </c>
      <c r="H30" s="6">
        <f t="shared" si="18"/>
        <v>0.95530415624999421</v>
      </c>
      <c r="I30" s="6">
        <f t="shared" si="18"/>
        <v>1.053453989531242</v>
      </c>
      <c r="J30" s="6">
        <f t="shared" si="18"/>
        <v>1.1642331026039017</v>
      </c>
      <c r="K30" s="14"/>
      <c r="L30" s="7"/>
      <c r="M30" s="7"/>
      <c r="N30" s="7"/>
    </row>
    <row r="31" spans="1:15" x14ac:dyDescent="0.45">
      <c r="A31" s="2"/>
      <c r="B31" s="2"/>
      <c r="C31" s="2"/>
      <c r="D31" s="2"/>
      <c r="E31" s="2"/>
      <c r="F31" s="14"/>
      <c r="G31" s="7"/>
      <c r="H31" s="7"/>
      <c r="I31" s="7"/>
      <c r="J31" s="7"/>
      <c r="K31" s="14"/>
      <c r="L31" s="7"/>
      <c r="M31" s="7"/>
      <c r="N31" s="7"/>
    </row>
    <row r="32" spans="1:15" x14ac:dyDescent="0.45">
      <c r="A32" s="2" t="s">
        <v>29</v>
      </c>
      <c r="B32" s="2"/>
      <c r="C32" s="2">
        <f>144</f>
        <v>144</v>
      </c>
      <c r="D32" s="2">
        <f>C35</f>
        <v>140</v>
      </c>
      <c r="E32" s="2">
        <f>D35</f>
        <v>132</v>
      </c>
      <c r="F32" s="7">
        <f t="shared" ref="F32:J32" si="19">E35</f>
        <v>126</v>
      </c>
      <c r="G32" s="7">
        <f t="shared" si="19"/>
        <v>120.8</v>
      </c>
      <c r="H32" s="7">
        <f t="shared" si="19"/>
        <v>116.64000000000001</v>
      </c>
      <c r="I32" s="7">
        <f t="shared" si="19"/>
        <v>113.31200000000001</v>
      </c>
      <c r="J32" s="7">
        <f t="shared" si="19"/>
        <v>110.64960000000001</v>
      </c>
      <c r="K32" s="14"/>
      <c r="L32" s="7"/>
      <c r="M32" s="7"/>
      <c r="N32" s="7"/>
    </row>
    <row r="33" spans="1:17" x14ac:dyDescent="0.45">
      <c r="A33" s="3" t="s">
        <v>30</v>
      </c>
      <c r="B33" s="3"/>
      <c r="C33" s="2">
        <v>20</v>
      </c>
      <c r="D33" s="2">
        <v>20</v>
      </c>
      <c r="E33" s="2">
        <v>20</v>
      </c>
      <c r="F33" s="7">
        <v>20</v>
      </c>
      <c r="G33" s="7">
        <v>20</v>
      </c>
      <c r="H33" s="7">
        <v>20</v>
      </c>
      <c r="I33" s="7">
        <v>20</v>
      </c>
      <c r="J33" s="7">
        <v>20</v>
      </c>
      <c r="K33" s="24" t="s">
        <v>31</v>
      </c>
      <c r="L33" s="7"/>
      <c r="M33" s="7"/>
      <c r="N33" s="7"/>
    </row>
    <row r="34" spans="1:17" x14ac:dyDescent="0.45">
      <c r="A34" s="2" t="s">
        <v>10</v>
      </c>
      <c r="B34" s="2"/>
      <c r="C34" s="22">
        <v>24</v>
      </c>
      <c r="D34" s="22">
        <v>28</v>
      </c>
      <c r="E34" s="22">
        <v>26</v>
      </c>
      <c r="F34" s="18">
        <f>F32*0.2</f>
        <v>25.200000000000003</v>
      </c>
      <c r="G34" s="18">
        <f t="shared" ref="G34:J34" si="20">G32*0.2</f>
        <v>24.16</v>
      </c>
      <c r="H34" s="18">
        <f t="shared" si="20"/>
        <v>23.328000000000003</v>
      </c>
      <c r="I34" s="18">
        <f t="shared" si="20"/>
        <v>22.662400000000005</v>
      </c>
      <c r="J34" s="18">
        <f t="shared" si="20"/>
        <v>22.129920000000002</v>
      </c>
      <c r="K34" s="25">
        <v>0.2</v>
      </c>
      <c r="L34" s="7" t="s">
        <v>11</v>
      </c>
      <c r="M34" s="7"/>
      <c r="N34" s="7"/>
    </row>
    <row r="35" spans="1:17" x14ac:dyDescent="0.45">
      <c r="A35" s="2" t="s">
        <v>32</v>
      </c>
      <c r="B35" s="2"/>
      <c r="C35" s="2">
        <f>C32+C33-C34</f>
        <v>140</v>
      </c>
      <c r="D35" s="2">
        <f>D32+D33-D34</f>
        <v>132</v>
      </c>
      <c r="E35" s="2">
        <f>E32+E33-E34</f>
        <v>126</v>
      </c>
      <c r="F35" s="2">
        <f t="shared" ref="F35:J35" si="21">F32+F33-F34</f>
        <v>120.8</v>
      </c>
      <c r="G35" s="2">
        <f t="shared" si="21"/>
        <v>116.64000000000001</v>
      </c>
      <c r="H35" s="2">
        <f t="shared" si="21"/>
        <v>113.31200000000001</v>
      </c>
      <c r="I35" s="2">
        <f t="shared" si="21"/>
        <v>110.64960000000001</v>
      </c>
      <c r="J35" s="2">
        <f t="shared" si="21"/>
        <v>108.51968000000002</v>
      </c>
      <c r="K35" s="14"/>
      <c r="L35" s="7"/>
      <c r="M35" s="7"/>
      <c r="N35" s="7"/>
    </row>
    <row r="38" spans="1:17" ht="14.65" thickBot="1" x14ac:dyDescent="0.5">
      <c r="A38" s="26" t="s">
        <v>33</v>
      </c>
      <c r="B38" s="27"/>
      <c r="C38" s="27"/>
      <c r="D38" s="27"/>
      <c r="E38" s="27"/>
      <c r="F38" s="28" t="s">
        <v>1</v>
      </c>
      <c r="G38" s="28"/>
      <c r="H38" s="28"/>
      <c r="I38" s="28"/>
      <c r="J38" s="28"/>
      <c r="K38" s="29"/>
      <c r="L38" s="27"/>
    </row>
    <row r="39" spans="1:17" x14ac:dyDescent="0.45">
      <c r="A39" s="27"/>
      <c r="B39" s="27"/>
      <c r="C39" s="27"/>
      <c r="D39" s="27"/>
      <c r="E39" s="27"/>
      <c r="F39" s="30">
        <v>2013</v>
      </c>
      <c r="G39" s="30">
        <v>2014</v>
      </c>
      <c r="H39" s="30">
        <v>2015</v>
      </c>
      <c r="I39" s="30">
        <v>2016</v>
      </c>
      <c r="J39" s="30">
        <v>2017</v>
      </c>
      <c r="K39" s="29"/>
      <c r="L39" s="27"/>
      <c r="N39" s="43" t="s">
        <v>34</v>
      </c>
      <c r="O39" s="44"/>
      <c r="P39" s="45"/>
    </row>
    <row r="40" spans="1:17" x14ac:dyDescent="0.45">
      <c r="A40" s="27" t="s">
        <v>14</v>
      </c>
      <c r="B40" s="27"/>
      <c r="C40" s="27"/>
      <c r="D40" s="27"/>
      <c r="E40" s="31">
        <f>E17</f>
        <v>82</v>
      </c>
      <c r="F40" s="31">
        <f>F17</f>
        <v>67.882499999999993</v>
      </c>
      <c r="G40" s="31">
        <f t="shared" ref="G40:J40" si="22">G17</f>
        <v>70.659162499999979</v>
      </c>
      <c r="H40" s="31">
        <f t="shared" si="22"/>
        <v>73.40177081249999</v>
      </c>
      <c r="I40" s="31">
        <f t="shared" si="22"/>
        <v>76.174278791562472</v>
      </c>
      <c r="J40" s="31">
        <f t="shared" si="22"/>
        <v>79.035224996770239</v>
      </c>
      <c r="K40" s="27"/>
      <c r="L40" s="27"/>
      <c r="N40" s="46" t="s">
        <v>35</v>
      </c>
      <c r="O40" s="32"/>
      <c r="P40" s="47">
        <v>0.82</v>
      </c>
    </row>
    <row r="41" spans="1:17" x14ac:dyDescent="0.45">
      <c r="A41" s="27" t="s">
        <v>36</v>
      </c>
      <c r="B41" s="27"/>
      <c r="C41" s="27" t="s">
        <v>37</v>
      </c>
      <c r="D41" s="33">
        <f>0.4</f>
        <v>0.4</v>
      </c>
      <c r="E41" s="31">
        <f>E40*(1-$D$41)</f>
        <v>49.199999999999996</v>
      </c>
      <c r="F41" s="31">
        <f>F40*(1-$D$41)</f>
        <v>40.729499999999994</v>
      </c>
      <c r="G41" s="31">
        <f t="shared" ref="G41:J41" si="23">G40*(1-$D$41)</f>
        <v>42.395497499999983</v>
      </c>
      <c r="H41" s="31">
        <f t="shared" si="23"/>
        <v>44.041062487499993</v>
      </c>
      <c r="I41" s="31">
        <f t="shared" si="23"/>
        <v>45.704567274937482</v>
      </c>
      <c r="J41" s="31">
        <f t="shared" si="23"/>
        <v>47.421134998062143</v>
      </c>
      <c r="K41" s="27"/>
      <c r="L41" s="27"/>
      <c r="N41" s="48" t="s">
        <v>38</v>
      </c>
      <c r="O41" s="34"/>
      <c r="P41" s="49">
        <v>4.8599999999999997E-2</v>
      </c>
    </row>
    <row r="42" spans="1:17" x14ac:dyDescent="0.45">
      <c r="A42" s="27" t="s">
        <v>10</v>
      </c>
      <c r="B42" s="27"/>
      <c r="C42" s="27"/>
      <c r="D42" s="27"/>
      <c r="E42" s="31">
        <f>E34</f>
        <v>26</v>
      </c>
      <c r="F42" s="31">
        <f>F34</f>
        <v>25.200000000000003</v>
      </c>
      <c r="G42" s="31">
        <f t="shared" ref="G42:J42" si="24">G34</f>
        <v>24.16</v>
      </c>
      <c r="H42" s="31">
        <f t="shared" si="24"/>
        <v>23.328000000000003</v>
      </c>
      <c r="I42" s="31">
        <f t="shared" si="24"/>
        <v>22.662400000000005</v>
      </c>
      <c r="J42" s="31">
        <f t="shared" si="24"/>
        <v>22.129920000000002</v>
      </c>
      <c r="K42" s="27"/>
      <c r="L42" s="27"/>
      <c r="N42" s="48" t="s">
        <v>39</v>
      </c>
      <c r="O42" s="34"/>
      <c r="P42" s="49">
        <v>0.05</v>
      </c>
    </row>
    <row r="43" spans="1:17" x14ac:dyDescent="0.45">
      <c r="A43" s="27" t="s">
        <v>40</v>
      </c>
      <c r="B43" s="27"/>
      <c r="C43" s="27"/>
      <c r="D43" s="27"/>
      <c r="E43" s="27">
        <f>E33</f>
        <v>20</v>
      </c>
      <c r="F43" s="27">
        <f>F33</f>
        <v>20</v>
      </c>
      <c r="G43" s="27">
        <f t="shared" ref="G43:J43" si="25">G33</f>
        <v>20</v>
      </c>
      <c r="H43" s="27">
        <f t="shared" si="25"/>
        <v>20</v>
      </c>
      <c r="I43" s="27">
        <f t="shared" si="25"/>
        <v>20</v>
      </c>
      <c r="J43" s="27">
        <f t="shared" si="25"/>
        <v>20</v>
      </c>
      <c r="K43" s="27"/>
      <c r="L43" s="27"/>
      <c r="N43" s="48" t="s">
        <v>41</v>
      </c>
      <c r="O43" s="34"/>
      <c r="P43" s="49">
        <v>0.06</v>
      </c>
    </row>
    <row r="44" spans="1:17" ht="14.65" x14ac:dyDescent="0.45">
      <c r="A44" s="27" t="s">
        <v>26</v>
      </c>
      <c r="B44" s="27"/>
      <c r="C44" s="27"/>
      <c r="D44" s="27"/>
      <c r="E44" s="31">
        <f>E27</f>
        <v>-18</v>
      </c>
      <c r="F44" s="31">
        <f>F27</f>
        <v>3.5155747945205462</v>
      </c>
      <c r="G44" s="31">
        <f t="shared" ref="G44:J44" si="26">G27</f>
        <v>5.6441055452054343</v>
      </c>
      <c r="H44" s="31">
        <f t="shared" si="26"/>
        <v>6.2094246701917655</v>
      </c>
      <c r="I44" s="31">
        <f t="shared" si="26"/>
        <v>6.8473932084467037</v>
      </c>
      <c r="J44" s="31">
        <f t="shared" si="26"/>
        <v>7.5674513733306981</v>
      </c>
      <c r="K44" s="27"/>
      <c r="L44" s="27"/>
      <c r="N44" s="48" t="s">
        <v>42</v>
      </c>
      <c r="O44" s="34"/>
      <c r="P44" s="50">
        <v>0.35</v>
      </c>
    </row>
    <row r="45" spans="1:17" ht="14.65" x14ac:dyDescent="0.45">
      <c r="A45" s="27" t="s">
        <v>28</v>
      </c>
      <c r="B45" s="27"/>
      <c r="C45" s="27"/>
      <c r="D45" s="27"/>
      <c r="E45" s="35">
        <f>E30</f>
        <v>0</v>
      </c>
      <c r="F45" s="35">
        <f>F30</f>
        <v>1.541249999999998</v>
      </c>
      <c r="G45" s="35">
        <f t="shared" ref="G45:J45" si="27">G30</f>
        <v>0.86833124999999001</v>
      </c>
      <c r="H45" s="35">
        <f t="shared" si="27"/>
        <v>0.95530415624999421</v>
      </c>
      <c r="I45" s="35">
        <f t="shared" si="27"/>
        <v>1.053453989531242</v>
      </c>
      <c r="J45" s="35">
        <f t="shared" si="27"/>
        <v>1.1642331026039017</v>
      </c>
      <c r="K45" s="27"/>
      <c r="L45" s="27"/>
      <c r="N45" s="48"/>
      <c r="O45" s="34"/>
      <c r="P45" s="51"/>
    </row>
    <row r="46" spans="1:17" x14ac:dyDescent="0.45">
      <c r="A46" s="27" t="s">
        <v>43</v>
      </c>
      <c r="B46" s="27"/>
      <c r="C46" s="27"/>
      <c r="D46" s="27"/>
      <c r="E46" s="31">
        <f>E41+E42-E43-E44-E45</f>
        <v>73.199999999999989</v>
      </c>
      <c r="F46" s="31">
        <f t="shared" ref="F46:J46" si="28">F41+F42-F43-F44-F45</f>
        <v>40.872675205479446</v>
      </c>
      <c r="G46" s="31">
        <f t="shared" si="28"/>
        <v>40.043060704794563</v>
      </c>
      <c r="H46" s="31">
        <f t="shared" si="28"/>
        <v>40.204333661058243</v>
      </c>
      <c r="I46" s="31">
        <f t="shared" si="28"/>
        <v>40.466120076959534</v>
      </c>
      <c r="J46" s="31">
        <f t="shared" si="28"/>
        <v>40.819370522127542</v>
      </c>
      <c r="K46" s="27"/>
      <c r="L46" s="27"/>
      <c r="N46" s="48" t="s">
        <v>44</v>
      </c>
      <c r="O46" s="34"/>
      <c r="P46" s="52">
        <f>P40/(1+((1-D41)*(P44)))</f>
        <v>0.6776859504132231</v>
      </c>
      <c r="Q46" t="s">
        <v>67</v>
      </c>
    </row>
    <row r="47" spans="1:17" x14ac:dyDescent="0.45">
      <c r="A47" s="27" t="s">
        <v>45</v>
      </c>
      <c r="B47" s="27"/>
      <c r="C47" s="27" t="s">
        <v>46</v>
      </c>
      <c r="D47" s="33">
        <f>0.03</f>
        <v>0.03</v>
      </c>
      <c r="E47" s="27"/>
      <c r="F47" s="27"/>
      <c r="G47" s="27"/>
      <c r="H47" s="27"/>
      <c r="I47" s="27"/>
      <c r="J47" s="27">
        <f>(J46*(1+D47))/(P50-D47)</f>
        <v>855.86876066997434</v>
      </c>
      <c r="K47" s="27" t="s">
        <v>47</v>
      </c>
      <c r="L47" s="27"/>
      <c r="N47" s="48"/>
      <c r="O47" s="34"/>
      <c r="P47" s="51"/>
      <c r="Q47" t="s">
        <v>68</v>
      </c>
    </row>
    <row r="48" spans="1:17" x14ac:dyDescent="0.4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N48" s="48" t="s">
        <v>48</v>
      </c>
      <c r="O48" s="34"/>
      <c r="P48" s="52">
        <f>(P40-(P46*P44*(1-D41)))/(1-P44)</f>
        <v>1.0425937698664971</v>
      </c>
    </row>
    <row r="49" spans="1:17" x14ac:dyDescent="0.45">
      <c r="A49" s="27" t="s">
        <v>49</v>
      </c>
      <c r="B49" s="27"/>
      <c r="C49" s="27"/>
      <c r="D49" s="27"/>
      <c r="E49" s="27"/>
      <c r="F49" s="36">
        <f>1/(1+$P$50)^1</f>
        <v>0.92667730890458777</v>
      </c>
      <c r="G49" s="36">
        <f>1/(1+$P$50)^2</f>
        <v>0.85873083483864876</v>
      </c>
      <c r="H49" s="36">
        <f>1/(1+$P$50)^3</f>
        <v>0.79576637910166903</v>
      </c>
      <c r="I49" s="36">
        <f>1/(1+$P$50)^4</f>
        <v>0.73741864670268276</v>
      </c>
      <c r="J49" s="36">
        <f>1/(1+$P$50)^5</f>
        <v>0.68334912706250495</v>
      </c>
      <c r="K49" s="27"/>
      <c r="L49" s="27"/>
      <c r="N49" s="48" t="s">
        <v>50</v>
      </c>
      <c r="O49" s="34"/>
      <c r="P49" s="49">
        <f>P41+(P42*P48)</f>
        <v>0.10072968849332486</v>
      </c>
      <c r="Q49" t="s">
        <v>69</v>
      </c>
    </row>
    <row r="50" spans="1:17" ht="14.65" thickBot="1" x14ac:dyDescent="0.5">
      <c r="A50" s="27" t="s">
        <v>51</v>
      </c>
      <c r="B50" s="27"/>
      <c r="C50" s="27"/>
      <c r="D50" s="27"/>
      <c r="E50" s="27"/>
      <c r="F50" s="31">
        <f>(F46+F47)*F49</f>
        <v>37.875780667144959</v>
      </c>
      <c r="G50" s="31">
        <f t="shared" ref="G50:J50" si="29">(G46+G47)*G49</f>
        <v>34.386210948522923</v>
      </c>
      <c r="H50" s="31">
        <f t="shared" si="29"/>
        <v>31.993257021655666</v>
      </c>
      <c r="I50" s="31">
        <f t="shared" si="29"/>
        <v>29.84047150445976</v>
      </c>
      <c r="J50" s="31">
        <f t="shared" si="29"/>
        <v>612.75105169743176</v>
      </c>
      <c r="K50" s="27"/>
      <c r="L50" s="27"/>
      <c r="N50" s="53" t="s">
        <v>52</v>
      </c>
      <c r="O50" s="54"/>
      <c r="P50" s="59">
        <f>(P44*P43*(1-P44))+((1-P44)*P49)</f>
        <v>7.9124297520661163E-2</v>
      </c>
    </row>
    <row r="51" spans="1:17" x14ac:dyDescent="0.45">
      <c r="A51" s="37" t="s">
        <v>53</v>
      </c>
      <c r="B51" s="37"/>
      <c r="C51" s="27"/>
      <c r="D51" s="27"/>
      <c r="E51" s="38">
        <f>SUM(F50:J50)</f>
        <v>746.84677183921508</v>
      </c>
      <c r="F51" s="27"/>
      <c r="G51" s="27"/>
      <c r="H51" s="27"/>
      <c r="I51" s="27"/>
      <c r="J51" s="27"/>
      <c r="K51" s="27"/>
      <c r="L51" s="27"/>
    </row>
    <row r="52" spans="1:17" x14ac:dyDescent="0.45">
      <c r="A52" s="27" t="s">
        <v>54</v>
      </c>
      <c r="B52" s="27"/>
      <c r="C52" s="27"/>
      <c r="D52" s="27"/>
      <c r="E52" s="39">
        <v>301</v>
      </c>
      <c r="F52" s="27"/>
      <c r="G52" s="27"/>
      <c r="H52" s="27"/>
      <c r="I52" s="27"/>
      <c r="J52" s="27"/>
      <c r="K52" s="27"/>
      <c r="L52" s="27"/>
    </row>
    <row r="53" spans="1:17" x14ac:dyDescent="0.45">
      <c r="A53" s="27" t="s">
        <v>55</v>
      </c>
      <c r="B53" s="27"/>
      <c r="C53" s="27"/>
      <c r="D53" s="27"/>
      <c r="E53" s="38">
        <f>E51-E52</f>
        <v>445.84677183921508</v>
      </c>
      <c r="F53" s="27"/>
      <c r="G53" s="27"/>
      <c r="H53" s="27"/>
      <c r="I53" s="27"/>
      <c r="J53" s="27"/>
      <c r="K53" s="27"/>
      <c r="L53" s="27"/>
    </row>
    <row r="54" spans="1:17" x14ac:dyDescent="0.45">
      <c r="A54" s="27" t="s">
        <v>56</v>
      </c>
      <c r="B54" s="27"/>
      <c r="C54" s="27"/>
      <c r="D54" s="27">
        <v>10</v>
      </c>
      <c r="E54" s="27"/>
      <c r="F54" s="27"/>
      <c r="G54" s="27"/>
      <c r="H54" s="27"/>
      <c r="I54" s="27"/>
      <c r="J54" s="27"/>
      <c r="K54" s="27"/>
      <c r="L54" s="27"/>
    </row>
    <row r="55" spans="1:17" ht="14.65" thickBot="1" x14ac:dyDescent="0.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</row>
    <row r="56" spans="1:17" ht="14.65" thickBot="1" x14ac:dyDescent="0.5">
      <c r="A56" s="40" t="s">
        <v>57</v>
      </c>
      <c r="B56" s="40"/>
      <c r="C56" s="40"/>
      <c r="D56" s="40"/>
      <c r="E56" s="41">
        <f>E53/D54</f>
        <v>44.584677183921507</v>
      </c>
    </row>
  </sheetData>
  <pageMargins left="0.7" right="0.7" top="0.75" bottom="0.75" header="0.3" footer="0.3"/>
  <pageSetup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DF48-34A1-8A46-9B16-AF4D1CA2C965}">
  <sheetPr>
    <pageSetUpPr fitToPage="1"/>
  </sheetPr>
  <dimension ref="A1:P56"/>
  <sheetViews>
    <sheetView zoomScale="60" workbookViewId="0">
      <selection activeCell="P46" sqref="P46"/>
    </sheetView>
  </sheetViews>
  <sheetFormatPr defaultColWidth="8.796875" defaultRowHeight="14.25" x14ac:dyDescent="0.45"/>
  <cols>
    <col min="1" max="1" width="11.1328125" customWidth="1"/>
    <col min="2" max="2" width="17" customWidth="1"/>
    <col min="14" max="14" width="8.1328125" customWidth="1"/>
    <col min="16" max="16" width="16.265625" bestFit="1" customWidth="1"/>
  </cols>
  <sheetData>
    <row r="1" spans="1:16" x14ac:dyDescent="0.4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6" x14ac:dyDescent="0.4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1:16" x14ac:dyDescent="0.4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1:16" ht="21" x14ac:dyDescent="0.45">
      <c r="B4" s="66" t="s">
        <v>62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</row>
    <row r="5" spans="1:16" ht="21" customHeight="1" x14ac:dyDescent="0.45">
      <c r="B5" s="67" t="s">
        <v>63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6" ht="21" x14ac:dyDescent="0.65">
      <c r="A6" s="1"/>
    </row>
    <row r="7" spans="1:16" x14ac:dyDescent="0.45">
      <c r="A7" s="2"/>
      <c r="B7" s="2"/>
      <c r="C7" s="3"/>
      <c r="D7" s="3"/>
      <c r="E7" s="4" t="s">
        <v>0</v>
      </c>
      <c r="F7" s="5" t="s">
        <v>1</v>
      </c>
      <c r="G7" s="6"/>
      <c r="H7" s="6"/>
      <c r="I7" s="6"/>
      <c r="J7" s="6"/>
      <c r="K7" s="6"/>
      <c r="L7" s="7"/>
      <c r="M7" s="7"/>
      <c r="N7" s="7"/>
    </row>
    <row r="8" spans="1:16" x14ac:dyDescent="0.45">
      <c r="A8" s="8" t="s">
        <v>2</v>
      </c>
      <c r="B8" s="2"/>
      <c r="C8" s="9">
        <v>2010</v>
      </c>
      <c r="D8" s="9">
        <v>2011</v>
      </c>
      <c r="E8" s="9">
        <f t="shared" ref="E8:J8" si="0">+D8+1</f>
        <v>2012</v>
      </c>
      <c r="F8" s="10">
        <f t="shared" si="0"/>
        <v>2013</v>
      </c>
      <c r="G8" s="11">
        <f t="shared" si="0"/>
        <v>2014</v>
      </c>
      <c r="H8" s="11">
        <f t="shared" si="0"/>
        <v>2015</v>
      </c>
      <c r="I8" s="11">
        <f t="shared" si="0"/>
        <v>2016</v>
      </c>
      <c r="J8" s="11">
        <f t="shared" si="0"/>
        <v>2017</v>
      </c>
      <c r="K8" s="12" t="s">
        <v>3</v>
      </c>
      <c r="L8" s="13"/>
      <c r="M8" s="13"/>
      <c r="N8" s="7"/>
    </row>
    <row r="9" spans="1:16" x14ac:dyDescent="0.45">
      <c r="A9" s="2"/>
      <c r="B9" s="2"/>
      <c r="C9" s="2"/>
      <c r="D9" s="2"/>
      <c r="E9" s="2"/>
      <c r="F9" s="14"/>
      <c r="G9" s="7"/>
      <c r="H9" s="7"/>
      <c r="I9" s="7"/>
      <c r="J9" s="7"/>
      <c r="K9" s="14"/>
      <c r="L9" s="7"/>
      <c r="M9" s="7"/>
      <c r="N9" s="7"/>
      <c r="P9" s="68"/>
    </row>
    <row r="10" spans="1:16" x14ac:dyDescent="0.45">
      <c r="A10" s="3" t="s">
        <v>4</v>
      </c>
      <c r="B10" s="3"/>
      <c r="C10" s="3">
        <v>250</v>
      </c>
      <c r="D10" s="3">
        <v>255</v>
      </c>
      <c r="E10" s="3">
        <v>265.06436056515429</v>
      </c>
      <c r="F10" s="15">
        <f>1.04*E10</f>
        <v>275.66693498776044</v>
      </c>
      <c r="G10" s="15">
        <f t="shared" ref="G10:J10" si="1">1.04*F10</f>
        <v>286.69361238727089</v>
      </c>
      <c r="H10" s="15">
        <f t="shared" si="1"/>
        <v>298.16135688276171</v>
      </c>
      <c r="I10" s="15">
        <f t="shared" si="1"/>
        <v>310.08781115807221</v>
      </c>
      <c r="J10" s="15">
        <f t="shared" si="1"/>
        <v>322.49132360439512</v>
      </c>
      <c r="K10" s="16">
        <f>0.04</f>
        <v>0.04</v>
      </c>
      <c r="L10" s="7" t="s">
        <v>5</v>
      </c>
      <c r="M10" s="7"/>
      <c r="N10" s="7"/>
    </row>
    <row r="11" spans="1:16" x14ac:dyDescent="0.45">
      <c r="A11" s="3" t="s">
        <v>6</v>
      </c>
      <c r="B11" s="3"/>
      <c r="C11" s="17">
        <v>225</v>
      </c>
      <c r="D11" s="17">
        <v>240</v>
      </c>
      <c r="E11" s="17">
        <v>260</v>
      </c>
      <c r="F11" s="18">
        <f>1.08*E11</f>
        <v>280.8</v>
      </c>
      <c r="G11" s="18">
        <f t="shared" ref="G11:J11" si="2">1.08*F11</f>
        <v>303.26400000000001</v>
      </c>
      <c r="H11" s="18">
        <f t="shared" si="2"/>
        <v>327.52512000000002</v>
      </c>
      <c r="I11" s="18">
        <f t="shared" si="2"/>
        <v>353.72712960000001</v>
      </c>
      <c r="J11" s="18">
        <f t="shared" si="2"/>
        <v>382.02529996800001</v>
      </c>
      <c r="K11" s="16">
        <f>0.08</f>
        <v>0.08</v>
      </c>
      <c r="L11" s="7" t="s">
        <v>5</v>
      </c>
      <c r="M11" s="7"/>
      <c r="N11" s="7"/>
    </row>
    <row r="12" spans="1:16" x14ac:dyDescent="0.45">
      <c r="A12" s="3" t="s">
        <v>7</v>
      </c>
      <c r="B12" s="3"/>
      <c r="C12" s="3">
        <v>475</v>
      </c>
      <c r="D12" s="3">
        <v>495</v>
      </c>
      <c r="E12" s="3">
        <v>525.06436056515429</v>
      </c>
      <c r="F12" s="15">
        <f>F10+F11</f>
        <v>556.4669349877604</v>
      </c>
      <c r="G12" s="15">
        <f t="shared" ref="G12:J12" si="3">G10+G11</f>
        <v>589.95761238727096</v>
      </c>
      <c r="H12" s="15">
        <f t="shared" si="3"/>
        <v>625.68647688276178</v>
      </c>
      <c r="I12" s="15">
        <f t="shared" si="3"/>
        <v>663.81494075807223</v>
      </c>
      <c r="J12" s="15">
        <f t="shared" si="3"/>
        <v>704.51662357239513</v>
      </c>
      <c r="K12" s="14"/>
      <c r="L12" s="7"/>
      <c r="M12" s="7"/>
      <c r="N12" s="7"/>
    </row>
    <row r="13" spans="1:16" x14ac:dyDescent="0.45">
      <c r="A13" s="3" t="s">
        <v>8</v>
      </c>
      <c r="B13" s="3"/>
      <c r="C13" s="3">
        <v>200</v>
      </c>
      <c r="D13" s="3">
        <v>205</v>
      </c>
      <c r="E13" s="3">
        <v>230</v>
      </c>
      <c r="F13" s="15">
        <f>0.438*F12</f>
        <v>243.73251752463906</v>
      </c>
      <c r="G13" s="15">
        <f t="shared" ref="G13:J13" si="4">0.438*G12</f>
        <v>258.40143422562466</v>
      </c>
      <c r="H13" s="15">
        <f t="shared" si="4"/>
        <v>274.05067687464964</v>
      </c>
      <c r="I13" s="15">
        <f t="shared" si="4"/>
        <v>290.75094405203566</v>
      </c>
      <c r="J13" s="15">
        <f t="shared" si="4"/>
        <v>308.57828112470906</v>
      </c>
      <c r="K13" s="16">
        <f>0.438</f>
        <v>0.438</v>
      </c>
      <c r="L13" s="7" t="s">
        <v>9</v>
      </c>
      <c r="M13" s="7"/>
      <c r="N13" s="7"/>
    </row>
    <row r="14" spans="1:16" x14ac:dyDescent="0.45">
      <c r="A14" s="3" t="s">
        <v>10</v>
      </c>
      <c r="B14" s="3"/>
      <c r="C14" s="3">
        <v>40</v>
      </c>
      <c r="D14" s="3">
        <v>55.4</v>
      </c>
      <c r="E14" s="3">
        <v>46.32</v>
      </c>
      <c r="F14" s="15">
        <f>0.2*F32</f>
        <v>39.06</v>
      </c>
      <c r="G14" s="15">
        <f t="shared" ref="G14:J14" si="5">0.2*G32</f>
        <v>33.248000000000005</v>
      </c>
      <c r="H14" s="15">
        <f t="shared" si="5"/>
        <v>28.598400000000005</v>
      </c>
      <c r="I14" s="15">
        <f t="shared" si="5"/>
        <v>24.878720000000005</v>
      </c>
      <c r="J14" s="15">
        <f t="shared" si="5"/>
        <v>21.902976000000006</v>
      </c>
      <c r="K14" s="16">
        <f>0.2</f>
        <v>0.2</v>
      </c>
      <c r="L14" s="7" t="s">
        <v>11</v>
      </c>
      <c r="M14" s="7"/>
      <c r="N14" s="7"/>
    </row>
    <row r="15" spans="1:16" x14ac:dyDescent="0.45">
      <c r="A15" s="3" t="s">
        <v>12</v>
      </c>
      <c r="B15" s="3"/>
      <c r="C15" s="3">
        <v>52</v>
      </c>
      <c r="D15" s="3">
        <v>53.3</v>
      </c>
      <c r="E15" s="3">
        <v>53.3</v>
      </c>
      <c r="F15" s="15">
        <f>0.1*F12</f>
        <v>55.646693498776045</v>
      </c>
      <c r="G15" s="15">
        <f t="shared" ref="G15:J15" si="6">0.1*G12</f>
        <v>58.995761238727098</v>
      </c>
      <c r="H15" s="15">
        <f t="shared" si="6"/>
        <v>62.56864768827618</v>
      </c>
      <c r="I15" s="15">
        <f t="shared" si="6"/>
        <v>66.381494075807225</v>
      </c>
      <c r="J15" s="15">
        <f t="shared" si="6"/>
        <v>70.451662357239513</v>
      </c>
      <c r="K15" s="16">
        <f>0.1</f>
        <v>0.1</v>
      </c>
      <c r="L15" s="7" t="s">
        <v>9</v>
      </c>
      <c r="M15" s="7"/>
      <c r="N15" s="7"/>
    </row>
    <row r="16" spans="1:16" x14ac:dyDescent="0.45">
      <c r="A16" s="3" t="s">
        <v>13</v>
      </c>
      <c r="B16" s="3"/>
      <c r="C16" s="17">
        <v>148</v>
      </c>
      <c r="D16" s="17">
        <v>151.69999999999999</v>
      </c>
      <c r="E16" s="17">
        <v>151.69999999999999</v>
      </c>
      <c r="F16" s="18">
        <f>0.29*F12</f>
        <v>161.37541114645052</v>
      </c>
      <c r="G16" s="18">
        <f t="shared" ref="G16:J16" si="7">0.29*G12</f>
        <v>171.08770759230856</v>
      </c>
      <c r="H16" s="18">
        <f t="shared" si="7"/>
        <v>181.44907829600089</v>
      </c>
      <c r="I16" s="18">
        <f t="shared" si="7"/>
        <v>192.50633281984094</v>
      </c>
      <c r="J16" s="18">
        <f t="shared" si="7"/>
        <v>204.30982083599457</v>
      </c>
      <c r="K16" s="16">
        <f>0.29</f>
        <v>0.28999999999999998</v>
      </c>
      <c r="L16" s="7" t="s">
        <v>9</v>
      </c>
      <c r="M16" s="7"/>
      <c r="N16" s="7"/>
    </row>
    <row r="17" spans="1:14" x14ac:dyDescent="0.45">
      <c r="A17" s="2" t="s">
        <v>14</v>
      </c>
      <c r="B17" s="2"/>
      <c r="C17" s="3">
        <v>35</v>
      </c>
      <c r="D17" s="3">
        <v>29.600000000000023</v>
      </c>
      <c r="E17" s="3">
        <v>43.744360565154295</v>
      </c>
      <c r="F17" s="6">
        <f t="shared" ref="F17:J17" si="8">+F12-SUM(F13:F16)</f>
        <v>56.652312817894824</v>
      </c>
      <c r="G17" s="6">
        <f t="shared" si="8"/>
        <v>68.224709330610722</v>
      </c>
      <c r="H17" s="6">
        <f t="shared" si="8"/>
        <v>79.019674023835023</v>
      </c>
      <c r="I17" s="6">
        <f t="shared" si="8"/>
        <v>89.297449810388457</v>
      </c>
      <c r="J17" s="6">
        <f t="shared" si="8"/>
        <v>99.273883254452016</v>
      </c>
      <c r="K17" s="14"/>
      <c r="L17" s="7"/>
      <c r="M17" s="7"/>
      <c r="N17" s="7"/>
    </row>
    <row r="18" spans="1:14" x14ac:dyDescent="0.45">
      <c r="A18" s="3"/>
      <c r="B18" s="3"/>
      <c r="C18" s="3"/>
      <c r="D18" s="3"/>
      <c r="E18" s="3"/>
      <c r="F18" s="14"/>
      <c r="G18" s="7"/>
      <c r="H18" s="7"/>
      <c r="I18" s="7"/>
      <c r="J18" s="7"/>
      <c r="K18" s="14"/>
      <c r="L18" s="7"/>
      <c r="M18" s="7"/>
      <c r="N18" s="7"/>
    </row>
    <row r="19" spans="1:14" x14ac:dyDescent="0.45">
      <c r="A19" s="20" t="s">
        <v>15</v>
      </c>
      <c r="B19" s="20"/>
      <c r="C19" s="2"/>
      <c r="D19" s="2"/>
      <c r="E19" s="2"/>
      <c r="F19" s="14"/>
      <c r="G19" s="7"/>
      <c r="H19" s="7"/>
      <c r="I19" s="7"/>
      <c r="J19" s="7"/>
      <c r="K19" s="14"/>
      <c r="L19" s="7"/>
      <c r="M19" s="7"/>
      <c r="N19" s="7"/>
    </row>
    <row r="20" spans="1:14" x14ac:dyDescent="0.45">
      <c r="A20" s="21" t="s">
        <v>16</v>
      </c>
      <c r="B20" s="21"/>
      <c r="C20" s="2"/>
      <c r="D20" s="2"/>
      <c r="E20" s="2"/>
      <c r="F20" s="14"/>
      <c r="G20" s="7"/>
      <c r="H20" s="7"/>
      <c r="I20" s="7"/>
      <c r="J20" s="7"/>
      <c r="K20" s="14"/>
      <c r="L20" s="7"/>
      <c r="M20" s="7"/>
      <c r="N20" s="7"/>
    </row>
    <row r="21" spans="1:14" x14ac:dyDescent="0.45">
      <c r="A21" s="2"/>
      <c r="B21" s="3" t="s">
        <v>17</v>
      </c>
      <c r="C21" s="56">
        <v>40</v>
      </c>
      <c r="D21" s="57">
        <v>29.700000000000003</v>
      </c>
      <c r="E21" s="57">
        <v>21.002574422606173</v>
      </c>
      <c r="F21" s="15">
        <f>0.04*F12</f>
        <v>22.258677399510415</v>
      </c>
      <c r="G21" s="15">
        <f t="shared" ref="G21:J21" si="9">0.04*G12</f>
        <v>23.59830449549084</v>
      </c>
      <c r="H21" s="15">
        <f t="shared" si="9"/>
        <v>25.027459075310471</v>
      </c>
      <c r="I21" s="15">
        <f t="shared" si="9"/>
        <v>26.552597630322889</v>
      </c>
      <c r="J21" s="15">
        <f t="shared" si="9"/>
        <v>28.180664942895806</v>
      </c>
      <c r="K21" s="16">
        <v>0.04</v>
      </c>
      <c r="L21" s="7" t="s">
        <v>9</v>
      </c>
      <c r="M21" s="7"/>
      <c r="N21" s="7"/>
    </row>
    <row r="22" spans="1:14" x14ac:dyDescent="0.45">
      <c r="A22" s="2"/>
      <c r="B22" s="3" t="s">
        <v>18</v>
      </c>
      <c r="C22" s="56">
        <v>175</v>
      </c>
      <c r="D22" s="56">
        <v>178.5</v>
      </c>
      <c r="E22" s="56">
        <v>181.22447368421052</v>
      </c>
      <c r="F22" s="15">
        <f>(126*F12)/365</f>
        <v>192.09543509166525</v>
      </c>
      <c r="G22" s="15">
        <f t="shared" ref="G22:J22" si="10">(126*G12)/365</f>
        <v>203.65660044053737</v>
      </c>
      <c r="H22" s="15">
        <f t="shared" si="10"/>
        <v>215.99040023898075</v>
      </c>
      <c r="I22" s="15">
        <f t="shared" si="10"/>
        <v>229.15255489182769</v>
      </c>
      <c r="J22" s="15">
        <f t="shared" si="10"/>
        <v>243.20299882225146</v>
      </c>
      <c r="K22" s="14">
        <v>126</v>
      </c>
      <c r="L22" s="7" t="s">
        <v>19</v>
      </c>
      <c r="M22" s="7"/>
      <c r="N22" s="7"/>
    </row>
    <row r="23" spans="1:14" x14ac:dyDescent="0.45">
      <c r="A23" s="2"/>
      <c r="B23" s="3" t="s">
        <v>20</v>
      </c>
      <c r="C23" s="2">
        <v>250</v>
      </c>
      <c r="D23" s="2">
        <v>262</v>
      </c>
      <c r="E23" s="2">
        <v>271</v>
      </c>
      <c r="F23" s="15">
        <f>(F13*430)/365</f>
        <v>287.13693845368437</v>
      </c>
      <c r="G23" s="15">
        <f t="shared" ref="G23:J23" si="11">(G13*430)/365</f>
        <v>304.41812799183174</v>
      </c>
      <c r="H23" s="15">
        <f t="shared" si="11"/>
        <v>322.85422207150503</v>
      </c>
      <c r="I23" s="15">
        <f t="shared" si="11"/>
        <v>342.52850943116528</v>
      </c>
      <c r="J23" s="15">
        <f t="shared" si="11"/>
        <v>363.53057776335589</v>
      </c>
      <c r="K23" s="14">
        <v>430</v>
      </c>
      <c r="L23" s="7" t="s">
        <v>21</v>
      </c>
      <c r="M23" s="7"/>
      <c r="N23" s="7"/>
    </row>
    <row r="24" spans="1:14" x14ac:dyDescent="0.45">
      <c r="A24" s="2"/>
      <c r="B24" s="3" t="s">
        <v>22</v>
      </c>
      <c r="C24" s="56">
        <v>33.25</v>
      </c>
      <c r="D24" s="56">
        <v>33.7575</v>
      </c>
      <c r="E24" s="56">
        <v>34.273575000000008</v>
      </c>
      <c r="F24" s="15">
        <f>0.065*F12</f>
        <v>36.170350774204429</v>
      </c>
      <c r="G24" s="15">
        <f t="shared" ref="G24:J24" si="12">0.065*G12</f>
        <v>38.347244805172615</v>
      </c>
      <c r="H24" s="15">
        <f t="shared" si="12"/>
        <v>40.669620997379518</v>
      </c>
      <c r="I24" s="15">
        <f t="shared" si="12"/>
        <v>43.147971149274696</v>
      </c>
      <c r="J24" s="15">
        <f t="shared" si="12"/>
        <v>45.793580532205688</v>
      </c>
      <c r="K24" s="16">
        <v>6.5000000000000002E-2</v>
      </c>
      <c r="L24" s="7" t="s">
        <v>9</v>
      </c>
      <c r="M24" s="7"/>
      <c r="N24" s="7"/>
    </row>
    <row r="25" spans="1:14" x14ac:dyDescent="0.45">
      <c r="A25" s="2"/>
      <c r="B25" s="3" t="s">
        <v>23</v>
      </c>
      <c r="C25" s="58">
        <v>83</v>
      </c>
      <c r="D25" s="58">
        <v>84.66</v>
      </c>
      <c r="E25" s="58">
        <v>85.952178947368424</v>
      </c>
      <c r="F25" s="18">
        <f>(F13*136)/365</f>
        <v>90.815403790002506</v>
      </c>
      <c r="G25" s="18">
        <f t="shared" ref="G25:J25" si="13">(G13*136)/365</f>
        <v>96.281082341602627</v>
      </c>
      <c r="H25" s="18">
        <f t="shared" si="13"/>
        <v>102.11203302726672</v>
      </c>
      <c r="I25" s="18">
        <f t="shared" si="13"/>
        <v>108.33459833171739</v>
      </c>
      <c r="J25" s="18">
        <f t="shared" si="13"/>
        <v>114.97711296701489</v>
      </c>
      <c r="K25" s="14">
        <v>136</v>
      </c>
      <c r="L25" s="7" t="s">
        <v>21</v>
      </c>
      <c r="M25" s="7"/>
      <c r="N25" s="7"/>
    </row>
    <row r="26" spans="1:14" x14ac:dyDescent="0.45">
      <c r="A26" s="2" t="s">
        <v>25</v>
      </c>
      <c r="B26" s="2"/>
      <c r="C26" s="3">
        <f>C21+C22+C23+C24-C25</f>
        <v>415.25</v>
      </c>
      <c r="D26" s="3">
        <f>D21+D22+D23+D24-D25</f>
        <v>419.29750000000001</v>
      </c>
      <c r="E26" s="3">
        <f>E21+E22+E23+E24-E25</f>
        <v>421.54844415944831</v>
      </c>
      <c r="F26" s="6">
        <f t="shared" ref="F26:J26" si="14">F21+F22+F23+F24-F25</f>
        <v>446.84599792906192</v>
      </c>
      <c r="G26" s="6">
        <f t="shared" si="14"/>
        <v>473.73919539142992</v>
      </c>
      <c r="H26" s="6">
        <f t="shared" si="14"/>
        <v>502.42966935590908</v>
      </c>
      <c r="I26" s="6">
        <f t="shared" si="14"/>
        <v>533.0470347708731</v>
      </c>
      <c r="J26" s="6">
        <f t="shared" si="14"/>
        <v>565.73070909369403</v>
      </c>
      <c r="K26" s="14"/>
      <c r="L26" s="7"/>
      <c r="M26" s="7"/>
      <c r="N26" s="7"/>
    </row>
    <row r="27" spans="1:14" ht="14.65" x14ac:dyDescent="0.45">
      <c r="A27" s="2"/>
      <c r="B27" s="2" t="s">
        <v>26</v>
      </c>
      <c r="C27" s="3">
        <f>C26-B26</f>
        <v>415.25</v>
      </c>
      <c r="D27" s="3">
        <f t="shared" ref="D27:J27" si="15">D26-C26</f>
        <v>4.0475000000000136</v>
      </c>
      <c r="E27" s="3">
        <f t="shared" si="15"/>
        <v>2.2509441594482951</v>
      </c>
      <c r="F27" s="6">
        <f t="shared" si="15"/>
        <v>25.297553769613614</v>
      </c>
      <c r="G27" s="6">
        <f t="shared" si="15"/>
        <v>26.893197462367993</v>
      </c>
      <c r="H27" s="6">
        <f t="shared" si="15"/>
        <v>28.690473964479168</v>
      </c>
      <c r="I27" s="6">
        <f t="shared" si="15"/>
        <v>30.617365414964013</v>
      </c>
      <c r="J27" s="6">
        <f t="shared" si="15"/>
        <v>32.683674322820934</v>
      </c>
      <c r="K27" s="14"/>
      <c r="L27" s="7"/>
      <c r="M27" s="7"/>
      <c r="N27" s="7"/>
    </row>
    <row r="28" spans="1:14" x14ac:dyDescent="0.45">
      <c r="A28" s="2"/>
      <c r="B28" s="2"/>
      <c r="C28" s="2"/>
      <c r="D28" s="2"/>
      <c r="E28" s="2"/>
      <c r="F28" s="14"/>
      <c r="G28" s="7"/>
      <c r="H28" s="7"/>
      <c r="I28" s="7"/>
      <c r="J28" s="7"/>
      <c r="K28" s="14"/>
      <c r="L28" s="7"/>
      <c r="M28" s="7"/>
      <c r="N28" s="7"/>
    </row>
    <row r="29" spans="1:14" x14ac:dyDescent="0.45">
      <c r="A29" s="3" t="s">
        <v>27</v>
      </c>
      <c r="B29" s="3"/>
      <c r="C29" s="56">
        <v>23.75</v>
      </c>
      <c r="D29" s="56">
        <v>24.112500000000001</v>
      </c>
      <c r="E29" s="56">
        <v>24.481125000000006</v>
      </c>
      <c r="F29" s="15">
        <f>0.047*F12</f>
        <v>26.153945944424738</v>
      </c>
      <c r="G29" s="15">
        <f t="shared" ref="G29:J29" si="16">0.047*G12</f>
        <v>27.728007782201736</v>
      </c>
      <c r="H29" s="15">
        <f t="shared" si="16"/>
        <v>29.407264413489802</v>
      </c>
      <c r="I29" s="15">
        <f t="shared" si="16"/>
        <v>31.199302215629395</v>
      </c>
      <c r="J29" s="15">
        <f t="shared" si="16"/>
        <v>33.11228130790257</v>
      </c>
      <c r="K29" s="19">
        <v>4.7E-2</v>
      </c>
      <c r="L29" s="7" t="s">
        <v>9</v>
      </c>
      <c r="M29" s="7"/>
      <c r="N29" s="7"/>
    </row>
    <row r="30" spans="1:14" ht="14.65" x14ac:dyDescent="0.45">
      <c r="A30" s="2"/>
      <c r="B30" s="2" t="s">
        <v>28</v>
      </c>
      <c r="C30" s="69">
        <f>C29-B29</f>
        <v>23.75</v>
      </c>
      <c r="D30" s="69">
        <f t="shared" ref="D30:J30" si="17">D29-C29</f>
        <v>0.36250000000000071</v>
      </c>
      <c r="E30" s="69">
        <f t="shared" si="17"/>
        <v>0.36862500000000509</v>
      </c>
      <c r="F30" s="71">
        <f t="shared" si="17"/>
        <v>1.6728209444247319</v>
      </c>
      <c r="G30" s="71">
        <f t="shared" si="17"/>
        <v>1.5740618377769984</v>
      </c>
      <c r="H30" s="71">
        <f t="shared" si="17"/>
        <v>1.6792566312880659</v>
      </c>
      <c r="I30" s="71">
        <f t="shared" si="17"/>
        <v>1.7920378021395926</v>
      </c>
      <c r="J30" s="71">
        <f t="shared" si="17"/>
        <v>1.9129790922731758</v>
      </c>
      <c r="K30" s="14"/>
      <c r="L30" s="7"/>
      <c r="M30" s="7"/>
      <c r="N30" s="7"/>
    </row>
    <row r="31" spans="1:14" x14ac:dyDescent="0.45">
      <c r="A31" s="2"/>
      <c r="B31" s="2"/>
      <c r="C31" s="2"/>
      <c r="D31" s="2"/>
      <c r="E31" s="2"/>
      <c r="F31" s="14"/>
      <c r="G31" s="7"/>
      <c r="H31" s="7"/>
      <c r="I31" s="7"/>
      <c r="J31" s="7"/>
      <c r="K31" s="14"/>
      <c r="L31" s="7"/>
      <c r="M31" s="7"/>
      <c r="N31" s="7"/>
    </row>
    <row r="32" spans="1:14" x14ac:dyDescent="0.45">
      <c r="A32" s="2" t="s">
        <v>29</v>
      </c>
      <c r="B32" s="2"/>
      <c r="C32" s="2">
        <v>307</v>
      </c>
      <c r="D32" s="2">
        <f>C35</f>
        <v>277</v>
      </c>
      <c r="E32" s="3">
        <f>D35</f>
        <v>231.6</v>
      </c>
      <c r="F32" s="15">
        <f>E35</f>
        <v>195.3</v>
      </c>
      <c r="G32" s="15">
        <f t="shared" ref="G32:J32" si="18">F35</f>
        <v>166.24</v>
      </c>
      <c r="H32" s="15">
        <f t="shared" si="18"/>
        <v>142.99200000000002</v>
      </c>
      <c r="I32" s="15">
        <f t="shared" si="18"/>
        <v>124.39360000000002</v>
      </c>
      <c r="J32" s="15">
        <f t="shared" si="18"/>
        <v>109.51488000000002</v>
      </c>
      <c r="K32" s="14"/>
      <c r="L32" s="7"/>
      <c r="M32" s="7"/>
      <c r="N32" s="7"/>
    </row>
    <row r="33" spans="1:16" x14ac:dyDescent="0.45">
      <c r="A33" s="3" t="s">
        <v>30</v>
      </c>
      <c r="B33" s="3"/>
      <c r="C33" s="2">
        <v>10</v>
      </c>
      <c r="D33" s="2">
        <v>10</v>
      </c>
      <c r="E33" s="2">
        <v>10</v>
      </c>
      <c r="F33" s="7">
        <v>10</v>
      </c>
      <c r="G33" s="7">
        <v>10</v>
      </c>
      <c r="H33" s="7">
        <v>10</v>
      </c>
      <c r="I33" s="7">
        <v>10</v>
      </c>
      <c r="J33" s="7">
        <v>10</v>
      </c>
      <c r="K33" s="24" t="s">
        <v>31</v>
      </c>
      <c r="L33" s="7"/>
      <c r="M33" s="7"/>
      <c r="N33" s="7"/>
    </row>
    <row r="34" spans="1:16" x14ac:dyDescent="0.45">
      <c r="A34" s="2" t="s">
        <v>10</v>
      </c>
      <c r="B34" s="2"/>
      <c r="C34" s="17">
        <v>40</v>
      </c>
      <c r="D34" s="17">
        <v>55.4</v>
      </c>
      <c r="E34" s="17">
        <v>46.3</v>
      </c>
      <c r="F34" s="18">
        <f>0.2*F32</f>
        <v>39.06</v>
      </c>
      <c r="G34" s="18">
        <f t="shared" ref="G34:J34" si="19">0.2*G32</f>
        <v>33.248000000000005</v>
      </c>
      <c r="H34" s="18">
        <f t="shared" si="19"/>
        <v>28.598400000000005</v>
      </c>
      <c r="I34" s="18">
        <f t="shared" si="19"/>
        <v>24.878720000000005</v>
      </c>
      <c r="J34" s="18">
        <f t="shared" si="19"/>
        <v>21.902976000000006</v>
      </c>
      <c r="K34" s="25">
        <v>0.2</v>
      </c>
      <c r="L34" s="7" t="s">
        <v>11</v>
      </c>
      <c r="M34" s="7"/>
      <c r="N34" s="7"/>
    </row>
    <row r="35" spans="1:16" x14ac:dyDescent="0.45">
      <c r="A35" s="2" t="s">
        <v>32</v>
      </c>
      <c r="B35" s="2"/>
      <c r="C35" s="3">
        <f>C32+C33-C34</f>
        <v>277</v>
      </c>
      <c r="D35" s="3">
        <f>D32+D33-D34</f>
        <v>231.6</v>
      </c>
      <c r="E35" s="3">
        <f>E32+E33-E34</f>
        <v>195.3</v>
      </c>
      <c r="F35" s="3">
        <f t="shared" ref="F35:J35" si="20">F32+F33-F34</f>
        <v>166.24</v>
      </c>
      <c r="G35" s="3">
        <f t="shared" si="20"/>
        <v>142.99200000000002</v>
      </c>
      <c r="H35" s="3">
        <f t="shared" si="20"/>
        <v>124.39360000000002</v>
      </c>
      <c r="I35" s="3">
        <f t="shared" si="20"/>
        <v>109.51488000000002</v>
      </c>
      <c r="J35" s="3">
        <f t="shared" si="20"/>
        <v>97.61190400000001</v>
      </c>
      <c r="K35" s="14"/>
      <c r="L35" s="7"/>
      <c r="M35" s="7"/>
      <c r="N35" s="7"/>
    </row>
    <row r="38" spans="1:16" ht="14.65" thickBot="1" x14ac:dyDescent="0.5">
      <c r="A38" s="26" t="s">
        <v>33</v>
      </c>
      <c r="B38" s="27"/>
      <c r="C38" s="27"/>
      <c r="D38" s="27"/>
      <c r="E38" s="27"/>
      <c r="F38" s="28" t="s">
        <v>1</v>
      </c>
      <c r="G38" s="28"/>
      <c r="H38" s="28"/>
      <c r="I38" s="28"/>
      <c r="J38" s="28"/>
      <c r="K38" s="29"/>
      <c r="L38" s="27"/>
    </row>
    <row r="39" spans="1:16" x14ac:dyDescent="0.45">
      <c r="A39" s="27"/>
      <c r="B39" s="27"/>
      <c r="C39" s="27"/>
      <c r="D39" s="27"/>
      <c r="E39" s="27"/>
      <c r="F39" s="30">
        <v>2013</v>
      </c>
      <c r="G39" s="30">
        <v>2014</v>
      </c>
      <c r="H39" s="30">
        <v>2015</v>
      </c>
      <c r="I39" s="30">
        <v>2016</v>
      </c>
      <c r="J39" s="30">
        <v>2017</v>
      </c>
      <c r="K39" s="29"/>
      <c r="L39" s="27"/>
      <c r="N39" s="43" t="s">
        <v>34</v>
      </c>
      <c r="O39" s="44"/>
      <c r="P39" s="45"/>
    </row>
    <row r="40" spans="1:16" x14ac:dyDescent="0.45">
      <c r="A40" s="27" t="s">
        <v>14</v>
      </c>
      <c r="B40" s="27"/>
      <c r="C40" s="27"/>
      <c r="D40" s="27"/>
      <c r="E40" s="31">
        <f>E17</f>
        <v>43.744360565154295</v>
      </c>
      <c r="F40" s="31">
        <f>F17</f>
        <v>56.652312817894824</v>
      </c>
      <c r="G40" s="31">
        <f>G17</f>
        <v>68.224709330610722</v>
      </c>
      <c r="H40" s="31">
        <f>H17</f>
        <v>79.019674023835023</v>
      </c>
      <c r="I40" s="31">
        <f>I17</f>
        <v>89.297449810388457</v>
      </c>
      <c r="J40" s="31">
        <f>J17</f>
        <v>99.273883254452016</v>
      </c>
      <c r="K40" s="27"/>
      <c r="L40" s="27"/>
      <c r="N40" s="46" t="s">
        <v>35</v>
      </c>
      <c r="O40" s="32"/>
      <c r="P40" s="47">
        <v>0.82</v>
      </c>
    </row>
    <row r="41" spans="1:16" x14ac:dyDescent="0.45">
      <c r="A41" s="27" t="s">
        <v>36</v>
      </c>
      <c r="B41" s="27"/>
      <c r="C41" s="27" t="s">
        <v>37</v>
      </c>
      <c r="D41" s="33">
        <f>0.4</f>
        <v>0.4</v>
      </c>
      <c r="E41" s="31">
        <f>E40*(1-$D$41)</f>
        <v>26.246616339092576</v>
      </c>
      <c r="F41" s="31">
        <f>F40*(1-$D$41)</f>
        <v>33.991387690736893</v>
      </c>
      <c r="G41" s="31">
        <f>G40*(1-$D$41)</f>
        <v>40.93482559836643</v>
      </c>
      <c r="H41" s="31">
        <f>H40*(1-$D$41)</f>
        <v>47.41180441430101</v>
      </c>
      <c r="I41" s="31">
        <f>I40*(1-$D$41)</f>
        <v>53.578469886233073</v>
      </c>
      <c r="J41" s="31">
        <f>J40*(1-$D$41)</f>
        <v>59.564329952671208</v>
      </c>
      <c r="K41" s="27"/>
      <c r="L41" s="27"/>
      <c r="N41" s="48" t="s">
        <v>38</v>
      </c>
      <c r="O41" s="34"/>
      <c r="P41" s="49">
        <v>4.8599999999999997E-2</v>
      </c>
    </row>
    <row r="42" spans="1:16" x14ac:dyDescent="0.45">
      <c r="A42" s="27" t="s">
        <v>10</v>
      </c>
      <c r="B42" s="27"/>
      <c r="C42" s="27"/>
      <c r="D42" s="27"/>
      <c r="E42" s="31">
        <f>E34</f>
        <v>46.3</v>
      </c>
      <c r="F42" s="31">
        <f>F34</f>
        <v>39.06</v>
      </c>
      <c r="G42" s="31">
        <f>G34</f>
        <v>33.248000000000005</v>
      </c>
      <c r="H42" s="31">
        <f>H34</f>
        <v>28.598400000000005</v>
      </c>
      <c r="I42" s="31">
        <f>I34</f>
        <v>24.878720000000005</v>
      </c>
      <c r="J42" s="31">
        <f>J34</f>
        <v>21.902976000000006</v>
      </c>
      <c r="K42" s="27"/>
      <c r="L42" s="27"/>
      <c r="N42" s="48" t="s">
        <v>39</v>
      </c>
      <c r="O42" s="34"/>
      <c r="P42" s="49">
        <v>0.05</v>
      </c>
    </row>
    <row r="43" spans="1:16" x14ac:dyDescent="0.45">
      <c r="A43" s="27" t="s">
        <v>40</v>
      </c>
      <c r="B43" s="27"/>
      <c r="C43" s="27"/>
      <c r="D43" s="27"/>
      <c r="E43" s="27">
        <f>E33</f>
        <v>10</v>
      </c>
      <c r="F43" s="27">
        <f>F33</f>
        <v>10</v>
      </c>
      <c r="G43" s="27">
        <f>G33</f>
        <v>10</v>
      </c>
      <c r="H43" s="27">
        <f>H33</f>
        <v>10</v>
      </c>
      <c r="I43" s="27">
        <f>I33</f>
        <v>10</v>
      </c>
      <c r="J43" s="27">
        <f>J33</f>
        <v>10</v>
      </c>
      <c r="K43" s="27"/>
      <c r="L43" s="27"/>
      <c r="N43" s="48" t="s">
        <v>41</v>
      </c>
      <c r="O43" s="34"/>
      <c r="P43" s="49">
        <v>0.06</v>
      </c>
    </row>
    <row r="44" spans="1:16" ht="14.65" x14ac:dyDescent="0.45">
      <c r="A44" s="27" t="s">
        <v>26</v>
      </c>
      <c r="B44" s="27"/>
      <c r="C44" s="27"/>
      <c r="D44" s="27"/>
      <c r="E44" s="31">
        <f>E27</f>
        <v>2.2509441594482951</v>
      </c>
      <c r="F44" s="31">
        <f>F27</f>
        <v>25.297553769613614</v>
      </c>
      <c r="G44" s="31">
        <f>G27</f>
        <v>26.893197462367993</v>
      </c>
      <c r="H44" s="31">
        <f>H27</f>
        <v>28.690473964479168</v>
      </c>
      <c r="I44" s="31">
        <f>I27</f>
        <v>30.617365414964013</v>
      </c>
      <c r="J44" s="31">
        <f>J27</f>
        <v>32.683674322820934</v>
      </c>
      <c r="K44" s="27"/>
      <c r="L44" s="27"/>
      <c r="N44" s="48" t="s">
        <v>42</v>
      </c>
      <c r="O44" s="34"/>
      <c r="P44" s="50">
        <v>0.27</v>
      </c>
    </row>
    <row r="45" spans="1:16" ht="14.65" x14ac:dyDescent="0.45">
      <c r="A45" s="27" t="s">
        <v>28</v>
      </c>
      <c r="B45" s="27"/>
      <c r="C45" s="27"/>
      <c r="D45" s="27"/>
      <c r="E45" s="35">
        <f>E30</f>
        <v>0.36862500000000509</v>
      </c>
      <c r="F45" s="35">
        <f>F30</f>
        <v>1.6728209444247319</v>
      </c>
      <c r="G45" s="35">
        <f>G30</f>
        <v>1.5740618377769984</v>
      </c>
      <c r="H45" s="35">
        <f>H30</f>
        <v>1.6792566312880659</v>
      </c>
      <c r="I45" s="35">
        <f>I30</f>
        <v>1.7920378021395926</v>
      </c>
      <c r="J45" s="35">
        <f>J30</f>
        <v>1.9129790922731758</v>
      </c>
      <c r="K45" s="27"/>
      <c r="L45" s="27"/>
      <c r="N45" s="48"/>
      <c r="O45" s="34"/>
      <c r="P45" s="51"/>
    </row>
    <row r="46" spans="1:16" x14ac:dyDescent="0.45">
      <c r="A46" s="27" t="s">
        <v>43</v>
      </c>
      <c r="B46" s="27"/>
      <c r="C46" s="27"/>
      <c r="D46" s="27"/>
      <c r="E46" s="31"/>
      <c r="F46" s="31">
        <f>F41+F42-F43-F44-F45</f>
        <v>36.08101297669856</v>
      </c>
      <c r="G46" s="31">
        <f t="shared" ref="G46:J46" si="21">G41+G42-G43-G44-G45</f>
        <v>35.715566298221447</v>
      </c>
      <c r="H46" s="31">
        <f t="shared" si="21"/>
        <v>35.640473818533778</v>
      </c>
      <c r="I46" s="31">
        <f t="shared" si="21"/>
        <v>36.047786669129479</v>
      </c>
      <c r="J46" s="31">
        <f t="shared" si="21"/>
        <v>36.870652537577101</v>
      </c>
      <c r="K46" s="27"/>
      <c r="L46" s="27"/>
      <c r="N46" s="48" t="s">
        <v>44</v>
      </c>
      <c r="O46" s="34"/>
      <c r="P46" s="52">
        <f>P40/(1+((1-D41)*(P44)))</f>
        <v>0.70567986230636837</v>
      </c>
    </row>
    <row r="47" spans="1:16" x14ac:dyDescent="0.45">
      <c r="A47" s="27" t="s">
        <v>45</v>
      </c>
      <c r="B47" s="27"/>
      <c r="C47" s="27" t="s">
        <v>46</v>
      </c>
      <c r="D47" s="33">
        <v>0.03</v>
      </c>
      <c r="E47" s="27"/>
      <c r="F47" s="27"/>
      <c r="G47" s="27"/>
      <c r="H47" s="27"/>
      <c r="I47" s="27"/>
      <c r="J47" s="27">
        <f>(J46*(1+D47))/(P50-D47)</f>
        <v>881.92318642553096</v>
      </c>
      <c r="K47" s="27" t="s">
        <v>47</v>
      </c>
      <c r="L47" s="27"/>
      <c r="N47" s="48"/>
      <c r="O47" s="34"/>
      <c r="P47" s="51"/>
    </row>
    <row r="48" spans="1:16" x14ac:dyDescent="0.4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N48" s="48" t="s">
        <v>48</v>
      </c>
      <c r="O48" s="34"/>
      <c r="P48" s="52">
        <f>(P40-(P46*P44*(1-D41)))/(1-P44)</f>
        <v>0.96668474288543604</v>
      </c>
    </row>
    <row r="49" spans="1:16" x14ac:dyDescent="0.45">
      <c r="A49" s="27" t="s">
        <v>49</v>
      </c>
      <c r="B49" s="27"/>
      <c r="C49" s="27"/>
      <c r="D49" s="27"/>
      <c r="E49" s="27"/>
      <c r="F49" s="36">
        <f>1/(1+$P$50)^1</f>
        <v>0.93191319642723291</v>
      </c>
      <c r="G49" s="36">
        <f>1/(1+$P$50)^2</f>
        <v>0.86846220567522237</v>
      </c>
      <c r="H49" s="36">
        <f>1/(1+$P$50)^3</f>
        <v>0.80933139006704147</v>
      </c>
      <c r="I49" s="36">
        <f>1/(1+$P$50)^4</f>
        <v>0.75422660268627217</v>
      </c>
      <c r="J49" s="36">
        <f>1/(1+$P$50)^5</f>
        <v>0.70287372413981652</v>
      </c>
      <c r="K49" s="27"/>
      <c r="L49" s="27"/>
      <c r="N49" s="48" t="s">
        <v>50</v>
      </c>
      <c r="O49" s="34"/>
      <c r="P49" s="49">
        <f>P41+(P46*(P42))</f>
        <v>8.3883993115318412E-2</v>
      </c>
    </row>
    <row r="50" spans="1:16" ht="14.65" thickBot="1" x14ac:dyDescent="0.5">
      <c r="A50" s="27" t="s">
        <v>51</v>
      </c>
      <c r="B50" s="27"/>
      <c r="C50" s="27"/>
      <c r="D50" s="27"/>
      <c r="E50" s="27"/>
      <c r="F50" s="31">
        <f>(F46+F47)*F49</f>
        <v>33.624372133447622</v>
      </c>
      <c r="G50" s="31">
        <f t="shared" ref="G50:J50" si="22">(G46+G47)*G49</f>
        <v>31.017619484293036</v>
      </c>
      <c r="H50" s="31">
        <f t="shared" si="22"/>
        <v>28.844954218201941</v>
      </c>
      <c r="I50" s="31">
        <f t="shared" si="22"/>
        <v>27.188199673817017</v>
      </c>
      <c r="J50" s="31">
        <f t="shared" si="22"/>
        <v>645.7960473087187</v>
      </c>
      <c r="K50" s="27"/>
      <c r="L50" s="27"/>
      <c r="N50" s="53" t="s">
        <v>52</v>
      </c>
      <c r="O50" s="54"/>
      <c r="P50" s="59">
        <f>(P44*P43*(1-P44))+((1-P44)*P49)</f>
        <v>7.3061314974182445E-2</v>
      </c>
    </row>
    <row r="51" spans="1:16" x14ac:dyDescent="0.45">
      <c r="A51" s="37" t="s">
        <v>53</v>
      </c>
      <c r="B51" s="37"/>
      <c r="C51" s="27"/>
      <c r="D51" s="27"/>
      <c r="E51" s="60">
        <f>SUM(F50:J50)</f>
        <v>766.47119281847836</v>
      </c>
      <c r="F51" s="27"/>
      <c r="G51" s="27"/>
      <c r="H51" s="27"/>
      <c r="I51" s="27"/>
      <c r="J51" s="27"/>
      <c r="K51" s="27"/>
      <c r="L51" s="27"/>
    </row>
    <row r="52" spans="1:16" x14ac:dyDescent="0.45">
      <c r="A52" s="27" t="s">
        <v>54</v>
      </c>
      <c r="B52" s="27"/>
      <c r="C52" s="27"/>
      <c r="D52" s="27"/>
      <c r="E52" s="39">
        <v>235</v>
      </c>
      <c r="F52" s="27"/>
      <c r="G52" s="27"/>
      <c r="H52" s="27"/>
      <c r="I52" s="27"/>
      <c r="J52" s="27"/>
      <c r="K52" s="27"/>
      <c r="L52" s="27"/>
    </row>
    <row r="53" spans="1:16" x14ac:dyDescent="0.45">
      <c r="A53" s="27" t="s">
        <v>55</v>
      </c>
      <c r="B53" s="27"/>
      <c r="C53" s="27"/>
      <c r="D53" s="27"/>
      <c r="E53" s="60">
        <f>E51-E52</f>
        <v>531.47119281847836</v>
      </c>
      <c r="F53" s="27"/>
      <c r="G53" s="27"/>
      <c r="H53" s="27"/>
      <c r="I53" s="27"/>
      <c r="J53" s="27"/>
      <c r="K53" s="27"/>
      <c r="L53" s="27"/>
    </row>
    <row r="54" spans="1:16" x14ac:dyDescent="0.45">
      <c r="A54" s="27" t="s">
        <v>56</v>
      </c>
      <c r="B54" s="27"/>
      <c r="C54" s="27"/>
      <c r="D54" s="61">
        <v>8</v>
      </c>
      <c r="E54" s="27"/>
      <c r="F54" s="27"/>
      <c r="G54" s="27"/>
      <c r="H54" s="27"/>
      <c r="I54" s="27"/>
      <c r="J54" s="27"/>
      <c r="K54" s="27"/>
      <c r="L54" s="27"/>
    </row>
    <row r="55" spans="1:16" ht="14.65" thickBot="1" x14ac:dyDescent="0.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</row>
    <row r="56" spans="1:16" ht="14.65" thickBot="1" x14ac:dyDescent="0.5">
      <c r="A56" s="40" t="s">
        <v>57</v>
      </c>
      <c r="B56" s="40"/>
      <c r="C56" s="40"/>
      <c r="D56" s="40"/>
      <c r="E56" s="41">
        <f>E53/D54</f>
        <v>66.433899102309795</v>
      </c>
      <c r="F56" s="62"/>
    </row>
  </sheetData>
  <mergeCells count="3">
    <mergeCell ref="B4:N4"/>
    <mergeCell ref="B5:N5"/>
    <mergeCell ref="A1:N3"/>
  </mergeCells>
  <pageMargins left="0.7" right="0.7" top="0.75" bottom="0.75" header="0.3" footer="0.3"/>
  <pageSetup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Bel Vino Valuation (Expanded)</vt:lpstr>
      <vt:lpstr>Starshine Valuation (Expanded)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Mahoney, Lin</dc:creator>
  <cp:lastModifiedBy>Lucas Lantis</cp:lastModifiedBy>
  <dcterms:created xsi:type="dcterms:W3CDTF">2013-06-05T19:59:53Z</dcterms:created>
  <dcterms:modified xsi:type="dcterms:W3CDTF">2019-03-11T17:00:10Z</dcterms:modified>
</cp:coreProperties>
</file>