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wkang\Documents\HKang\02_School\02_Others\문휘창\data\"/>
    </mc:Choice>
  </mc:AlternateContent>
  <bookViews>
    <workbookView xWindow="0" yWindow="0" windowWidth="22104" windowHeight="9696"/>
  </bookViews>
  <sheets>
    <sheet name="India" sheetId="1" r:id="rId1"/>
    <sheet name="South Korea" sheetId="2" r:id="rId2"/>
  </sheets>
  <calcPr calcId="162913"/>
</workbook>
</file>

<file path=xl/calcChain.xml><?xml version="1.0" encoding="utf-8"?>
<calcChain xmlns="http://schemas.openxmlformats.org/spreadsheetml/2006/main">
  <c r="A7" i="1" l="1"/>
  <c r="B7" i="1"/>
  <c r="C7" i="1"/>
  <c r="D7" i="1"/>
  <c r="C2" i="1"/>
  <c r="A38" i="2"/>
  <c r="C5" i="1"/>
  <c r="A44" i="1"/>
  <c r="C24" i="1"/>
  <c r="B23" i="1"/>
  <c r="C50" i="2"/>
  <c r="B30" i="1"/>
  <c r="A8" i="2"/>
  <c r="B41" i="1"/>
  <c r="C38" i="2"/>
  <c r="D1" i="2"/>
  <c r="D6" i="1"/>
  <c r="B3" i="1"/>
  <c r="D56" i="1"/>
  <c r="D34" i="1"/>
  <c r="A44" i="2"/>
  <c r="D41" i="1"/>
  <c r="B31" i="1"/>
  <c r="B8" i="2"/>
  <c r="B5" i="1"/>
  <c r="D29" i="2"/>
  <c r="C19" i="2"/>
  <c r="D42" i="2"/>
  <c r="D55" i="1"/>
  <c r="D57" i="2"/>
  <c r="B21" i="1"/>
  <c r="D44" i="1"/>
  <c r="A37" i="1"/>
  <c r="D7" i="2"/>
  <c r="C46" i="2"/>
  <c r="A34" i="2"/>
  <c r="A21" i="2"/>
  <c r="B43" i="2"/>
  <c r="C25" i="1"/>
  <c r="C48" i="1"/>
  <c r="D16" i="2"/>
  <c r="C38" i="1"/>
  <c r="A42" i="2"/>
  <c r="A27" i="1"/>
  <c r="A47" i="2"/>
  <c r="A52" i="1"/>
  <c r="A41" i="2"/>
  <c r="C7" i="2"/>
  <c r="D27" i="1"/>
  <c r="A49" i="2"/>
  <c r="B53" i="2"/>
  <c r="B34" i="1"/>
  <c r="C47" i="2"/>
  <c r="B42" i="1"/>
  <c r="B45" i="1"/>
  <c r="A17" i="1"/>
  <c r="D11" i="2"/>
  <c r="A20" i="1"/>
  <c r="C44" i="1"/>
  <c r="B3" i="2"/>
  <c r="C47" i="1"/>
  <c r="C25" i="2"/>
  <c r="C41" i="2"/>
  <c r="B17" i="2"/>
  <c r="D36" i="1"/>
  <c r="A49" i="1"/>
  <c r="A3" i="1"/>
  <c r="C51" i="1"/>
  <c r="C45" i="2"/>
  <c r="A15" i="1"/>
  <c r="A51" i="1"/>
  <c r="C10" i="2"/>
  <c r="B52" i="2"/>
  <c r="D44" i="2"/>
  <c r="D8" i="2"/>
  <c r="D12" i="2"/>
  <c r="A7" i="2"/>
  <c r="C36" i="1"/>
  <c r="A45" i="1"/>
  <c r="A56" i="1"/>
  <c r="B15" i="1"/>
  <c r="C18" i="1"/>
  <c r="B32" i="2"/>
  <c r="B22" i="1"/>
  <c r="B54" i="1"/>
  <c r="C3" i="1"/>
  <c r="B38" i="1"/>
  <c r="A51" i="2"/>
  <c r="B6" i="2"/>
  <c r="D56" i="2"/>
  <c r="A33" i="1"/>
  <c r="A29" i="2"/>
  <c r="A16" i="2"/>
  <c r="B27" i="1"/>
  <c r="B27" i="2"/>
  <c r="B25" i="1"/>
  <c r="D23" i="2"/>
  <c r="B32" i="1"/>
  <c r="A50" i="1"/>
  <c r="D13" i="2"/>
  <c r="A11" i="1"/>
  <c r="C51" i="2"/>
  <c r="C44" i="2"/>
  <c r="D54" i="2"/>
  <c r="A13" i="1"/>
  <c r="A24" i="1"/>
  <c r="A37" i="2"/>
  <c r="B2" i="2"/>
  <c r="D43" i="1"/>
  <c r="A55" i="1"/>
  <c r="A30" i="1"/>
  <c r="D32" i="2"/>
  <c r="C43" i="1"/>
  <c r="D13" i="1"/>
  <c r="C52" i="2"/>
  <c r="C12" i="1"/>
  <c r="D58" i="2"/>
  <c r="B17" i="1"/>
  <c r="A20" i="2"/>
  <c r="C15" i="1"/>
  <c r="D45" i="1"/>
  <c r="A29" i="1"/>
  <c r="B29" i="2"/>
  <c r="B4" i="2"/>
  <c r="A5" i="1"/>
  <c r="D11" i="1"/>
  <c r="C39" i="2"/>
  <c r="B47" i="1"/>
  <c r="D18" i="1"/>
  <c r="C21" i="2"/>
  <c r="B8" i="1"/>
  <c r="D43" i="2"/>
  <c r="B1" i="2"/>
  <c r="C20" i="2"/>
  <c r="C55" i="1"/>
  <c r="C14" i="2"/>
  <c r="C4" i="1"/>
  <c r="D25" i="1"/>
  <c r="A10" i="1"/>
  <c r="D3" i="2"/>
  <c r="B7" i="2"/>
  <c r="B44" i="1"/>
  <c r="C6" i="2"/>
  <c r="B43" i="1"/>
  <c r="D53" i="2"/>
  <c r="B22" i="2"/>
  <c r="A23" i="1"/>
  <c r="C18" i="2"/>
  <c r="D30" i="2"/>
  <c r="C12" i="2"/>
  <c r="B26" i="1"/>
  <c r="D39" i="2"/>
  <c r="B5" i="2"/>
  <c r="D57" i="1"/>
  <c r="C57" i="1"/>
  <c r="C2" i="2"/>
  <c r="D31" i="2"/>
  <c r="A32" i="1"/>
  <c r="D39" i="1"/>
  <c r="B39" i="1"/>
  <c r="B56" i="2"/>
  <c r="A22" i="1"/>
  <c r="A18" i="1"/>
  <c r="B6" i="1"/>
  <c r="A59" i="1"/>
  <c r="A14" i="2"/>
  <c r="A5" i="2"/>
  <c r="C56" i="1"/>
  <c r="A40" i="1"/>
  <c r="C37" i="2"/>
  <c r="B16" i="2"/>
  <c r="A43" i="1"/>
  <c r="D21" i="1"/>
  <c r="C48" i="2"/>
  <c r="B16" i="1"/>
  <c r="C34" i="2"/>
  <c r="D2" i="2"/>
  <c r="D1" i="1"/>
  <c r="A9" i="2"/>
  <c r="C53" i="1"/>
  <c r="C37" i="1"/>
  <c r="A34" i="1"/>
  <c r="D46" i="2"/>
  <c r="C35" i="2"/>
  <c r="A53" i="2"/>
  <c r="B55" i="1"/>
  <c r="C10" i="1"/>
  <c r="A43" i="2"/>
  <c r="C55" i="2"/>
  <c r="D25" i="2"/>
  <c r="D22" i="2"/>
  <c r="A39" i="2"/>
  <c r="A52" i="2"/>
  <c r="C56" i="2"/>
  <c r="C33" i="2"/>
  <c r="B18" i="2"/>
  <c r="C8" i="2"/>
  <c r="B25" i="2"/>
  <c r="D22" i="1"/>
  <c r="B20" i="2"/>
  <c r="A17" i="2"/>
  <c r="C41" i="1"/>
  <c r="B49" i="2"/>
  <c r="A35" i="2"/>
  <c r="C14" i="1"/>
  <c r="A46" i="1"/>
  <c r="D30" i="1"/>
  <c r="A25" i="2"/>
  <c r="D54" i="1"/>
  <c r="A58" i="1"/>
  <c r="C45" i="1"/>
  <c r="D9" i="2"/>
  <c r="D35" i="1"/>
  <c r="B40" i="2"/>
  <c r="B10" i="2"/>
  <c r="D2" i="1"/>
  <c r="A48" i="1"/>
  <c r="C6" i="1"/>
  <c r="D51" i="1"/>
  <c r="C36" i="2"/>
  <c r="D32" i="1"/>
  <c r="A8" i="1"/>
  <c r="D46" i="1"/>
  <c r="D23" i="1"/>
  <c r="D10" i="1"/>
  <c r="D42" i="1"/>
  <c r="B50" i="2"/>
  <c r="C53" i="2"/>
  <c r="A54" i="1"/>
  <c r="B15" i="2"/>
  <c r="B13" i="2"/>
  <c r="B11" i="2"/>
  <c r="A42" i="1"/>
  <c r="B35" i="1"/>
  <c r="B9" i="2"/>
  <c r="D9" i="1"/>
  <c r="C19" i="1"/>
  <c r="B35" i="2"/>
  <c r="A57" i="2"/>
  <c r="A11" i="2"/>
  <c r="A4" i="1"/>
  <c r="A4" i="2"/>
  <c r="D24" i="2"/>
  <c r="C15" i="2"/>
  <c r="C54" i="2"/>
  <c r="D15" i="1"/>
  <c r="A12" i="1"/>
  <c r="A2" i="1"/>
  <c r="C54" i="1"/>
  <c r="A56" i="2"/>
  <c r="C22" i="2"/>
  <c r="B21" i="2"/>
  <c r="D28" i="2"/>
  <c r="C5" i="2"/>
  <c r="C24" i="2"/>
  <c r="A55" i="2"/>
  <c r="B51" i="1"/>
  <c r="B48" i="1"/>
  <c r="D6" i="2"/>
  <c r="B18" i="1"/>
  <c r="D38" i="1"/>
  <c r="D48" i="1"/>
  <c r="A40" i="2"/>
  <c r="A39" i="1"/>
  <c r="A21" i="1"/>
  <c r="D47" i="2"/>
  <c r="B37" i="1"/>
  <c r="D36" i="2"/>
  <c r="C43" i="2"/>
  <c r="C8" i="1"/>
  <c r="C11" i="2"/>
  <c r="D49" i="1"/>
  <c r="D3" i="1"/>
  <c r="A23" i="2"/>
  <c r="B14" i="1"/>
  <c r="A15" i="2"/>
  <c r="A33" i="2"/>
  <c r="D17" i="2"/>
  <c r="D33" i="2"/>
  <c r="A59" i="2"/>
  <c r="B11" i="1"/>
  <c r="D58" i="1"/>
  <c r="D24" i="1"/>
  <c r="C30" i="2"/>
  <c r="B49" i="1"/>
  <c r="D50" i="1"/>
  <c r="C46" i="1"/>
  <c r="D52" i="1"/>
  <c r="C23" i="2"/>
  <c r="C28" i="2"/>
  <c r="A46" i="2"/>
  <c r="B41" i="2"/>
  <c r="D53" i="1"/>
  <c r="C50" i="1"/>
  <c r="A3" i="2"/>
  <c r="C9" i="1"/>
  <c r="C29" i="1"/>
  <c r="D37" i="2"/>
  <c r="D40" i="1"/>
  <c r="C16" i="2"/>
  <c r="C32" i="1"/>
  <c r="C35" i="1"/>
  <c r="D35" i="2"/>
  <c r="A10" i="2"/>
  <c r="C13" i="1"/>
  <c r="D14" i="1"/>
  <c r="A35" i="1"/>
  <c r="A2" i="2"/>
  <c r="A22" i="2"/>
  <c r="B45" i="2"/>
  <c r="C58" i="1"/>
  <c r="D21" i="2"/>
  <c r="D20" i="1"/>
  <c r="B39" i="2"/>
  <c r="B51" i="2"/>
  <c r="D16" i="1"/>
  <c r="C13" i="2"/>
  <c r="C27" i="1"/>
  <c r="C33" i="1"/>
  <c r="B59" i="2"/>
  <c r="C49" i="2"/>
  <c r="A31" i="2"/>
  <c r="C11" i="1"/>
  <c r="D19" i="2"/>
  <c r="B26" i="2"/>
  <c r="C28" i="1"/>
  <c r="B50" i="1"/>
  <c r="A28" i="1"/>
  <c r="B58" i="1"/>
  <c r="B38" i="2"/>
  <c r="A54" i="2"/>
  <c r="C26" i="2"/>
  <c r="D10" i="2"/>
  <c r="C21" i="1"/>
  <c r="A38" i="1"/>
  <c r="D5" i="2"/>
  <c r="C30" i="1"/>
  <c r="B34" i="2"/>
  <c r="B57" i="1"/>
  <c r="C42" i="1"/>
  <c r="C40" i="1"/>
  <c r="D4" i="1"/>
  <c r="C16" i="1"/>
  <c r="B48" i="2"/>
  <c r="A24" i="2"/>
  <c r="A19" i="2"/>
  <c r="B9" i="1"/>
  <c r="B55" i="2"/>
  <c r="A53" i="1"/>
  <c r="C31" i="2"/>
  <c r="B19" i="1"/>
  <c r="A1" i="2"/>
  <c r="D37" i="1"/>
  <c r="D31" i="1"/>
  <c r="D51" i="2"/>
  <c r="D48" i="2"/>
  <c r="B36" i="1"/>
  <c r="C17" i="1"/>
  <c r="D34" i="2"/>
  <c r="D50" i="2"/>
  <c r="C4" i="2"/>
  <c r="C22" i="1"/>
  <c r="B47" i="2"/>
  <c r="D29" i="1"/>
  <c r="D5" i="1"/>
  <c r="C26" i="1"/>
  <c r="A36" i="1"/>
  <c r="B56" i="1"/>
  <c r="B57" i="2"/>
  <c r="A50" i="2"/>
  <c r="A6" i="2"/>
  <c r="A18" i="2"/>
  <c r="D33" i="1"/>
  <c r="A13" i="2"/>
  <c r="C42" i="2"/>
  <c r="C1" i="1"/>
  <c r="B4" i="1"/>
  <c r="B19" i="2"/>
  <c r="A30" i="2"/>
  <c r="C1" i="2"/>
  <c r="B37" i="2"/>
  <c r="B24" i="2"/>
  <c r="A41" i="1"/>
  <c r="B29" i="1"/>
  <c r="D12" i="1"/>
  <c r="D55" i="2"/>
  <c r="B36" i="2"/>
  <c r="B53" i="1"/>
  <c r="D17" i="1"/>
  <c r="B42" i="2"/>
  <c r="D26" i="2"/>
  <c r="B33" i="1"/>
  <c r="B23" i="2"/>
  <c r="B1" i="1"/>
  <c r="B12" i="1"/>
  <c r="D38" i="2"/>
  <c r="B46" i="2"/>
  <c r="B24" i="1"/>
  <c r="C20" i="1"/>
  <c r="C32" i="2"/>
  <c r="C3" i="2"/>
  <c r="B14" i="2"/>
  <c r="A6" i="1"/>
  <c r="A14" i="1"/>
  <c r="A26" i="1"/>
  <c r="B52" i="1"/>
  <c r="D49" i="2"/>
  <c r="C57" i="2"/>
  <c r="A57" i="1"/>
  <c r="D14" i="2"/>
  <c r="A12" i="2"/>
  <c r="D28" i="1"/>
  <c r="B13" i="1"/>
  <c r="C39" i="1"/>
  <c r="D18" i="2"/>
  <c r="D45" i="2"/>
  <c r="A45" i="2"/>
  <c r="C52" i="1"/>
  <c r="D15" i="2"/>
  <c r="A1" i="1"/>
  <c r="A47" i="1"/>
  <c r="A16" i="1"/>
  <c r="C40" i="2"/>
  <c r="C17" i="2"/>
  <c r="C31" i="1"/>
  <c r="A19" i="1"/>
  <c r="B58" i="2"/>
  <c r="B12" i="2"/>
  <c r="D47" i="1"/>
  <c r="D8" i="1"/>
  <c r="C27" i="2"/>
  <c r="B33" i="2"/>
  <c r="D41" i="2"/>
  <c r="C58" i="2"/>
  <c r="B44" i="2"/>
  <c r="A27" i="2"/>
  <c r="D19" i="1"/>
  <c r="A9" i="1"/>
  <c r="D40" i="2"/>
  <c r="C59" i="2"/>
  <c r="C9" i="2"/>
  <c r="C34" i="1"/>
  <c r="B20" i="1"/>
  <c r="B31" i="2"/>
  <c r="D27" i="2"/>
  <c r="A48" i="2"/>
  <c r="C49" i="1"/>
  <c r="B2" i="1"/>
  <c r="A28" i="2"/>
  <c r="B28" i="2"/>
  <c r="A26" i="2"/>
  <c r="D52" i="2"/>
  <c r="A25" i="1"/>
  <c r="D20" i="2"/>
  <c r="C59" i="1"/>
  <c r="A58" i="2"/>
  <c r="D59" i="1"/>
  <c r="C23" i="1"/>
  <c r="A31" i="1"/>
  <c r="D26" i="1"/>
  <c r="B10" i="1"/>
  <c r="B28" i="1"/>
  <c r="B46" i="1"/>
  <c r="B30" i="2"/>
  <c r="D59" i="2"/>
  <c r="B54" i="2"/>
  <c r="A36" i="2"/>
  <c r="A32" i="2"/>
  <c r="B59" i="1"/>
  <c r="D4" i="2"/>
  <c r="B40" i="1"/>
  <c r="C29" i="2"/>
</calcChain>
</file>

<file path=xl/sharedStrings.xml><?xml version="1.0" encoding="utf-8"?>
<sst xmlns="http://schemas.openxmlformats.org/spreadsheetml/2006/main" count="118" uniqueCount="117">
  <si>
    <t>Actor Dhanush has earned the coveted Best Actor award at the renowned BRICS Film Festival for his portrayal in 'Asuran.'
Dhanush is an Indian actor, producer, director, writer, lyricist, dancer, and playback singer who works mostly in the Tamil film industry and occasionally in Hindi cinema.
'Asuran' is a script-driven, low-budget (in terms of set and technical components) film that sends a social message and has a socially relevant topic.
Also read | BRICS Film Festival 2021: Dhanush wins Best Actor for 'Asuran'
Another such film, 'Jai Bhim' was so good that it got better ratings than some of biggest Hollywood movies on Internet Movie Database (IMDb) portal.
Also read | Indian film 'Jai Bhim' beats 'The Shawshank Redemption' to become top-rated on IMDb
The success of such reality-based and content-driven South Indian films raise the question: Where does Hindi cinema fit into the picture?
Hindi cinema is frequently referred to as Indian cinema by the Indian and international media and film historians.
However, regional cinema, particularly the South Indian film industry, has its own set of languages, customs, and rich cinematic history.
South Indian films, both in terms of quantity and quality, can compete with any in the world.
The Tamil, Telugu, Malayalam, and Kannada language industries have been producing remarkably wonderful films that are far superior to Hindi films.
Many blockbusters have been released in the northern territories, ranging from "Ek Duje Ke Liye" to "Baahubali."
Earlier, South Indian films have been criticised for their superstar worship and larger-than-life representations of their heroes.
Extremely humorous and physics-defying action sequences have provided plenty of fodder for memes on social media.
But things have changed for the better now. Over the years, particularly with the dubbing of films in northern Indian languages on TV channels, and later through online streaming with subtitles, the Indian movie industry is evolving-and becoming truly universal-at a breakneck pace.
The quality of the content is always increasing and meets, if not exceeds, global standards. One might assume that the juggernaut that is the Hindi film business is causing this development. That, however, is no longer the case.
While we've recently seen a number of Hindi films that have been praised for their excellent performances, storylines, and technical perfection, it's the South Indian regional films that are currently at the forefront of this shift.
Somewhere along the line, Hindi cinema in general has gotten stuck in a rut.
The biggest production houses seem to be playing it safe and sticking to the same old formula of song, dance, and romance, in the same way that they neglect to push the envelope when it comes to creativity and novelty.
This mantle has clearly been taken over by storytellers and film-makers in Chennai, Hyderabad, and Kochi.
Not only are films coming out of these regional industries making waves in their particular regions, but also overseas and even inspiring the Hindi film industry to remake them. More often than not, it is the Hindi industry that is now remaking southern movies, rather than the other way around. Some of the biggest hits over the years, from 'Bhool Bhulaiyaa' to 'Drishyam' , were remakes of southern films.
The multiplicity of genres that the Southern film industry is experimenting with is truly remarkable. From the epic storytelling of 'Baahubali,' the superhit sci-fi 'Robot/Enthiran' to the experimental anthology 'Super Deluxe' and the various thriller experiments that we have witnessed in Malayalam, the message is quite clear.
'Rocketry: The Nambi Effect,' a forthcoming biographical drama film, is another excellent example of how Southern movies no longer depend on formulaic approaches to film-making and are poised to challenge international standards on a regular basis.
The same cannot be said of Hindi cinema anymore. Audiences are struggling to tell the latest Salman Khan or Akshay Kumar movies apart from their previous ones, because they have become formulaic and predictable. One can also argue that the proliferation of remix songs is a testimony to the lack of originality plaguing Hindi cinema in the music department.
In many cases, South Indian actors are prepared to leave their high-profile, A-list reputations and play downtrodden or raw characters. Look at any character played by Vijay Sethupathi  (he is adept at playing hero and villain, and in 'Super Deluxe', essayed the role of a transgender) in Tamil or Dulquar Salman in Malayalam (in 'Kurup', he donned the role of one of the most evasive fugitives in India), and you will know what I mean.
The upcoming years of Indian Cinema will be game-changing, with the rapid rise of OTT platforms (which allow for easy global reach) and the creation of South Indian films in various languages, including Hindi.</t>
  </si>
  <si>
    <t>Barely recovering from the impact of the coronavirus pandemic, the Indian film industry is now facing another challenge due to rising cases of the new COVID-19 variant, omicron, both in India and abroad.
While Nitin Menon, co-founder of NV Capital, a credit fund for the media and entertainment sector, said that the industry has not yet suffered a major hit because of the new variant, it is becoming a cause of concern for the business.
New variant poses new challenges
“The number of cases are too small to have an impact but sentiment impact will definitely be there and that is going to make things worse for small- and medium-budget films for which people anyway have been choosy,” Karan Taurani, senior vice-president, Elara Capital, told Moneycontrol.
According to him, small- and medium-budget films may not see large audiences and recovery to pre-COVID level for such films may set in later than in the case of large-scale films.
If we look at recent film releases, medium-size Bollywood ventures including Bunty Aur Babli 2 and Satyameva Jayate 2 underperformed. Both managed to collect a little above Rs 12 crore (lifetime business). The number is dismal given that the 2018 release Satyameva Jayate had reported a lifetime collection of Rs 80 crore.
RELATED STORIES
  Katrina Kaif heads to Vicky Kaushal's home ahead of wedding this week: reports 
  Future of the fashion business 
But it’s not as if big-budget ventures will be immune to the new COVID variant. Taurani said it will be some time before collections for such films reach pre-COVID levels.
“If (Ranveer Singh-starrer) 83 (releasing on December 24) would have collected Rs 250-280 crore, due to the omicron situation it might see a fall of 15-20 percent. It is not a big impact but a definite negative impact. Also, a lot of the numbers for 83 that we had factored in were typically assuming that Maharashtra will allow 100 percent occupancy, which is going to get delayed,” said Taurani.
Currently, Rajasthan, Karnataka, Telangana, Tamil Nadu, Odisha, Gujarat, Delhi, Madhya Pradesh and Uttar Pradesh have allowed theatres to operate at full capacity. In other states including Maharashtra, which contributes 25-30 percent to a Hindi film’s box office collections, theatres are operating with capacity restrictions.
Taurani noted that if the government starts putting restrictions in terms of mobility, there will be a huge negative impact because then the film industry would go back to where it was three months ago.
A case in point is the Akshay Kumar-starrer Bell Bottom, which released on August 19 and collected Rs 30.6 crore, turning out to be an average revenue earner. Analysts had said that Akshay Kumar films in pre-COVID times saw a return on investment (ROI) of 80-90 percent but in the case of Bell Bottom the ROI was around 20 percent.
Lag in recovery
Now, with the spread of omicron, Taurani said there will be an impact on sentiment and also in terms of restrictions including occupancy in theatres which are expected to go back to pre-COVID levels.
A recovery in the box office business to pre-COVID levels, which was expected in the next six months, will now depend on how the omicron variant plays out across the globe.
“There will be a lag in recovery. And it all depends on the situation. If there are few restrictions then cinema will move to where it was in August when Bell Bottom had released. If we see more restrictions or shutdowns in some of the states then it will take more than six to eight months for recovery. The timeframe in terms of delay in recovery will depend on what kind of restrictions are imposed and that will decide the impact on the industry,” said Taurani.
Overseas business a big concern
Along with India, it will be important to track the situation in international markets to assess the impact on Indian films.
“Overseas is a big market. In the case of (Akshay Kumar-starrer) Sooryavanshi, the overseas box office collection was around Rs 60 crore. Overseas will continue to be a substantial number in the future,” said Menon.
Taurani said the impact on the overseas business is a big concern. “Sooryavanshi did not release in January because many overseas markets had not opened up. Only about 30-40 percent of overseas markets had opened up in January this year. But we are not in that situation right now. Countries like the UK, US are operating but the sentiment is negative,” he said.
Taurani added that while overseas accounts for 9 to 10 percent of a film’s overall collections, for larger films it is 15-20 percent. “So the hit is very huge there. It will again impact distributor share (discussions) with cinema chains.”
The revenue-sharing model under which some portion of a film’s box office collections goes to those distributing the film and the rest to the exhibitor underwent a change due to the COVID-19 impact.
Producers asked for a higher revenue share at 60 percent in the first week, 55 percent in the second week and 50 percent in the third and fourth weeks. Pre-COVID, the revenue sharing was around 50 percent in the first week, 42 percent in the second week and 37 percent in the third week.
“If producers do not get the right amount of money from overseas and if the occupancy cap remains in Maharashtra, then you will see discussions on distributor share resurfacing because producers will have the bargaining power because they have the backup of OTT (over the top) platforms,” said Taurani.</t>
  </si>
  <si>
    <t>The Tamil film industry is making international headlines. The BBC, Yahoo News, Khaleej Times and The Independent reported that Suriya-starrer Jai Bhim is leading the global rating chart on IMDb. As far as the site’s popularity matrix is concerned, Jai Bhim is currently the most popular movie, overpassing the long-time favourite The Shawshank Redemption and The Godfather.
Jai Bhim is the latest crowning jewel of the Tamil cinema, which has produced a new genre of film in the last decade. This school of cinema comes from the French La Nouvelle Vague. These movies have caught the imagination of the audience not only in Tamil Nadu but around the country and even abroad. These movies have depicted the harsh realities of Indian social life and haven’t shied from showing the truth, especially those pertaining to the horrors of caste system and the resistance to it by the Dalit, Bahujan and Adivasi communities.
Films such as Attakathi (2012), Madras (2014), Kabali (2016), Kaala (2018), Sarpatta Parambarai (2021) – all directed by Pa Ranjith; Asuran (2019) by Vetrimaaran; Pariyerum Perumal (2018) and Karnan (2021) by Mari Selvaraj; and now Jai Bhim have given birth to a new genre, which is different from Hindi or Bangla new wave. The main differentiators are:
All filmmakers in Hindi and Bengali new wave cinema were from dominant caste background, whereas Tamil new wave movies are made by Dalit and OBC directors. Tamil new wave movies have a different standpoint and the section or aspect of society under the lens here is also poles apart.
Hindi and Bengali new wave filmslike Aakrosh (1980) by Govind Nihalani, Sadgati (1981) by Satyajit Ray, Paar (1984) by Goutam Ghose, Damul (1985) by Prakash Jha had Dalit and subaltern characters but almost all of them were poor, wretched and uneducated. Even Satyajit Ray, who is regarded as one of the greatest filmmakers, mostly had lead protagonists from dominant castes or they were ‘casteless.’ Even in Sadgati, the Dalit character Dukhi remained voiceless. Tamil new wave cinema has produced powerful Dalit and subaltern characters in films like Kaala, Asuran, Pariyerum Perumal and Karnan.
Hindi and Bengali new wave cinema had a ‘saviour syndrome’, in the sense that the characters who saved those oppressed almost always belonged to the elite social groups.We saw this in Sujata (1959) in which the dominant caste hero becomes the saviour of an untouchable girl, and recently in Article 15. In Tamil new wave movies, barring Jai Bhim, lead characters are from subaltern groups. Even in Jai Bhim, tribal protagonists were not mute and meek. The character of Senggeni, the pregnant Irula woman, was especially
Hindi and Bengali new wave films had Gandhian socialism andMarxist ideological framework. Tamil new wave movies have very strong Ambedkarite, Periyarism and Buddhist iconography. Especially in movies of Pa Ranjith and Mari Selvaraj, these images are quite clear. The name of the film Jai Bhim itself is an Ambedkarite slogan. The movie uses pictures, quotes and idols of Ambedkar and Buddha. Pa Ranjith’s movie Sarpatta Parambarai even reflected the Dravidian movement of the 1970s.
Also read: Lagaan to Dhadak: Bollywood has a Dalit problem and it refuses to fix it
A decade of cinematic growth
There is a popular rhetoric that cinema mirrors contemporary society and politics, and impacts that society at the same time. Hindi cinema cannot claim that title – of mirroring Indian socio-political reality.
VDO.AI
Hindi cinema failed to capture some of the watershed moments of contemporary history like JP movement (1974-77), implementation of the Mandal Commission report and related upheaval (early 1990s), and the emergence of the Bahujan Samaj Party (BSP) and OBC politics in north India among others. Someone not aware of Indian history would learn nothing about the epoch events that shaped the country if they watched all major movies of the last 50 years.
So, it is hardly a surprise that Hindi cinema completely missed or overlooked the phenomenon of newly emerged Dalit middle class and its aspirations. Tamil cinema, on the other hand, with films like Kaala and Pariyerum Perumal, show how it captured that phenomenon well.
In Tamil cinema, all this change happened in a span of a decade. The industry used to be like any other Indian film Industry and followed almost similar trajectories. As Dr Harish Wankhede, professor at the Centre for Political Studies, JNU, puts it, “The Indian movie industries began their journey by making mythological movies and later worked in a broad Nehruvian framework. These films followed the journey of the Indian nation. It was a trans temporal journey from hope to disenchantment to ultra-nationalism.”
This grand narrative, through its normative ideas and also because it valued sectional interests, skipped many uncomfortable issues and topics, most prominently, caste. Tribal issues were also very conveniently sidestepped as if they didn’t exist, and when tribals were shown, they were extras who danced in the background.
It’s not that all movies fit in this meta narrative. There were notable exceptions like Giddha (1984) and Marathi movie Umbartha (1982) but they were few and never became mainstream. The Indian ‘new wave’ or ‘parallel’ or ‘art’ cinema movement tried to break the mould, but it could never reach the masses. This movement had its footprints mainly on West Bengal from the 1940s to mid-1960s and on Mumbai during the 1970s. It waned thereafter.
Parallel cinema in Mumbai got some of its inspiration and plots from the Naxalite movement and depicted the horrors of caste from Marxist standpoints. But because parallel cinema itself always remained in the periphery, it occupied almost negligible space and remained a sideshow because mass audiences never watched these films. Made by the rich for the rich, elite class who saw the poor on big screens, these films just won national and international awards, rarely a mass audience.
New wave Hindi cinema was just a blip in the entire Indian movie history. It came and went without making any lasting impact on film-making. When these movies were winning awards, audiences in theatres were cheering ‘angry young man’ Amitabh Bachchan. This angry man was mostly poor but didn’t have a caste. Castelessness of the poor hero is a phenomenon that Hindi movies always carried with them and still do faithfully. Thus, Raj Kapoor became Awaara and Shree 420 without any caste. This Nehruvian socialist framework has remained the Masonic stone of Hindi movies even today.
So, the pertinent question is, how did Tamil directors manage to break this mould and what is stopping other Indian film industries from replicating it?
Also read: Lights, camera, caste – An Ambedkar photo made it to Bollywood after 38 yrs of independence
An evolved industry and audience
A cursory glance provides some clues and entry points in this discussion. This list should not be considered complete or exhaustive, but is more in the form of a hypothesis.
Tamil Nadu has a strong tradition of anti-caste movements and that is the mainstream there. So, it’s easy for Tamil filmmakers to tread into that territory. Even before the advent of overtly anti-caste movies, Tamil cinema produced films with protagonists from non-Brahmin social groups.
It was the Madras presidency where social justice and affirmative action policies were first ushered in. Because of these policies, there is a large OBC and Dalit middle-class population in Tamil Nadu. This socio-economic class is able to sustain anti-caste movies. This is not so in north India.
This OBC and Dalit middle-class is the arena from where filmmakers like Pa Ranjith, Mari Selvaraj and movie stars like Dhanush, Suriya and even Rajinikanth have emerged. No north Indian state is producing such big names from OBC/SC communities.
The Tamil film industry is based on a star-system model, in which the superstars have their own audience and choose the directors and not vice-versa. Anti-caste movie directors like Pa Ranjith, Mari Selvaraj and Vetrimaaran are lucky in a sense that superstars like Rajinikanth, Dhanush and Jamshad Cethirakath aka Arya chose to work with them. Though, such collaborations have benefitted these superstars as well. Commercial success of Kabali was a landmark moment because this proved two points. One, Pa Ranjith can make blockbusters. And two, if Rajinikanth can do an anti-caste movie, then other stars can also do so. No Amitabh or Shah Rukh or Aamir has ventured into similar territories. Because of this, anti-caste films are yet to acquire a critical mass, especially in Hindi movie space.
Tamil film critic Baradwaj Rangan had written about an interesting incident in his blog: “I co-wrote a screenplay some years ago, and we named the hero Rahul. We hadn’t thought about Rahul’s caste. The only thing he was, in our minds, was young – and Rahul sounded like a young name. We sent an early draft of the script around, and the first bit of advice we got was to change the protagonist’s name because it was “too Brahminical”.”
He cites another instance: “A distributor asked a filmmaker to remove scenes of the heroine (a classical singer) with a tanpura because the audience would think the film was about a privileged girl – not necessarily Brahmin, but someone belonging to an educated, upper-class background.”
Such instances show how Tamil movies and its audience have evolved. So, Pa Ranjith found no difficulty in showing Buddhist marriage of his lead actors in Sarpatta Parambarai or Mari Selvaraj effortlessly showed the image of martyred Dalit icon Immanuvel Sekaran and headless Buddha in Karnan and still made a popular movie.
Bollywood has miles to go before it produces Kaala, Asuran, Karnan or even a Jai Bhim.
The author is the former managing editor of India Today Hindi Magazine, and has written books on media and sociology. He tweets @Profdilipmandal. Views are personal.</t>
  </si>
  <si>
    <t>Last month, the son of superstar Indian actor Shah Rukh Khan was arrested for consuming drugs at a party. In most parts of the world, celebrity news of this sort provides a momentary public distraction. In India, where the divide between Hindus and Muslims has deepened since Narendra Modi became prime minister, Khan’s arrest has focused attention on India’s fraying social fabric. 
Supporters of Modi’s Hindu nationalist government defend the arrest as a matter of law and claim it reveals decadence in the movie industry. But India’s liberals contend it was a deliberate move intended to tarnish a Muslim idol’s image to appease the Hindu right. 
Khan has been a star for more than a decade and is widely referred to as “King Khan,” the King of Bollywood. He is also known for his rise from poverty; he often regales the public with stories of the hardships he endured, including having to sleep on Mumbai’s streets while trying to make it as an actor. Tales of his struggle and success have inspired millions of Indians, including Muslims, and his exalted status delivers on India’s promise as a secular and inclusive nation where anyone—irrespective of religion, caste, or creed—can succeed. 
But the Hindu right has a deep history of resenting the rise of Muslims, especially those who challenge their exclusivist politics—a group that includes Khan. In 2015, Khan spoke against the lynchings of Muslims by Hindu mobs for allegedly smuggling cows to be slaughtered and served as meat. Many Hindus consider cows to be holy. “We have made a huge thing about our meat-eating habits. How can the food habits of people be an issue?” Khan told NDTV, a local news channel. “Religious intolerance and not being secular in this country is the worst kind of crime that you can do as a patriot.” 
You can support Foreign Policy by becoming a subscriber.
SUBSCRIBE TODAY
There is a pattern of far-right resentment focused on Bollywood stars. A year ago, Bollywood actress Deepika Padukone was accused of being a part of a nefarious drug network and was summoned for questioning by India’s national Narcotics Control Bureau. In 2019, Padukone joined a student protest against a controversial anti-Muslim citizenship law passed by the Modi government. 
The cases might expose a “nexus of drugs” in the film industry, as claimed by several pro-Modi news networks. But liberals suspect Khan and Padukone were punished for speaking up against Islamophobia, and the cases against them are part of a more insidious campaign to intimidate Muslims and liberals associated with Bollywood. 
This would be part of a wider pattern. Since Modi came to power, minorities and liberals in all influential segments of society have insinuated they are under pressure to silently accept the Hindu right’s discriminatory ideas about what India should be. 
An Indian policeman gestures at the entrance to a cinema hall scheduled to screen Bollywood film 'Padmaavat' in the northern hill town of Shimla on January 25, 2018. The movie about a mythical Hindu queen angered Hindu extremists and raised fears of widespread riots.
An Indian policeman gestures at the entrance to a cinema hall scheduled to screen Bollywood film Padmaavat in the northern hill town of Shimla, India, on Jan. 25, 2018. The movie, about a mythical Hindu queen, angered Hindu extremists and raised fears of widespread riots. AFP VIA GETTY IMAGES
First, journalists complained of duress as pressure to self-censor increased. Most news networks either gave in or walked a fine line while others became unabashed mouthpieces of government policies. Left-leaning universities and those dominated by minorities were targeted next. India’s film and television industry, which employs more than 1 million people and has admirers around the world, is the latest to feel the heat. Movies and movie stars are now at the heart of a cultural revolution designed to crush dissent against the Modi government and change India’s path from a diverse to a culturally homogenous society. 
Bollywood has been the conscious keeper of a country navigating multiple fault lines at once. Although it has always had to tread cautiously to avoid irking the political powers that be, Bollywood has been a secular space that promoted cohesion among communities and played a constructive role in building a tolerant society. Over the last few years, however, actors have felt afraid to speak their minds regarding controversial political decisions, the industry is being discredited as a den of drug addicts, and the language of Indian cinema is slowly but surely changing. 
For the longest time, songs such as, “Mazhab nahi sikhata aapas mein bair rakhna,” (or “Religion does not teach animosity”) spread the ideas of coexistence. They ingrained the value of syncretism in the minds of generations of Indians. But now, religious chauvinism is interspersed in songs and storylines without compunction. There seems to be a new obsession with making films about Hindu warrior kings who challenged Muslim rulers—the latter almost always painted as evil. A whole lot of chest-thumping and sword-wielding is done while hailing Hindu gods as if trying to invoke not just pride in Hindu heritage but something more—perhaps a sense of superiority.
Shubhra Gupta, a film critic and leading columnist with the Indian Express, told Foreign Policy that Hindi cinema set out to promote the values of “pyaar and bhaichara” (or “love and brotherhood”) in its early nation-building years post-independence. But that is changing fast. “Conservatism, patriarchy, and status quo-ism know no political boundaries. That is the kind of cinema that all mainstream [movie] industries in India are being relentlessly pushed towards,” Gupta said.
“Given its massive popularity, all governments down the decades have used the film industry to propagate its messages,” she continued. “But it is now more than ever under pressure to toe the state line of command and control, as the present regime understands the power of the image in a way none other has before it.”
Rahul Vohra, an Indian actor who has worked with Khan, said lawyers are now vetting scripts to not be on the wrong side of the central government. “And yes, all this is deliberately being done to install an invented narrative with a calculated aim of re-writing history,” Vohra said. “Many actors are scared to express their opinions, and many actually believe in the opinions of the government.” Vohra, like many others, suspect the drug charges were trumped up, especially since the evidence presented thus far has been thin. “I sincerely feel these are cooked-up stories with the specific intent of diverting attention from issues staring at us in the face,” he said, alluding to the country’s worsening economic crisis and rising inflation. 
A tribute to Bollywood actor Sushant Singh Rajput in Puri, India, on June 15, 2020.
A tribute to Bollywood actor Sushant Singh Rajput is seen in Puri, India, on June 15, 2020. NURPHOTO VIA GETTY IMAGES
It began with the death of actor Sushant Singh Rajput in early 2020, whose parents alleged foul play even though the autopsy confirmed suicide. Rajput’s girlfriend, actress Rhea Chakraborty, was charged for procuring drugs for him. Chakraborty was the first to be arrested as part of an alleged “drug nexus” in the industry. Although she was a fresh face, her case set the stage to investigate the morals of movie stars. Rajput’s death also led to a debate on Bollywood’s widespread nepotism, and that was most certainly a good thing. Movies in the country are run like family businesses, with the children of actors and directors first in line to become next-generation stars. Yet there are many outsiders who have made it—Khan being among them. Central agencies’ focus and the media and trolls’ wrath, however, appear reserved for those who have not given public approval to New Delhi’s power center.
“The line that all of Bollywood is full of nepotism and drug addicts has been peddled with a great deal of energy,” Gupta said. “And that anything that comes out of it is tainted unless, of course, it wishes to stay on the safe side with movies about bad Muslim invaders and valiant Hindu kings who are defenders of the faith.” 
India’s massive movie industry is split. There are actors who swear by the Modi government; just last week, one of them even said India attained freedom in 2014—the year Modi became the country’s premier. But others fear the space for them to be true artists and challenge rising majoritarianism in the country is shrinking. They are worried their films might be blocked or they might be slapped with cases like the ones Khan’s son and Padukone face. 
Indian movies have many problems, including a highly sexist lexicon, but bigotry is not one of them. If the artists are silenced, there will be no one left to hold the mirror to society. Both Khan and Padukone have been cautious since the cases.</t>
  </si>
  <si>
    <t>Actor Siddharth, who recently appeared in the movie 'Maha Samudram' alongside Sharwanand, had written a series of tweets on Thursday questioning the government on low cap of movie ticket prices.
Siddharth suggested the Andhra Pradesh government, to calculate the average house rent and per capita consumer spending on durables, and then decide the prices of movie tickets. He also brings in, a simple example of how much money he had spent on watching a movie, when he watched a movie abroad, for the first time.
"The first time I saw a movie abroad was 25 years ago. I used my student I-card and saw a movie for 8 dollars. That was Rs. 200 at the time. Today our films match all countries in technology, talent and employment.... #SaveCinema", Siddharth's Tweet reads.
Going on, about the same issue, the actor wrote: "A film's budget and scale is not decided by the consumer... It is decided by the creator and the investor. No individual has the right to decide how much anyone earns from cinema."
"Why is it that the film industry has to constantly be seen as a problem area by governments intent on telling them how to recover their investment?" the Rang De Basanti' star questioned.
Siddharth opined that the Government Orders for ticket rates and limits on the number of shows, which comes under the violation of the MRTP Act. "Give cinema and cinema halls a chance to survive. Please," he appealed.
Siddharth is one among the very few actors who have taken a stand against movie ticket price issues in Andhra Pradesh. Pawan Kalyan, Nani, Chiranjeevi, and Director Raghavendra Rao are the celebrities who have openly given their statements on the issue to date.</t>
  </si>
  <si>
    <t>The young Muslim man watches his wife being killed in the name of jihad. The man had been living a quiet domestic life posing as a Hindu and working as a car mechanic. But when his Hindu wife confronts him about a terrorist plot, the head of the terrorist group who has come to recruit him back kills her in cold blood. Soon after, we see the husband and other men praying as they gear up for the attack.
Opinions to start the day, in your inbox. Sign up.
The nauseating scene is featured in the movie “Sooryavanshi,” which is ruling the box office here in India. The film stokes the dangerous “love jihad” conspiracy, which paints Muslim men as colluding to seduce or kidnap Hindu women or girls and convert them to Islam. But other Islamophobic tropes are the center of the film, which has as its male lead one of the biggest stars in India, Akshay Kumar — a big fan of Prime Minister Narendra Modi and an actor famous for his jingoistic, hyper-nationalist films.
“Sooryavanshi” is one of the most successful films in India after the covid-19 lockdowns were eased. Its success contributes to the climate of hate and discrimination that India’s estimated 200 million Muslims must face everyday.
Every third frame of the film is a bloodcurdling Islamophobic image. While an upper-class Hindu character played by Kumar gives lessons in patriotism, the Muslim antagonist responds with hate. He is ungrateful, with a long beard and skull cap. Each time the protagonist sermonizes the Indian Muslim to fall in line, the audience in the theater where I saw the film whistled and applauded.
The film does not even pretend to mask its agenda — which is the right-wing Hindu nationalist agenda of Modi’s government. It justifies the abrogation of the special status accorded to Kashmir, where thousands of youth were detained and an Internet blackout was imposed in 2019. Like the government, the film argues that the abrogation of Article 370 of the Indian constitution has wiped out terrorism from the valley.
If the filmmakers had read any news about Kashmir, they could have had a brush with reality. But who wants to talk about reality when the purpose is propaganda?
Propaganda sells, obviously. News just gets in the way.
Recently the police in India filed a case against 102 Twitter accounts that include journalists, activists and lawyers who spoke out against the anti-Muslim violence that unfolded in the northeastern state of Tripura in October. Hindu nationalists vandalized mosques and attacked Muslim homes, but the Tripura police went after those who spoke against it, accusing them of sedition.
For weeks in New Delhi, Muslim Friday prayers have been obstructed by Hindu nationalists. The Muslims were finally displaced, and a grand Hindu prayer service was organized in the presence of a leader of the ruling Bharatiya Janata Party (BJP) on Nov. 5.
In this context, a film like “Sooryavanshi” is not just entertainment. The film makes a point of repeating attacks carried out by Muslims, ignoring the numerous episodes of violence carried out by Hindu radicals. Kumar’s protagonist speaks about the 1993 blasts in Mumbai but conveniently ignores the 1992 anti-Muslim carnage that preceded it. He conveniently ignores the 2002 riots of Gujarat, the Malegaon blasts of 2006 that killed Muslims after Friday prayers and the Malegaon blasts of 2008, where retired officers in the Indian army were implicated.
In India, Muslim seminaries and organizations are being hounded by the Modi government for allegedly spreading terror in the country using foreign money. In the film, a Muslim scholar and priest who runs an organization is seen as the mastermind of a terrorist nexus that receives funding from Pakistan. The filmmakers should have at least given writing credits to Modi and his allies.
Disappointingly, the film is produced by Karan Johar, a well-respected director who made a film called “My Name Is Khan.” That movie addressed the demonization of Muslims post-9/11. But that was before Modi. Johar’s new worldview is celebrated by the government; he recently received one of country’s highest civilian honors in the presence of the prime minister and his powerful minister of home affairs, Amit Shah.
“Sooryavanshi” is dangerous. After watching it, it’s impossible not to think of Nazi Germany, where Hitler cultivated a film industry that paid obeisance to him and made propaganda films against Jews. In a sane world, India’s film industry — and actors, directors and producers from all over the world — would denounce it for its criminal and brazen Islamophobia. But maybe I’m asking too much. If Bollywood continues this aggressive descent into nationalism and hate, it will have blood on its hands. No box office record will be able to change that.</t>
  </si>
  <si>
    <t>As Covid-19 eases and cinemas reopen their doors, Indian audiences abroad are expected to rush in to see their favourite actors back on the big screen. But it remains to be seen if smaller, regional movies will do as well abroad as the Bollywood biggies.
The lockdowns imposed to counter the Covid-19 pandemic had a devastating impact on the film industry in countries across the world and in India. With big blockbusters being continuously postponed, film festivals being cancelled or moving online, shootings halted and hundreds of theatres closing, by April 2020, experts had already estimated that the Indian film industry had lost more than INR 10 billion.
With the advent of vaccines however, as movie theatres slowly reopen, although still at 50 pc capacity, business has been picking up, with Bollywood action film Sooryavanshi, featuring superstars Akshay Kumar, Katrina Kaif and Ajay Devgn, already surpassing INR 1.3 billion in the domestic box office in only in its second week.
However, when it comes to profit, trade analysts have emphasised the importance of the overseas box office. In 2019, overseas markets accounted for around 14 pc of the total amount made by filmed entertainment according to a Ficci-EY media and entertainment industry report. According to a Statista survey, Indian films released in theatres and cinemas abroad made about INR 16.7 billion in revenue in FY 2020 but collapsed to INR 2.5 billion in FY 2021 due to the pandemic.
Although films like Sooryavanshi are expected to fare well, the fate of regional films still rings uncertain. Malaysia, which was the biggest market for Tamil films, is still operating at restricted capacity and even though Canada is the biggest overseas market for Punjabi films, along with US, Australia and UK, Diljit Dosanjh’s latest release, Honsla Rakh (2021) did not do as well as expected. Although placed among 5 highest-grossing Punjabi films, it did not replicate its remarkable domestic box office numbers abroad, earning only INR 20 million overseas.
“Bollywood movies are generally watched more because their reach and advertisements are more. We don’t know about many good Punjabi movies, and Covid-19 is still a concern because I’m diabetic, so I would probably not go to the theatre too often yet,” Canadian resident Arvinder Sachdeva tells Media India Group.
Naga Chaitanya’s Telegu film Love Story, which released worldwide on September 24, 2021, did slightly better at around INR 48 million abroad. Initially scheduled to release on April 2, 2020, it was deferred multiple times due to the pandemic, which may have reduced interest among viewers, according to California resident Shamika Reddy, who saw the movie in theatres when it was finally released.
“Love story wasn’t much fun, partly because the songs for the movie came out almost two years ago since they usually release the songs much earlier. Then the movie got pushed to just a month ago and by then you have kind of forgotten the song and the whole hype around it, there’s kind of a disruption basically,” says Reddy.
The 2020 Ficci-Deloitte report said that as regional films have witnessed a surge of investments from major film studios, they have also led to an increased contribution to the revenue compared with Bollywood. Films like Baahubali 2 (2017) were global hits, underlining the importance of the regional market for the media industry. Regional films have also gained attention for tackling hard or underrepresented topics that are hard to come by in typical Hindi-language Bollywood blockbusters.
“I definitely love watching Bollywood movies a lot, because it is like an all-India thing, something that anybody can relate to or be interested in. So, the audience is definitely much larger. Regional movies focus on such a small audience and despite having subtitles, most people who watch it are those who know the language or are movie buffs. But what I actually appreciate about them is that Telegu and Tamil movies cater to a very specific audience, so the style and plot, characters are very different from a melodramatic Bollywood cast. Culturally it varies as well, in the kind of stories told, so I can relate to it specifically in a way that mainstream audiences cannot,” explains Reddy.
“Regional comedy movies are really entertaining and watching these and hearing Punjabi when you’re living away from home gives a very refreshing and different experience. It makes you feel connected to your culture,” Sachdeva says.
As the global box office dropped by billions of dollars, streaming witnessed a significant upsurge in popularity, with OTT giant Netflix for example, adding about 37 million new paying users in 2020. With the pandemic taking almost two years to abate, many may have become used to the idea of watching movies in the comfort of one’s home.
“Lying in the comfort of your bed and watching movies is something that is difficult to beat. We saw Jinne Jamme Saare Nikamme (2021) while browsing on Zee5, but haven’t heard of other exciting upcoming movies,” Sachdeva adds.
However, OTTs are not enough to replace the complete experience of watching movies, especially as many families are itching to find any excuse to leave their homes. With festival season steamrolling head, as Diwali celebrations end and preparation for Christmas and New Year begin, experts expect viewers for such films to increase, with releases such as Rajinikanth-starrer Annaatthe (2021), a Tamil-language action film which has already surpassed INR 2 billion at the worldwide box office.
“I am definitely willing to go to a movie theatre again to watch Annaatthe. The overall experience is just so much nicer, that’s my favourite part of it, with surround sound, popcorn, the big screen, and being surrounded by a lot of friends just makes the movie so much more entertaining,” says Reddy.</t>
  </si>
  <si>
    <t>Top South Indian actors are following their Bollywood counterparts to feature in web originals, even though they belong to an industry that has long acknowledged the dominance of the theatrical medium and hero-worship culture originating from wide releases in cinemas. 
Telugu star Rana Daggubati will be seen in a Netflix original titled Rana Naidu along with uncle and veteran actor Venkatesh; Vijay Sethupathi will feature in The Family Man director duo Raj Nidimoru and Krishna DK’s next Amazon Prime Video original, while Trisha will appear in a show on SonyLIV called Brinda. 
MORE FROM THIS SECTIONSee All
For now, the RBI is expected to retain its growth forecast at 9.5% for the fiscal year ending March, while flagging downside risks.
The ‘latest threat’ to Reserve Bank of India’s policy n ...
Video dates have turned into a first date staple for singletons with mentions of ‘video call’ in Tinder bios growing by 52% globally.
Virtual dates, vaccine mentions dominate Tinder trends ...
‘The King’s Man' serves as a prequel to 2014's Kingsman: The Secret Service and 2017's Kingsman: The Golden Circle.
Hollywood film ‘The King’s Man’ to release in India on ...
CBDC is different from cryptocurrency. It is issued by a central bank and is backed by the sovereign like fiat money is. Some advantages of CBDCs include greater financial inclusion and a boost to the war on black money and corruptionPREMIUMPREMIUM
Why the Reserve Bank wants to have its own digital currency
Industry experts and platform executives say at least the younger actors are recognising the enduring appeal of the medium which is here to stay even as theatres open up and give them opportunities to consolidate their stardom among mainstream audiences. Most southern language offerings are also grabbing more eyeballs than Hindi shows on OTT (over-the-top) streaming platforms, including and beyond native speakers.
“We are seeing the entire southern film ecosystem undergoing a transformative change. As we take the stories to a greater number of viewers and enable a growth in the audience base, the industry itself is expanding. There is a healthy surge with more movies, more TV shows, more digital series being commissioned, opening new avenues for both talent – actors and creators, both new and established, to reach beyond the known and explore the unchartered territories," said Manish Menghani, head of content licensing, Prime Video India. Like good content, fans also are not restricted by geography or language barriers, Menghani said, referring to the following for southern actors like Rajinikanth, Mohanlal, Chiranjeevi, Fahadh Faasil, Suriya, and others.
That said, a lot of older, mass-market stars like Rajinikanth, Vijay and Ajith still swear by the theatrical medium much like top Bollywood names like Salman Khan but some of the younger names are happy straddling both worlds, according to independent trade analyst Sreedhar Pillai. An actor like Samantha Ruth Prabhu found herself on the global map after the second season of The Family Man, a primarily Hindi language show, Pillai added.
“Superstars in the south enjoy almost a demi-god status. Every release of theirs is like a festival or a joyous celebration for the fans. They have definitely missed all of this euphoria which can’t be experienced with a pure OTT release," producer and director Vidhyaa B Reddy said adding that the pandemic forced many stars to accept the due reach that OTT platforms provide across demographics. However, while OTTs may have ruled for the past two years, the real test starts with the reopening of cinemas, Pillai pointed out.
To be sure, on-boarding southern actors is also a factor in the success of regional language offerings already out on OTT platforms that want to deepen penetration into the country. Amazon’s Menghani said that 50% of the audiences for Tamil, Telugu, Malayalam, and Kannada films on their platform have come from outside their respective home states. Globally, these movies are being watched in over 170 countries, with international viewers accounting for over 20% of total audiences of these local language films.
Pratiksha Rao, director, films and licensing, Netflix India said the service’s Tamil anthology film Navarasa, helmed by Mani Ratnam and Jayendra Panchapakesan was in the Top 10 in 10 countries including India, Malaysia, Sri Lanka. In its first week on Netflix, more than 40% of the viewers for the film were from outside India. In the last one year, Martin Prakkat’s Nayattu (Malayalam), V. Vignarajan’s Andhaghaaram (Tamil), local anthologies Pitta Kathalu (Telugu) and Paava Kadhaigal (Tamil), Praveen Kandregula’s Cinema Bandi (Telugu) and Mandonne Ashwin’s Mandela (Tamil) have also featured in the Top 10 on Netflix in India.
MINT PREMIUMSee All
Indian share markets have opened on a strong note, following the trend on SGX Nifty.PREMIUM
Sensex Jumps 550 Points, Nifty Above 17,000; Metal &amp; ...
A majority of stocks, largecap, midcap, smallcap, or microcap, have delivered excellent returns.PREMIUM
6 Penny Stocks that Rallied 1,000%+ in One Year
Photo: BloombergPREMIUM
Electric vehicles are cool; what about insuring them?
Photo: MintPREMIUM
The shadow of Form 483 over Dr Reddy's stock
“Great stories have the ability to become a part of our cultural zeitgeist. As we expand our film slate to have original and licensed films from South India, we heard from many of our members and fans that they would like to engage with us more on these films," said Rao whose platform has launched a Twitter handle specifically for south Indian offerings called @Netflix_INSouth.</t>
  </si>
  <si>
    <t>Each year, students from the University of Missouri work with students from India on joint story projects that link their two countries. This year’s stories deal with how various industries are faring in the wake of the COVID-19 pandemic. The project was overseen by Laura Ungar, an adjunct instructor at the University of Missouri and investigative and enterprise editor at The Courier Journal in Louisville, and journalist Sujoy Dhar, founder of the Indian news agency India Blooms, based in Kolkata, India.
Outside Logboat Brewing Company in Columbia, Missouri, moviegoers sat on lawn chairs and picnic blankets, waiting for a film to begin.
With no theater lights to dim, the movie couldn’t start until the sun set. But as darkness fell, a projector whirred to life. The crowd grew quiet. The show went on — despite a global pandemic.
A projector sits on a case April 11 at Logboat Brewing Company in Columbia, Missouri. Movie theaters have had to get creative in how they show movies during the COVID-19 pandemic. This includes a pivot toward outdoor showings and drive-in theaters to accommodate social distancing measures.
Across the world in India, outdoor movies weren’t an option. As COVID-19 swept the country, people stuck inside turned instead to streaming services to keep them entertained.
Movie theaters everywhere took a hit when the pandemic shut businesses down. Since then, people and companies have found creative ways to watch movies, like outdoor showings or using streaming services, leaving movie theaters to fight for survival. Over a year later, it’s unclear whether this shift is permanent or if movie theaters will make a comeback.
Adam Davis and Sarah Justice sit in front of an outdoor screen at Logboat Brewing Company on April 11 in Columbia. “Before all of this, we had a pretty regular group that would go to UpRise and hang out and then go see a movie and have drinks and discuss it afterward, so we haven’t been able to do that,” Justice said. “We miss that connection with friends through film. But we’ve gotten to introduce our family to films that we might not have (if we hadn’t) spent that time as a family together."
Shutting down the big screens
In March 2020, screens across the world went dark.
At the time, Hollywood studio distribution executives expected a widespread closure of more than 5,400 indoor movie theaters across the U.S.
Small local theaters in mid-Missouri, including Regal Columbia &amp; RPX, Ragtag Cinema and GQT Forum 8 in Columbia, closed during quarantine. Even AMC, the world’s largest movie theater chain, couldn’t escape closing roughly 1,000 movie theaters across the U.S.
On March 31, 2019, AMC’s reported operating loss was $33.7 million. One year later, its losses reached nearly $2 billion. The company neared bankruptcy at the end of 2020 as cases spiked and revenue remained low.
AMC furloughed most of its approximately 30,000 employees, including CEO Adam Aron, due to a lack of income, according to a March 2020 press release.
“This past year has presented AMC with the most challenging market conditions in the 100-year history of the company,” Aron said during a live conference call a year later. “As unprecedented as these times have been, so too is the unprecedented drive and commitment of the AMC team to take swift and decisive actions to ensure our survival and our success.”
Story from Chase
Try this healthy financial habit for the holidays
See More →
Theaters across the United States faced similar struggles. It wasn’t until August that movie theaters in Missouri’s Boone County could reopen with limited capacity. Even when they did, business remained slow.
Part of the problem was a continuing need to accommodate keeping people six feet apart for social distancing.
“People didn’t have the confidence to go to the movie theaters [after] we opened in August,” said Wesley Halsey, the general manager of GQT Forum 8. “And we’re still getting small crowds.”
Stay connected to news near you.
What you get with your account:
Access free articles every month
View and post comments on articles
Get The Daily Briefing newsletter in your inbox
Create Free Account
Bradley Prager, a professor of film studies at the University of Missouri, said this means theaters may struggle to stay in business, though audiences may eventually return.
“The profit margins were already fairly narrow to begin with, and so the demand is going to be there,” Prager said. “But I think (theaters are) really eagerly waiting, or need to get back up to, 75 percent and 80 percent capacity very quickly in order to keep making that small margin.”
Local theater Ragtag Cinema found a creative solution: outdoor movies. To commemorate its 20th birthday and official reopening, Ragtag hosted its first ever drive-in movie screening. After a great turnout, it began partnering with venues such as Logboat Brewing Company for more outdoor shows.
Moviegoers Yuriy Snyder and Glenn Gilyot sit in front of a screen showing a list of COVID-19 precautions April 11 at Logboat Brewing Company in Columbia. Because of the COVID-19 pandemic, movie theaters have struggled to remain in business for the past year. “People should go see more movies when they get a chance,” Gilyot said.
Dean Asher sat outside the brewery on an April evening, waiting to watch “Wattstax,” a documentary that follows a daylong concert sponsored by Stax Records at the 1972 Watts Summer Festival. Asher was a frequent moviegoer before the pandemic, and he missed the communal experience of watching a movie with a group of people. Ragtag’s outdoor screenings have allowed him to regain that feeling in a safe environment.
“For the past year, we definitely have only gone to outdoor showings and drive-ins and stuff, so I’m really, really, really grateful to Ragtag for having so many events like this,” Asher said.
Theater owners elsewhere have also persevered.
“Movies are important because it’s just a little bit of normalcy,” Halsey said. “With all the craziness going on, it’s nice to go and just sit and watch a movie and forget about the craziness for just two hours.”
A sign outside Logboat Brewing Company reminds customers to wear masks at all times unless seated April 11 in Columbia. Logboat has partnered with Ragtag to show films in its green space outside, where people can social distance.
The switch to streaming
While movie theaters have struggled, streaming services — like Netflix, Hulu and Disney Plus — have thrived.
The number of streaming service subscribers grew 50 percent in the past year, according to The Wall Street Journal. Streaming allows viewers to stay at home, watch a wider variety of content and view something as many times as they want. Some people, like Emily Tarby, a 24-year-old in Columbia, prefer the comfort and accessibility they offer.
“Watching a movie is about the movie and who you’re watching it with and where you’re watching it, and if you’re at home and comfortable there, then that’s fine by me,” she said.
A tree branch dangles in front of an outdoor screen displaying a Ragtag Cinema ad April 11 at Logboat Brewing Company in Columbia. The couch logo, used to represent Ragtag’s eclectic seating options, has taken on a double meaning with the rise of streaming during the COVID-19 pandemic.
AMC made a deal with Universal Pictures late last July to release films on streaming platforms 17 days after their release in theaters instead of waiting the typical 90 days, according to The Associated Press.
“I’m expecting that this is going to become an industry standard,” Aron said to Variety last August. “I expect that some of our competitors will do this, if not all.”
But when production companies skip the theaters — like Disney and Pixar have done — they hurt the theaters even more.
“Until we start getting the content that our guests want, (capacity is) really not going to make a big difference,” Halsey said.
Ramsay Wise, an MU film professor, said the shift toward streaming during the pandemic may have been an acceleration toward the inevitable, at least for his family. According to The Numbers, a database for movie industry statistics, ticket sales were on the decline already. Sales peaked in 2002 and have steadily decreased since then, reaching a record low in 2020.
“I think eventually we would’ve probably gone this route and embraced (streaming services) at some point, but I think (the pandemic) definitely expedited things,” Wise said. “We were definitely like, ‘Let’s just do this now because it just makes sense.’”
Though Wise missed seeing movies in theaters, at the end of the day, he said streaming can be a fine substitute.
“It didn’t bother me a bit to watch (movies) in my living room,” Wise said. “Is it perfect? No. Is it better to be in a dark room with a great sound system watching (something), whether it’s a big Avengers movie or even an independent film? Yeah, obviously that’s preferred. But it’s still movies.”
‘Theater came home:’ India favors streaming
The movie industry in India has faced many of the same problems as the U.S.
India reopened movie theaters at half capacity in October, then full capacity in February. In the past few months, the COVID-19 pandemic has become more dire in India, forcing another major shutdown.
When they reopened in October, movie theaters struggled to lure the public back, mirroring the troubles faced by American theater owners. In the capital city of New Delhi, one cinema reportedly attracted just a little over two dozen people — mainly those who worked in the building — for a late afternoon show that would typically draw a larger crowd.
Posters for the famous Bengali series Mohomaya are displayed at its press conference March 15. The show was shot after lockdown restrictions were lifted in India and was released March 26.
With people unable to go to theaters safely, OTT — over-the-top media, another term for streaming — has become more popular. Reliance Entertainment launched the first OTT platform in India in 2008, but during the pandemic, the concept has grown in scope and popularity.
As in the U.S., content producers in India have begun to skip traditional theatrical premiers in favor of OTT platforms. Amazon Prime Video unveiled nine Indian films — to be released October through December — that were originally headed to theaters. OTTs have also offered a shift from typical Bollywood movies to richer content.
Skipping the theaters could have wider ramifications. Releasing films in theaters first can boost sales, provide a wider audience and help generate more content for OTTs, said Soumya Mukherjee, vice president of revenue and strategy for streaming platform Hoichoi Entertainment.
“For Hoichoi, when a movie has a theatrical release, it always does well after releasing on the platform,” Mukherjee said. “This is because of the word-of-mouth the movie generates because of its marketing beforehand. With no theatrical revenue, it becomes riskier for small-time producers to invest in making a movie. As such, fewer producers would survive in certain markets, making content acquisition for OTTs difficult.”
Vikram Chatterjee and Rupsha Chatterjee star in Tansener Tanpura, a Bengali web series. The series was shot before the country was pandemic-stricken, but the show was released in late June, 2020 — well into the first phase of the lockdown.
Mukherjee said Hoichoi has seen a change in demographics and viewing patterns with the growing interest in streaming. OTTs allow audiences to choose exactly what they want to watch, and Mukherjee found that preferences vary depending on factors like age or location.
Garima Sharma Nijhawan, a scholar at Indian Institute of Mass Communication, said the change in viewing could have more to do with convenience than content.
“There was a time when people looked forward to (the) release of a movie on the big screen. The element of excitement to catch their favorite movie in a theater was like a festivity or celebration,” Sharma Nijhawan said. “But this event came with a heavy price tag and need for planning time off from other work, the element of traveling to the theater, reserving your spot and then indulging in the experience.
“With the pandemic, theater came home.”
Sharma Nijhawan compared the shift to OTTs to paying bills online: It seems weird at first, but after a while, some people will start to forget there was ever another option.
“There will definitely be a change in consumer behavior toward movie releases on big screens versus OTT,” Sharma Nijhawan said. “Some may still prefer to visit the halls when it is safe and enjoy that experience. Young couples, college students, families for whom a visit to a multiplex is recreational activity in nature, might still prefer the experience. But a lot will change for price- and convenience-conscious consumers over time.”
‘It’s just not the same’
In the U.S. and India, the future of movie theaters remains murky. Some people speculate the uptick in streaming may render theaters obsolete, while others predict movie theaters will make a comeback.
Wise said he’s not sure whether movie theaters will ever be what they once were; the pandemic has made the future less predictable.
Glenn Gilyut and Yuriy Snyder chat before the film “Wattstax” begins April 11 at Logboat Brewing Company in Columbia. Both have missed the immersion of watching films in movie theaters instead of at home. “The lights go down, and the sound comes on, and it just feels like you’re sort of transported somewhere,” Gilyut said. “Whereas, when you’re watching (movies) at home, it’s just like, ‘Oh, I’m still at home.’ And it’s very apparent you’re still at home.”
However, as more of the population in the U.S. gets vaccinated, 2021 may offer a brighter picture for theater lovers.
The collective feeling an audience gets while watching a film has been a catalyst for communal spectatorship since the ancient Greeks, Prager said. That sense of community could be enough to keep theaters alive.
“One of the reasons we like (theaters) is to be among other people and share that kind of communal reaction,” Prager said. “To laugh when others laugh and to gasp when others gasp. But that's part of the pleasurable experience of going to the theater, whether it's conscious or not.”
Most of the moviegoers at Logboat waiting to see “Wattstax” said they missed just that — the shared sense of community they get in the theater.
“I kind of just like the atmosphere of being in a movie theater. Like, the collective experience with other people in the same room,” moviegoer Rachel Diemler said. “You get that cathartic experience with a bunch of strangers.”
Two projectionists set up the projector for an outdoor screening April 11 at Logboat Brewing Company in Columbia. Logboat uses a 300 lb blow-up screen to show movies outside.
On top of that, theaters offer a complete immersion that’s hard to come by otherwise.
“Invariably, when you’re watching stuff at home, even if you’re completely loving it, you pause it and go get food,” Wise said. “But you sort of want to be at the mercy of the movie in some way.”
The crowd outside Logboat was feeling that magic.
“You can’t make that at home, unless you have a theater at home,” moviegoer Yuriy Snyder said. “It’s just not the same.”</t>
  </si>
  <si>
    <t>Ranveer Singh is collaborating with Tamil filmmaker Shankar for a remake of superstar Vikram’s ‘Anniyan’. Ajay Devgn and Alia Bhatt are starring with Prabhas in SS Rajamouli’s ‘RRR’, and even Shah Rukh Khan’s next film is being directed by Tamil filmmaker Atlee, with Tamil &amp; Telugu star Nayanthara featuring in a lead role. No need to make special mention of Samantha Akkineni walking shoulder-to-shoulder with Manoj Bajpayee in ‘The Family Man’ on OTT. In a sense, you could view these as crossovers between Bollywood stars and their counterparts from the South. But why is it that Salman Khan being offered a role in Chiranjeevi’s Telugu movie is billed as a coup for the South industry and not the other way around?
That's what our #BigStory for the week is going to explore. ETimes has spoken to actors and filmmakers who have worked in both Bollywood and South films about why Bollywood wins the war of perception, while there are, arguably, bigger numbers and just as big film stars down South. Read on to see the varied opinions:
Vishnu Induri, the maker of 'Thalaivii', '83' and many other films in the South, says, “Bollywood is considered big because of the celebrities and viewers for the Hindi films because there are more Hindi language speakers in the country. Otherwise, South films are also being made with the same methods and technology. Bollywood has a wider reach and audience, so it is considered as the bigger film industry when compared to other industries in our country".
89
For a perspective on the Telugu film industry’s dominance, one only needs to go back to the most successful film franchise to have ever been made in India, Rajamouli and Prabhas’s ‘Baahubali’ movies. ‘Baahubali’ raked in Rs 650 crore in 2015, and two years later the sequel ‘Baahubali 2’ managed to earn a whopping Rs 1700 crore at the worldwide box office. Fact is, this is not about competition, but a perception where Bollywood gets more recognition and fame than its Southern counterparts, when, in all fairness, the playing field is pretty level, albeit with a slight elevation towards the South.
Read Also
#BigStory: OTT wave: A mirage or concrete reality?
'Iqbal' director, Nagesh Kukunoor, who is all set to make his directorial debut in Telugu films with 'Good Luck Sakhi', explains, “The reason why Bollywood is considered big is pretty simple. Hindi is our national language and there are almost four or five large states, who all speak Hindi, hence it has just a larger audience. You have Punjab, Bihar, Rajasthan, Uttar Pradesh, and Madhya Pradesh, not to mention even Hyderabad that can actually screen Hindi films. That’s the simple logic. Having said that, the Telugu industry produces more films, a lot of times their films have a larger collection, but the Telugu movies, if not dubbed, will only stay in Telangana and Andhra Pradesh. So, it's just a matter of numbers, and in the process of releasing films over the years, the numbers have become of prime importance. Southern films have chosen to make their own cinema largely for their own states. Now, in the past 5 to 10 years, Telugu films are have started getting Hindi dubbing and are then marketed and released in the North, but that’s a new practice. Otherwise, they would get dubbed for only three other states--Tamil Nadu, Karnataka, and Kerala. All these factors put together allowed Bollywood to take the center stage”.
Read Also
#BigStory! Why are Bollywood and TV Marriages falling like A House of Cards?
Over the past decade, films like 'Manikarnika-The Queen of Jhansi', 'Kabir Singh', 'Ghajini' and many more have represented a solid association between the South film industries and Bollywood. However, the crossover between Bollywood and regional cinema dates back to the beginning of the film industry. In fact, filmmakers like K Vishwanath, K Raghavendra Rao, Mani Ratnam, Ram Gopal Varma, Priyadarshan, to name a few, have given Hindi cinema some of its best works. Similarly, like we have Amitabh Bachchan, Dharmendra, Shah Rukh Khan, Hrithik Roshan, and others in Bollywood, there’s Rajnikanth, Chiranjeevi, Kamal Haasan, Vijay, Ajith, Mohanlal, Mammootty, and others who rule the roost down South. So, in all fairness, when it comes to star power it looks like a draw.
90
While Bollywood remakes South films nineteen to the dozen (case in point being Saif Ali Khan and Hrithik Roshan coming together for a remake of 'Vikram Vedha'), South Stars end up recreating a few Hindi movies, too. There’s no doubt about the fact that respect and reverence is a two-way street between the North and South. But even then, there’s a trend that tips the scales in favour of the South. Believe it or not, hit films from the Telugu industry are fetching dubbing rights between Rs 30 to 50 crore. These are not the remake rights, they are just rights to dub the film in Hindi and release that version in the rest of India.
Read Also
#Bigstory: From silent era to heavy special effects, here’s how Indian cinema has evolved over the years
Film critic and trade analyst, Taran Adarsh feels that South industries are too big to ignore. He adds, “I think Telugu is the bigger industry right now. The kind of films, budget, professionalism, and release patterns that they have, are impressive. The pan-India films that they plan are superb! Perhaps the image that Bollywood has had over the years makes us believe that it is big. I would like to correct the people who are associated with Indian cinema and say that is wrong to think of Bollywood as the biggest. Somewhere down the line, we should change our thought processes and realise that there are other industries too. It is unfair to South Indian cinema to keep them out and just say that Bollywood is the dominant industry. Not at all, I would say Telugu is ruling right now”.
91
A select few actors are able to work across several industries, fewer still are those who find stardom and success in more than one film industry. Shruti Haasan is one such name. During a past interview with ETimes, Shruti Haasan had said, “I give equal importance to all film industries but Bollywood doesn't. People in Bombay think Bollywood is the biggest. Not everyone, but some people and filmmakers who watch cinema in different regions think Hindi is the biggest film industry, which is not a fact. The biggest market for South movies comes with the dubbed versions and the audience is aware of all my Tamil and Telugu films; that they’ve seen dubbed versions of it. So, it is not the audience but select makers or some people who work in the film industry, who think that Hindi cinema is the biggest. Making one film industry out of many is nothing new to me because in the South, four languages are clubbed together. In fact, a few people from the industry have supported this practice and we are really happy. I am blessed to be born in a home that is multilingual, having a career that is multilingual, I have also done an English, Hollywood series and my music is being made in English”.
92
Bollywood actor Chunky Pandey, who played the antagonist in the pan-India film 'Saaho' and is now looking forward to his Tamil debut with 'Sardar' says, “It depends on who is asking the question and who is answering it. It is a very relative question. According to me, the Indian film industry is considered the biggest film industry in the world and it consists of Bollywood, Tollywood, and all other film industries in India. I will say only the reach is different as a Tamil film will release only in few states down South while a Bollywood film will release in many states. But the numbers clocked by Telugu are as good as Hindi. I have a Telugu film and I am doing a Tamil film now and I feel the future is going to be an alliance of all. South producers are releasing Bollywood films, Dharma is releasing South films. So, in the long run, the taste is going to be the same. Even when South films are dubbed, they are doing very well. It's a matter of language, rest all is entertainment and good cinema will always entertain around the world".
93
Linguistics can play an important role in the perception of what’s universal. Veteran Bollywood actress Aruna Irani, who has worked across many languages, says, “Even in the past, films in the South were made on massive budgets and there were movies that were made on a larger scale, but the reason why Bollywood is considered bigger is a question that evades me. It could be due to the language. South Indians do understand Hindi language to some extent, but it is difficult for the Hindi-speaking audience to understand their language. The only way a Hindi viewer can watch a South film is if it’s been translated or has captions. But the audience down South doesn’t need such additions to watch a Hindi film”.
94
Dancing sensation and someone who started off with Telugu and Malayalam movies, Sudha Chandran says, "I honestly feel the distinction isn’t relevant now. In the past, many of Jeetu (Jeetendra) sir’s films were remakes of South hits. Look at Chiranjeevi sir and Rajni sir--they are like demi-Gods. Even Rajkumar sir in Karnataka, T Prabhakar, and Vishnuvardhan sir, are still bigger stars. Most Hindi-speaking actresses are top heroines in the South, for example, Simran, Khusbhu, Kajal Aggarwal, Nagma, and more. Every industry has its own distinction and every industry has its own stars. Here, in Bollywood, we have Amitabh Bachchan, Shah Rukh Khan, Aamir Khan, Salman Khan, and Hrithik Roshan. There, in the South, we have their counterparts such as Chiranjeevi sir, Pawan Kalyan etc. I have worked in all industries and I think the line between North and South is fast disappearing. Today, the combined Indian film industry has become internationally acclaimed. We feel happy when Americans dance on Vijay's 'Vaathi coming'. In such a situation, there is no distinction, South is much ahead of the others. 'Baahubali', on the other hand, has broken all sorts of records. (Laughs) Prabhas is an international star now.”
95
Sudha Chandran's views seem to be a perfect summation of the current scenario. There’s no real distinction, just a changing perception that the film industries in the South are fast gaining more prominence around the world.</t>
  </si>
  <si>
    <t>For Bollywood—India’s $2.5 billion Hindi-language film industry based in Mumbai—the success of a major studio film largely depends on in-theater audiences, which generate the bulk of a movie’s revenue. Bollywood fans say that the industry’s musical melodramas, usually three hours in duration, are best viewed communally—singing, laughing, clapping, and crying alongside others in the cinema.  
Suketu Mehta, author of novel Maximum City: Bombay Lost and Found, wrote about his love for the in-cinema Bollywood experience for the New York Times. “Why do I love Bollywood movies? To an Indian, that’s like asking why we love our mothers; we don’t have a choice. We were allowed to talk back to the screen, to clap and whistle and jeer, and to throw coins in praise when we were particularly pleased,” unlike moviegoing in other parts of the world, where audiences are largely expected to keep quiet.</t>
  </si>
  <si>
    <t>India's film industry, which is the world's largest in terms of the number of films produced and second largest after Hollywood in terms of its global reach is increasingly on edge since the first Covid-19 lockdown in March last year.
Major film productions have been shelved or indefinitely postponed, thousands of cinema halls shut down, supply chains and post production disrupted, not to mention significant job losses.
Trade analysts are unsure when normalcy will return given that they have seen a flourishing industry sell 1 billion tickets every year before the pandemic.
Every year 1600-1800 films get produced collectively in various languages in India. Of this, about 200-250 Hindi films alone are made in a year and the Hindi film industry, popularly known as Bollywood, yearly box office earnings stands at a little over 30 billion Indian rupees (341 million euros).
For Hindi films, more than 70% of the box office including big budget movies comes from multiplexes, and contribution of smaller single screens is not considerable to make a larger dent in the earnings.
Several major films which are completed are on hold and ambitious projects have been put on the backburner.
Screen goes dark
Even the southern Indian film industry, referred to as ‘Tollywood’ is staring at its worst crisis with losses pegged at 9 billion rupees (102.5 million euros) for the Kerala film industry as a slew of films including possible blockbusters still lie unreleased.
“There are many daily wage workers in the industry who’re badly affected right now, and they’re the ones who actually need the livelihood more than anyone else,” said actor Tamannaah Bhatia in a recent interview.
It is not only producers who are stuck in a tight spot. Other stakeholders like multiplexes, film exhibitors and cinema owners are having a tough time too.
According to an Ernst and Young 2020 report, India had around 9,527 screens out of which there were around 6,327 single-screens and 3,200 multiplexes. Last year around 1,000 screens had shut shop permanently.
COVID-19: B’Town Stars Who Went Bankrupt Due to The Pandemic#Bollywood #TV #Celebs #Pandemic #Covid19 #FinancialCrisis #Coronavirus #ShaguftaAli #MadhuriDixit #NewsMo #Vertical pic.twitter.com/klnelE5SqB
— IndiaToday (@IndiaToday) July 15, 2021
“I just think every business will face a little bit of financial hit including the movie business. The kind of content people will churn out will also get affected,” said actor Taapsee Pannu.
With new lockdowns, more theatre owners are looking at permanent closures. This means that India's overall screen count could come down to around 7,000, say industry insiders.
“Thousands of screens countrywide are forced to close down. Even their supply chains and other stakeholders facing personal hardship, it is a tough state of affairs,” Gautam Dutta, CEO PVR Cinemas told RFI.
Online platforms the 'new big screen'
Insiders estimate that the Indian cinema exhibition industry had lost theatrical revenues of close to 120 billion rupees (1.36 billion euros) in 2020-21. There has also been additional impact on revenues in terms of lost concession sales, and screen advertising sales.
Instead of traditional cinema, Over the Top (OTT) platforms like Netflix and Amazon Prime have become the ‘new big screen’.
Industry trends indicate that with access to better networks, digital connectivity and smartphones, OTT platforms in India have been attracting subscribers on a daily basis.
India’s streaming market is expected to grow 31% from 2019 to 2024, with revenues reaching US$2.7 billion (2.29 billion euros), according to consultancy firm Pricewaterhouse Coopers, while cinema revenues will contract 2.6% in the same period.
With over 45 OTT services in India, there is a battle for consumers. Low cost and efficient mobile recharge packages along with good internet connectivity have permitted both rural and urban populations to consume video content at an alarming rate.
Time will only tell how this development will affect the country's cinema and television industry in the long term.</t>
  </si>
  <si>
    <t>S Shivaram was admired for his roles in ‘Naagarahavu’, ‘Nanobba Kalla’, ‘Yajamana’, ‘Apthamitra’ and ‘Hombisilu’
Chief Minister Basavaraj Bommai, who mourned S Shivaram’s demise, said the last rites will be performed on Sunday with full state honours. (ANI)
Chief Minister Basavaraj Bommai, who mourned S Shivaram’s demise, said the last rites will be performed on Sunday with full state honours. (ANI)
Published on Dec 05, 2021 12:25 AM IST
By
Press Trust of India
, Bengaluru
Veteran Kannada actor S Shivaram, whose stint in the film industry spans more than six decades, died at a private hospital here on Saturday. He was 83.
Speaking to reporters outside the hospital, his son S Lakshmish said, “My father Shivaram is no more with us. Doctors at Prashant Hospital had done their best to help him recover but unfortunately destiny had its plan. We have to accept it.” Chief Minister Basavaraj Bommai, who mourned his demise, said the last rites will be performed on Sunday with full state honours.
Born on January 28, 1938 in a Tamil Brahmin family, Shivaram, popularly known as Shivaramanna, had been a versatile actor who played various roles ranging from hero to supporting character in over 60 movies, besides directing and producing films.
He started his acting stint with ‘Beratha Jeeva’ in 1965 but made a mark with the movie ‘Dudde Doddappa’ and ‘Lagna Patrike’.
RELATED STORIES
S.I.T. starts probe into Dalit man’s death in U’khand
S.I.T. starts probe into Dalit man’s death in U’khand
Konijeti Rosaiah, former CM of undivided Andhra Pradesh, passes away
Konijeti Rosaiah, former CM of undivided Andhra Pradesh, passes away
Sarada Menon, India’s first woman psychiatrist, dies at 98 in Chennai
Sarada Menon, India’s first woman psychiatrist, dies at 98 in Chennai
Funeral of 14 civilians held as protests continue in Nagaland
Funeral of 14 civilians held as protests continue in Nagaland
He was admired for his roles in ‘Naagarahavu’, ‘Nanobba Kalla’, ‘Yajamana’, ‘Apthamitra’ and ‘Hombisilu’.
The veteran filmmaker launched Rashi Brothers by teaming up with his sibling S Ramanathan and gave some hit movies such as ‘Gejje Pooje’ and ‘Upasane’.
Shivaram was active in the field and recently did the movie ‘Snehitha’.
Hearing about the demise, Chief Minister Basavaraj Bommai visited Thyagarajanagar and offered floral tributes to the departed soul.
Speaking to media persons after paying his last respects to Shivaram, he said the last rites would be held on Sunday with full state honours.
“Shivaram had carved a niche for himself in the world of art. He had breathed life into every character he played as an actor. Most of his movies notched big success,” Bommai said. He also recalled that the artiste had bagged the national award as the producer of ‘Upasane’. “Shivaram’s contribution to Kannada film industry is immense. He has left his stamp as assistant director, director, producer and actor in his six decade long professional life in Kannada filmdom. He made a mark as an actor in films like Sharapanjara, Shubhamangala, Nagarahavu directed by Puttanna Kanagal,” Bommai recalled.
Mourning his death, former Chief Minister B S Yediyurappa tweeted, “I am deeply saddened by the news that the veteran actor of Kannada cinema is no more. He was also a director and producer. He had also acted in several television serials.” Yediyurappa said the state has lost a senior artiste in Shivaram’s death.
Recalling his several meetings with Shivaram, Yediyurappa prayed for the departed soul to rest in peace.
Former India cricket captain and leg spinner Anil Kumble too lamented the demise.
He tweeted, “Deeply saddened by the passing of Shivaram Anna. He was an icon, an institution and leaves behind a rich legacy. Huge loss to the Kannada film industry. Heartfelt condolences to his family, friends and well wishers.” Former chief ministers Siddaramaiah, H D Kumaraswamy and many Karnataka ministers, former ministers and people from the Kannada film industry mourned his death.</t>
  </si>
  <si>
    <t>Stating that the kind of dedication and professionalism that actor Vijay showed was truly inspiring, his long term associate and producer Jagadish on Saturday said that every moment that he had spent with the actor was a learning process.
Jagdish, who was a manager of the actor before going on to become the co-producer of the super hit film 'Master', took to social media to express his admiration.
He wrote, "29 years of a remarkable journey, yet the kind of dedication and professionalism you display is truly inspiring. Every moment I spend with you is a learning process. Wishing you lot more success and happiness in the years to come na."
1/6#29YearsOfVijay: Five films of Vijay that will make you a diehard Thalapathy fan
Right Arrow
Vijay is one of the popular South Indian actors, and he has an immense fan following. Social media is flooded with love for the beloved actor, as he completes 29 years in cinema. Fans stirred up to celebrate the special day of the actor with a hashtag trend. At this time, let’s take a look at five films of Vijay that will transform you into a Thalapathy fan.
Did you know that Pa Ranjith had first narrated the 'Chiyaan 61' story to Vijay
Pic Courtesy - TwitterRead more
After doing several films under his father SA Chandrasekar's direction, Vijay joined hands with director Vikraman for 'Poove Unakkaga'. He played the role of a youngster, who sacrifices his love, to get his sweetheart to marry the man she wished. Vijay's different role will attract you for sure and the romantic drama will melt your heart.
Suriya on portraying Justice K Chandru in 'Jai Bhim'
Pic Courtesy - TwitterRead more
Vijay played the role of the US return youngster, who marries a Tamil girl with a condition. The unusual one-year agreement between a husband and wife is sure to entertain you. The transformation of the character from a carefree youngster to a responsible family man will motivate you, and 'Priyamanavale' is one of the must-watch films of the actor.
Here's what netizens have to say about GV Prakash Kumar's 'Bachelor'
Pic Courtesy - TwitterRead more
Vijay played the role of a kabaddi player in the action thriller 'Ghilli', which was directed by Dharani. The story of the film is about a youngster helping a young girl from a gangster. Vijay delivered a fiery performance in the romantic drama and the film emerged as a blockbuster.
Sasikumar plans to direct the controversial 'Kutra Parambarai'
Pic Courtesy - Twitter
Vijay paused doing the same kind of films and opted to play as an army officer in 'Thuppakki', which was directed by AR Murugadoss. The film is about an army man and his secret mission against terrorism. Vijay had given his best and played a brave role in the film. 'Thuppakki' is loaded with romance, comedy, and action will engage you, and you will easily relate to the film.
Director CS Amudhan ropes in a stand-up comedian for his next
Pic Courtesy - TwitterRead more
Vijay joined hands with director Atlee, for the first time for 'Theri'. Vijay was seen in a khaki uniform in the film, and Atlee presented the actor in three different shades. Vijay has also taught some parenting lessons through his character in the film. Vijay's responsible and romantic dialogues will entertain you for sure.
Vijay Sethupathi to start shooting for Merry Christmas with Katrina Kaif
Pic Courtesy - TwitterRead more
Share this on: FACEBOOKTWITTERPINTREST
1/6#29YearsOfVijay: Five times when Bollywood stars praised Vijay
Right Arrow
Vijay has been entertaining fans through his movies, and he is calmly cementing his territory with the success of his films. It's a wish for many actors to share screen space with the inspirational star, Vijay, and many filmmakers are awaiting to team up with the actor. Not only Kollywood but stars from other industries have also praised Vijay for his masterful acting. As Vijay completes 29 years in the film industry today, we compiled a list of Bollywood celebrities who have complimented the actor for his contribution to the cinema world.
Silambarasan's 'Vendhu Thanindhathu Kaadu' teaser to arrive next week
Pic Courtesy - TwitterRead more
Hrithik Roshan has a huge fan following, and his dancing talent is admired by many. Whereas the popular Bollywood star has a miniature list of actors whose dancing he has praised and from the South, Vijay is the one. Hrithik Roshan not only complimented Vijay's dancing style but also requested the diet plan of the actor and a few other South stars, as to what they eat before they dance.
Kamal Haasan resumes work soon after he gets discharged from the hospital; watch the video here
Pic Courtesy - TwitterRead more
Salman Khan has a great love for Chennai, and he has participated in several Tamil movie functions. During one of those events, Salman Khan had shared the stage with Vijay, and he had also praised the actor. Salman Khan names 'Thirupaachi' and 'Theri' as his favorite films of Vijay, and he had also expressed his wish of remaking the films in Hindi.
Ajithkumar's change in plan for 'AK 61' after watching 'Valimai'
Pic Courtesy - TwitterRead more
The Tamil cinema industry is a lucky one for Priyanka Chopra, as she made her debut in the Tamil film 'Thamizhan' opposite Vijay. Later, the gorgeous actress started concentrating more on Hindi films and eventually became a popular Indian actress. But she always has a love for her first co-star, Vijay, as she continues to be a big fan of the actor, and she wishes to act with him again.
Suresh Kamatchi on 'Maanaadu' business: This film is not profitable for a producer
Pic Courtesy - TwitterRead more
Katrina Kaif had done a few television commercials before entering the cinema world. She had featured in a commercial with Vijay. It was the only period when Kat shared the screen space with the actor. However, it seems Katrina Kaif had observed Vijay very well in a very short time as she described Vijay as a sweet and polite person during one of her interviews.
Did you know that Pa Ranjith had first narrated the 'Chiyaan 61' story to Vijay
Pic Courtesy - TwitterRead more
Bollywood actor Jackie Shroff has acted in several Hindi films, and his negative role against Vijay in the sports drama 'Bigil' was well appreciated. The expert actor had a great time working with Vijay, and he kept him comfortable. Jackie Shroff describes Vijay as a decent boy, who is also a workaholic, and praised him as one of the finest actors he has ever seen.
Vikram and Dhruv Vikram complete dubbing for Mahaan
Pic Courtesy - TwitterRead more
Share this on: FACEBOOKTWITTERPINTREST
Jagadish was among one of the scores of fans of actor Vijay, who were celebrating the actor's completion of 29 years in the film industry.
Lakhs of fans began congratulating the star on Twitter that the hashtag 29YearsofThalapathy (as Vijay is better known) began trending on Twitter with a whopping 252,000 tweets.
Jagadish also released a still of Vijay, who commands a huge fan base in all four southern states of the country, from his upcoming film 'Beast'.</t>
  </si>
  <si>
    <t>Cinema complexes are shutting down nationwide, while hundreds of films have been indefinitely postponed. Bollywood has estimated losses in the millions.
An Indian man walks past a poster of a popular Bollywood film
Many Indians yearn for the cinematic experience and are waiting for the reopening of theaters
India's film industry — the world's largest in terms of the number of films produced — has not been immune to the impacts of the coronavirus pandemic.
The industry has been on the decline since India's first COVID-19 lockdown in March last year.
Major film productions have been shelved or indefinitely postponed, while thousands of cinemas have shut down, prompting job losses across the country.
"This is an industry which is already dealing with losses going into millions, and it is going to be worse than 2020 if losses keep on mounting," a senior trade analyst told DW.
COVID takes heavy toll on 'Tollywood'
Around 1,600 to 1,800 films are typically produced in India every year in various languages. About 200 to 250 of them are in the Hindi language, popularly known as Bollywood films.
Watch video02:36
No happy end in sight for Bollywood's day laborers
Bollywood's yearly box office earnings stands at a little over 30 billion Indian rupees ($402 million/€340 million). But COVID-related shutdowns have taken a heavy toll on cinemas.
"It is a worrying situation. Many big releases have been hit, and this has disrupted the entire production chain. Losses have been incurred and worryingly nobody has an answer when the situation will normalize," said Taran Adarsh, another trade analyst.
The film industry in south India — or Tollywood — is staring at its worst crisis with losses pegged at 9 billion rupees, as a slew of films, including possible blockbusters, still lie unreleased.
Unlike films in Kannada, Tamil and Telugu languages, where mega production houses and corporate-political backing are the norm, a majority of films produced in Kerala, southern India, are from small production houses.
"The film industry is undergoing major losses. I had to release my movie, Bhoomi, through the digital platform this year. At the end of the day, we need audiences back and theaters to open for a vibrant industry that we always knew," Sujatha Vijayakumar, a Tamil film producer, told DW.
Hundreds and thousands of workers affected
Across the country, theaters and film multiplexes lie deserted.
According to a 2020 report from accounting firm Ernst &amp; Young, India had around 9,527 screens out of which there were around 6,327 single-screen theaters and 3,200 multiplexes. Last year, around 1,000 screens shut down permanently.
"With thousands of screens countrywide forced to close down, and many employees, not just of cinemas, but even their supply chains and other stakeholders facing personal hardship. It is a tough situation," said Gautam Dutta, CEO of PVR Cinemas.
"It is estimated that the Indian cinema exhibition industry had lost theatrical revenues of close to 120 billion rupees in 2020-21. There has also been additional impact on revenues in terms of lost concession sales, and screen advertising sales," Dutta added.
68. Internationale Filmfestspiele Berlin Robert Pattinson (picture-alliance/dpa/Sputnik/E. Chesnokova)
CORONAVIRUS: CELEBRITIES WHO'VE TESTED POSITIVE
Robert Pattinson
The 34-year-old, best known for starring as sparkly vampire Edward Cullen in Twilight, tested positive for COVID-19, pausing the production of his film The Batman just three days after it resumed. Pattinson, who also played Cedric Diggory in the film adaptation of Harry Potter and the Goblet of Fire, took on his latest role after Ben Affleck stepped down last year.
1234567
According to the Federation of Western India Cine Employees, over 250,000 workers, including entertainers, makeup artists, set designers, carpenters and backstage dancers have also been affected by the pandemic.
Depending on the scale of a film, sets can employ anywhere between 300 and 500 people, including crew, main cast, junior artists and stuntmen.
"Obviously, smaller artists and workers in the industry have been impacted. Shoots are happening now but there is considerable uncertainty in peoples' minds about the return of blockbusters and if they will throng cinema halls," said film critic Namrata Joshi.
Cinema alternatives
With cinema halls still near empty due to the lockdown in many parts of the country, several producers are opting to release their films on streaming platforms without waiting for a theatrical release.
As cinema enthusiasts are stuck at home, streaming media service platforms have turned into the "new big screen." There are over 45 such services in India, also known as over-the-top (OTT) platforms. Industry trends indicate that with access to better networks, digital connectivity and smartphones, OTT platforms in India have been increasingly attracting subscribers on a daily basis.
Watch video02:29
Pandemic puts India's rap artists in spotlight
Radhe, the first budget Bollywood film starring Salman Khan, was deferred multiple times for a theater release but then shown on OTT platforms in May. Several other blockbusters are also expected to follow suit in the coming months.
"Major production houses are turning to OTT platforms for their new releases. We have to take the giant leap and adapt. Directors, producers and even actors realize that this platform is going to be increasingly relevant," said film producer Sai Krishna.
India's streaming market is expected to grow 31% from 2019 to 2024, with revenues reaching $2.7 billion, according to consultancy firm PricewaterhouseCoopers. Cinema revenues are estimated to contract 2.6% in the same period.
Low cost and efficient mobile recharge packages, along with good internet connectivity, have permitted both rural and urban populations to consume video content at a rapid rate.
"What I have noticed also is there is a distinct change in viewing preferences in this crisis, especially in rural India, where people are seeing movies on their phones. People have turned adversity into advantage," said actor Shabana Azmi.
Yet, many Indians still yearn for the cinematic experience, and are waiting for the reopening of theater halls.</t>
  </si>
  <si>
    <t>Police drama kicks off a slate of holiday season blockbusters as India’s COVID-battered cinemas try to bring audiences back.
People wait in line to enter a cinema in Mumbai [Francis Mascarenhas/Reuters]
Published On 5 Nov 2021
5 Nov 2021
Bollywood stars are returning to India’s big screens after more than a year, with the film industry hoping that declining COVID-19 cases and the festival season will bring audiences back to the cinemas.
Sooryavanshi (Descendants of the Sun), a police drama with four of India’s top actors, is the first A-list Bollywood film to premiere in theatres since March 2020, when a strict lockdown forced all venues to close.
KEEP READING
Aryan, Bollywood star Shah Rukh Khan’s son, released from jail
A year of COVID crisis: Bollywood actress turns front-line nurse
Obituary: ‘Dilip Kumar was our chaste love’
Arrests and defamation: Bollywood in the dock in Modi’s India
Hardly any Bollywood movies have been released in theatres since then, with many producers preferring to release their films on streaming platforms like Amazon’s Prime Video, Netflix and Disney.
“It was tough to hold out for a theatrical release, but we still believe that audiences will come back to the theatres,” Shibasish Sarkar, who was group CEO of producer Reliance Entertainment during the making of the film, told the Reuters news agency.
광고
“There are some films you can’t watch at home.”
People watch a movie inside a cinema in Mumbai on Friday [Francis Mascarenhas/Reuters]
Sooryavanshi, an action-drama in the Bollywood tradition, with flashy dance sequences and muscle-bound leading men thwarting villains, was released on Friday, a day after the Hindu festival of Diwali, traditionally a big box office day.
Initially due out in March 2020, its release date was pushed back three times as India grappled with waves of coronavirus cases and authorities locked down in several parts of the country, shutting theatres.
Also debuting this week will be Eternals, the latest installment in Hollywood’s Marvel franchise, and the colourful drama Annaatthe featuring Tamil superstar Rajinikanth.
Fans excited about Annaatthe sprayed milk on posters displaying Rajinikanth’s face in Tamil Nadu’s Madurai city on Thursday as a sign of respect for the actor, who inspires an almost god-like adulation in the state.
As the industry gets back on its feet, India’s largest multiplex operator PVR is also opening an open-air, rooftop drive-in cinema – pegged as the first in the world – in Mumbai on Friday.
‘People coming back to theatres’
India’s richest state, Maharashtra, which accounts for more than 30 percent of box-office revenue, opened cinemas with restrictions only two weeks ago, as cases fell and vaccinations picked up.
Rajendra Singh Jyala, the head of programming for INOX, the country’s second-largest multiplex chain, told the Reuters news agency he expected demand to bounce back to pre-COVID-19 levels.
But the firm has consistently reported a net loss since March 2020 and Jyala said another wave of coronavirus infections and any new lockdowns could seriously hurt the already beleaguered industry.
“Producers have made money by selling their movies to Amazon and Netflix but it is the theatre owners that have really suffered,” said Shailesh Kapoor, of Ormax Media, which tracks films before and after release.
Play Video
Video Duration 26 minutes 04 seconds
26:04
Arrests &amp; defamation: Bollywood in the dock in Modi’s India | The Listening Post
India’s media and entertainment earnings fell by a quarter to $18.7bn last year, according to accounting firm EY, and most multiplex chains suffered big losses. But the industry is anticipating a rebound with theatres now back in business across the country.
Film trade analyst Komal Nahta said there was a “massive backlog” of films worth an estimated 50 billion rupees ($668m) in production costs.
“We will have at least one major film released every week,” he added.
Christmas Eve sees the opening of Reliance Entertainment’s 83, a sports biopic charting India’s first Cricket World Cup win, also delayed by more than a year.
“In 2019-20, we estimated $40m in box office numbers, which was pre-COVID days,” said Shibasish Sarkar, the former chief of Reliance Entertainment and current chair of media firm IMAC. “For the coming releases, we hope (and) wish for the best.”
In a country where going to the movies has long been a central fixture of cultural life, the pandemic’s theatre closures prompted a surge in subscriptions to streaming platforms.
US giants Netflix, Amazon’s Prime Video and Disney’s Hotstar have rushed to tap into the growth in online audiences as smartphone adoption rises.
But Jyala of INOX said cinema owners were unfazed by the competition. “People are coming back to theatres … and there are several more big titles in the pipeline.”</t>
  </si>
  <si>
    <t>Filmmaker Shekhar Kapur turns 76 today. Nephew of veteran Hindi cinema actor Dev Anand, Shekhar has emerged as one of the most noted filmmakers of the Indian film industry. However, Shekhar was discouraged by his father to enter the film industry and worked as an accountant and as a consultant for many years, until he finally listened to his call and entered the world of cinema as storyteller. Shekhar worked as an actor, a producer, but he is widely known for his direction. On his birthday we take a look at some of the remarkable movies directed by him.
SKIP
MASOOM (HINDI, 1983)
Shekhar made his directorial debut in 1983 with Masoom. The movie was an adaptation of Erich Segal’s popular novel Man, Woman, and Child and depicted the story of a married man who is affected by an incident from his past. The movie starred Naseeruddin Shah, Shabana Azmi and Supriya Pathak. Actors Jugal Hansraj, Urmila Matondkar also starred in the film as child artists.
MR INDIA (HINDI, 1987)
RELATED NEWS
Happy Birthday, Sharat Saxena: 5 Memorable Roles of the Veteran Actor
Before Amrish Puri, This Actor Was Considered For the Role of Mogambo in Mr India
Shekhar can also be credited with directing India’s first superhero film. Mr India starred Anil Kapoor as the eponymous star and Sridevi as the female lead. The movie shows how the righteous Mr India, empowered with the ‘secret device’ invented by his father, fights off evil. The superhero movie also gave Indian cinema one of its iconic villains, Mogambo, played by Amrish Puri. Mr India emerged as a runaway hit at the box office.
PROMOTED CONTENT
By 
Global leader in nanofiber tech – high performance functional textiles
Global leader in nanofiber tech – high performance functional textiles
NanoLayr
NAP® - Up to 25% Off All Product
NAP® - Up to 25% Off All Product
Nap | Trends in lifestyle
BANDIT QUEEN (HINDI, 1994)
The hard-hitting drama, featuring Seema Biswas in the lead, narrates the life of former activist and politician Phoolan Devi. The movie depicts the socio-cultural story of rural India where the caste system takes a brutal form. The movie was praised for its depiction of Phoolan’s story and established Kapur as a critically acclaimed filmmaker.
The film featured riveting performances from the supporting cast that included Nirmal Pandey, Saurabh Shukla, Manoj Bajpayee, and Gajraj Rao. Bandit Queen was selected as India’s official entry to the Oscars in 1995, however, it did not win a nomination.
ELIZABETH (ENGLISH, 1998)
The critically-acclaimed movie featured Cate Blanchett in the lead role and proved to be a gamechanger for the Australian actor. The film traces the initial years of Queen Elizabeth’s reign, highlighting the struggles faced by the British monarch. Kapur also directed Elizabeth: The
Golden Age, a sequel to the classic, which came out in 2007. Cate won her Academy Award nomination for best actress for this film.
NEW YORK, I LOVE YOU (2008)
A collection of eleven short stories set in New York, this romantic-comedy anthology boasts a stellar ensemble. One of the segments of this anthology is directed by Shekhar Kapur that focuses on the characters Isabelle, Bellhop and Jacob, played by Julie Christie, John Hurt and Shia LaBeouf, respectively. Other directors in this anthology include Mira Nair, Brett Ratner and Natalie Portman.</t>
  </si>
  <si>
    <t>All conversations and political commentary these days are focused on the 2024 national elections, and what might happen after. The chatter is about Narendra Modi, Yogi Adityanath, Prashant Kishor and Mamata Bannerjee’s coalition calculators. But forget 2024, the real year to focus on is 2025. And nobody is talking about it. It is the year the Rashtriya Swayamsevak Sangh will hit a century. And the 2024 election will pale in comparison to the celebrations and events around 100 years of the RSS.
It is not unlike the grand 100 years commemoration of the Chinese Communist Party.
The reason we are not focusing on 2025 is because too much national attention is on the Bharatiya Janata Party, Modi and Amit Shah, and not enough on the RSS. But the RSS is to Modi, what CCP is to Xi Jinping. RSS’ foremost objective is to change desh ki soch. And electoral power is just a useful handyman toward that goal.
Also Read: RSS roadmap before it turns 100: New debate on freedom struggle &amp; radical Islam, expansion
Vision board for a 100-year-old RSS
What RSS does in the run-up to 2025 and between Vijaya Dashami of 2025 and 2026 can potentially change the way the next two generations of Indians think, and how the ‘Hindu Rashtra’ organisation is perceived among the young.
Discussions about 2025 have begun, though it is still baby steps. The pandemic delayed much of this.
VDO.AI
There is now an effort to begin collecting the institutional histories of all the Sangh groups — around 90 by some estimates including religious, educational, national security and tribal organisations — and achievements, goals and personalities associated with each of them.
Over the next five months, different Sangh organisations will conduct a series of meetings all over India, both at the level of geographical units and the institutions, to deliberate on the question of how best to observe and celebrate RSS 2025. By October 2022, all these inputs will be taken up by national units. Each organisation will also set a growth target for 2025. For example, the RSS right now conducts around 52,000 shakhas today. They would probably aim to double that by 2025.
Also Read: RSS’ new team has a message for the BJP
Numbers se narrative tak
How is the RSS going about creating this new desh ki soch ahead of 2025?
The thinking in the RSS for some time is that even though they have the bahumat numbers, they still don’t have the grip on the narrative. That the opinion makers are dominated by liberal or progressive thinking, and are easily able to set an international narrative against Citizenship (Amendment) Act, abrogation of Article 370, farmers’ agitation, Hathras, etc. That, despite ruling from Delhi since 2014, Hindutva groups haven’t percolated these opinion-creating ‘spaces’.
So the run-up to 2025 will be a journey of ‘numbers se narrative tak’. And that is a deeper, longer-term ideological project.
Toward this goal, there is a move to consolidate content creation through books, school curriculum, films, exhibitions, documentaries and forging an ecosystem of ‘independent’ intellectuals. Mohan Bhagwat’s comments on the OTT universe and Adityanath government’s invitation to the movie industry to come to Uttar Pradesh are all an acknowledgement of the power of capturing cultural content.
A number of these projects, overseen by committees consisting of RSS sympathisers, will bear fruit next year around the 75th year of India’s Independence. Two museums are planned near the Red Fort area – one on Subhas Chandra Bose and the other on Kashmir. There is also a 75-episode TV series called Swaraj for Doordarshan. But it won’t just dish out the regular anti-colonial struggle seen through the roles of Gandhi, Jawaharlal Nehru and Bal Gangadhar Tilak, but also of civilisational greatness and uprisings. Proposed changes in history textbooks are another move.
Also, much was made of the meeting of media editors with Mohan Bhagwat recently, but not too many took note of his meeting with around a dozen book publishers a couple of months ago. The goal is to publish more books on Indian history, unveil stifled histories and historical personalities.
One ongoing effort is to create around 1,000 educated ‘organic’ Dalit influencers (not social media) and work with them in a way that Hathras-like anti-BJP narrative doesn’t gain ground in the future.
Also Read: RSS doesn’t run BJP by remote, it isn’t a school principal regulating BJP leaders as students
Evolution from Emergency to 2025
The RSS has gone through several phases in its 100-year history. From the Gandhi assassination fallout and the ban to the setting up of Bharatiya Jana Sangh in 1951 to Emergency. The period between 1975 and 1995 was one of rapid growth; then in 1998, when Atal Bihari Vajpayee became the first pracharak prime minister; then post-2014.
“Gandhi murder threw us 20 years behind, Emergency pushed us forward by 20 years,” former sarsanghchalak Balasaeb Deoras used to say.
In fact, RSS leaders like to say that their philosophy can no longer be dismissed as the fringe or alternative intellectual discourse of India. The Overton window is already shifting the intellectual axis. Much like the ‘Congress system’, the RSS now must also create its own. Cultural and intellectual ground must now align itself with political power.
Politics is as much about capturing intellectual spaces and vimarsh as winning elections. But much of Indian political commentary is compulsively and chronically stuck in party politics, intrigue and election analysis. While we look away and scatter our energy, the RSS is quietly going about its ‘Changing-India’ project.
Of course, the cumulative benefit of all this narrative-setting will also go to BJP. Although the RSS likes to call itself a ‘socio-cultural organisation’, its fallout on the political structure of the country is certain.
Rama Lakshmi is the Opinion and Features Editor at ThePrint. She tweets @RamaNewDelhi. Views are personal.
(Edited by Srinjoy Dey)
Subscribe to our channels on YouTube &amp; Telegram
Why news media is in crisis &amp; How you can fix it
India needs free, fair, non-hyphenated and questioning journalism even more as it faces multiple crises.
But the news media is in a crisis of its own. There have been brutal layoffs and pay-cuts. The best of journalism is shrinking, yielding to crude prime-time spectacle.
ThePrint has the finest young reporters, columnists and editors working for it. Sustaining journalism of this quality needs smart and thinking people like you to pay for it. Whether you live in India or overseas, you can do it here.</t>
  </si>
  <si>
    <t>With theaters shut down for the second time and film, TV and streaming projects on hold, the damage caused by the latest COVID wave is taking a heavy toll in the country: "The current crisis is worse than last year."
BY NYAY BHUSHAN
Plus Icon
MAY 10, 2021 9:04PM
radhe covid
A theatre displays posters of the upcoming Bollywood movie 'Radhe,' scheduled to be released on May 13 amidst the Covid-19 coronavirus pandemic in the country. NOAH SEELAM/AFP VIA GETTY IMAGES
Share this article on Facebook
Share this article on Twitter
Share this article on Email
Show additional share options
The devastating second wave of the COVID-19 crisis in India has turned many sectors of the local economy upside down, including the country’s storied entertainment industry, which was still reeling from the effects of last year’s first wave of the pandemic.
India is currently the epicenter of the global COVID-19 pandemic, with the country accounting for over 3.7 million active cases while the total death toll has crossed 246,000. In the first week of May, a World Health Organization report stated that India accounted for 46 percent of new cases recorded worldwide and 25 percent of deaths.
As the second most populous nation on earth, with over 1.3 billion people, the ongoing crisis has overwhelmed the country’s medical infrastructure, leading to a humanitarian crisis.
Related Stories
Robert Pattinson Lily Collins Ewan McGregor Split
GENERAL NEWS
How Celebrities Are Joining Relief Efforts for India During COVID-19 Crisis
Ariana DeBose as Anita in 20th Century Studios’ WEST SIDE STORY.
MOVIE NEWS
'West Side Story' Banned in Saudi Arabia, Other Gulf Nations
In recent months a host of Indian celebrities have also tested positive, including Aamir Khan, Alia Bhatt, Ranbir Kapoor, Vicky Kaushal, Bhumi Pednekar and Deepika Padukone, who underwent treatment. Tragically, there have also been some fatalities among the esteemed elder corps of Bollywood, such as actor Bikramjeet Kanwarpal (whose credits include the spy drama Special Ops on Disney+ Hotstar), veteran composer Shravan Rathod and classical music icon Pandit Rajan Mishra.
Lazy loaded image
Bollywood stars such as Aamir Khan, Alia Bhatt and Deepika Padukone have all recently tested positive for COVID-19. LINTAO ZHANG/GETTY IMAGES; PASCAL LE SEGRETAIN/GETTY IMAGES; ANTHONY HARVEY/GETTY IMAGES
While cinemas gradually began to open in October with limited seating and film shoots resumed, the devastation caused by the ongoing second wave since March has now brought everything to a halt. The wildly popular cricket event Indian Premier League, which has been a massive streaming success for Disney+ Hotstar, had to be suspended mid-season due to the pandemic. Brief attempts to keep India’s most beloved game going amid the carnage of the new wave was met with widespread criticism over the resources used to protect wealthy and healthy players, prompting organizers to agree to a full, ongoing shutdown.
“Everyone is making plans and contingencies based on an assessment of when things will open up, but there is no way of knowing that,” Producers Guild of India president Siddharth Roy Kapur tells The Hollywood Reporter. “It’s a bit like drawing up plans on the beach and then the waves come and wash them away before you know it.”
Kapur says nearly every major Indian film production is on hold following the implementation of lockdowns in April in the western state of Maharashtra, home to the country’s entertainment epicenter, Mumbai. While some shoots, mostly for television shows utilizing indoor sets, temporarily shifted base to other states such as Goa, the severity of the second wave has brought things to a standstill across regions. Many major cities also are imposing curfews and lockdowns, including the national capital Delhi, a popular shooting location but currently the pandemic’s worst-hit major population center.
Kapur, who was earlier head of the Walt Disney Co. in India, now runs his own banner, Roy Kapur Films, which has seen a number of its projects suspended. The disruption to the company’s films and series is “being mirrored all over the industry,” he says.
Similarly, Amazon Prime Video’s debut Indian feature co-production, Ram Setu, starring superstar Akshay Kumar, is currently on hold. In early April, Kumar tested positive and was briefly hospitalized but recovered soon after.
With shoots stalled, daily wage workers employed in various capacities in film and TV crews have been hit especially hard. Last year, the Producers Guild launched a relief fund for workers which also saw Netflix contributing $1 million. Kapur says the Guild is again reaching out to its members to raise funds. While the Guild has yet to release figures, it is estimated that over last year and this year, the relief fund has raised about $2 million.
Meanwhile, as the country embarks on a massive vaccination drive — over 170 million doses have been administered so far — some corporate entities in the industry are stepping in to assist the government’s lagging public health efforts. Leading production banner Yash Raj Films announced that it would pay for the vaccination of 30,000 members of the Federation of Western India Cine Employees. The company has sent a letter to Maharashtra chief minister Uddhav Thackeray to  allow it to purchase vaccines.
In addition, YRF’s Yash Chopra Foundation will initiate a direct benefit transfer of $68 (5,000 rupees) to women and senior citizens of the industry and distribute ration kits to workers for a family of four for an entire month through non-profit organization Youth Feed India.
The Walt Disney Company India and its Star network announced it would contribute $6.8 million for local Covid-19 relief efforts, building upon the $3.8 million it contributed last year.
When it comes to the financial impact of the pandemic, analysts estimate that 2021 could be even more dismal than 2020. According to an annual report by consultants Ernst and Young, total revenue for India’s media and entertainment industry — covering all sectors including film, digital, TV, music, print, animation and gaming, among others — fell by 24 percent in 2020 to $18.7 billion (1.38 trillion rupees) compared to $24.7 billion (1.82 trillion rupees) in 2019 — “in effect taking revenues back to 2017 levels.”
The television industry saw its total revenues falling moderately to $9.3 billion (685 billion rupees) from $10 billion (787 billion rupees) in 2019. However, digital saw a boom with video subscriptions jumping to $575 million (42.2 billion rupees) from $384 million (28.2 billion rupees) and EY predicts this figure could reach $763 million (56 billion rupees) in 2021.
Lazy loaded image
People refill medical oxygen cylinders for Covid-19 coronavirus patients at an oxygen refile station in Allahabad on April 20. SANJAY KANOJIA/AFP VIA GETTY IMAGES
But the film business was the worst hit with 2020 revenue crashing by more than half to $1 billion (76 billion rupees), compared to $2.6 billion (191 billion rupees) in 2019.
“The current crisis, from a cash flow and bottom line point of view, is worse than last year for the industry,” Reliance Entertainment CEO Shibashish Sarkar tells THR. “A substantial amount of cash which got invested in new projects is stalled. In terms of working capital locked and lack of monetization, the situation is worse than last year.”
With cinemas shut for six months in 2020 starting with a two-month long national lockdown imposed last March, a slew of releases skipped theatrical release and went straight to digital as producers scrambled to supplement revenue. As restrictions for public spaces were gradually eased and cinemas began reopening from October, the box office seemed to slowly recover, thanks largely to some South Indian language hits such as Tamil title Master, which collected an estimated $33 million (2.5 billion rupees) and Telugu release Krack, which grossed an estimated $8.15 million (600 million rupees). Hollywood also pulled in audiences with Godzilla vs Kong collecting $8.7 million in its two week run when it opened in late March, making India amongst the top-ten foreign territories for the Warner title.
The theatrical industry saw a ray of hope from October until early April this year when the second wave hit and cinemas shut down again until further notice. The successes seen in these months “reinforced our faith in the Indian theatrical business,” Inox Leisure CEO Alok Tandon tells THR. As India’s second-largest multiplex chain after PVR Cinemas, Inox runs 648 screens in 69 cities. Tandon is confident that when cinemas re-open, Hollywood titles like Top Gun: Maverick, No Time to Die, Mission: Impossible 7 and big ticket Indian releases will bring audiences back. “If the content works, people will come back to theaters,” he says.
In the brief window when cinemas did reopen, mainstream Hindi language Bollywood didn’t see any major performers, since highly anticipated titles such as actioner Sooryavanshi, starring veteran Bollywood star Akshay Kumar, and cricket drama 83, both from Reliance, have been on hold for over a year.
Sarkar can’t confirm when these titles will release in cinemas given the ongoing situation but says “we are extremely confident of the product and whenever they come to theaters, audiences will love them.”
The enormity of the pandemic has also led to digital releases being postponed. Director Rakeysh Omprakash Mehra’s boxing drama Toofan, starring Farhan Akhtar, was headed straight to Amazon Prime Video, eyeing a May 21 bow, but its release has now been put on hold. “In light of the severity of the situation, our focus is completely on the pandemic and on supporting our employees, their families and in helping the wider community,” Akhtar said in a statement, adding that a revised release date would be shared later.
Lazy loaded image
‘Toofan’ EXCEL ENTERTAINMENT/AMAZON PRIME VIDEO
With the traditional film business under a cloud, producers have begun to veer towards creating more digital content. Sarkar says that for Reliance, “not just last year but over the last two or three years, we used to be around 90 percent in films, which has now come down to 60-65 percent while 30-35 percent content is for OTT and television.” Reliance also has an animation unit that produces shows such as Little Singham for Discovery Kids, Smashing Simba for Cartoon Network and Golmaal Junior for Nickelodeon. Unlike other productions, Sarkar says animation projects have been ongoing since last March just when the pandemic first hit “and employees were given hardware, software and proper bandwidth to work from home.”
But the current halt in productions could also affect content pipelines for digital platforms if last year’s figures are any indication. According to the Ernst and Young report, 2020 saw OTT players spending over $138 million (10.2 billion rupees) on creating around 1,200 hours of original content across 220 titles (excluding acquired movie rights and sports) which was a reduction of 27 percent from $190 million (14 billion rupees) in 2019 for around 385 titles. The reduced content spend in 2020 was caused by a five-month stoppage of productions.
However, last year also saw digital platforms ramping up their acquisitions of film titles, with Amazon Prime Video India first off the block when it picked up a number of films starting with Gulabo Sitabo toplined by Indian screen icon Amitabh Bachchan co-starring with Ayushmann Khurrana. This obviously led to a furious debate over disrupted release windows which has become even more pronounced this year.
For instance, the much-awaited title Radhe: Your Most Wanted Bhai starring Salman Khan announced a simultaneous release on digital, via the Zee5 platform, in addition to cinemas, and is slated to premiere on the May 13 Eid holiday weekend.
The situation obviously upset cinema owners who were banking on Khan’s mass appeal to bring in crowds, though given the ongoing situation, its highly unlikely if cinemas can actually open this month leaving Radhe to bow on digital, as experts warn that India could well be hit with a third wave of the pandemic at some point. Assuming a theatrical release was possible, Tandon is clear that his cinemas would not have run Radhe as a simultaneous release “because Inox believes that theatrical windows should be followed.”
Streaming giants, however, see things differently. “A year ago I told you there will be several disruptions leading to innovations, and at that time there was no evidence of any of this except for the fact that we had a lockdown,” says Amazon Prime Video India director and head, content, Vijay Subramaniam, referring to a statement to THR last year after the company unveiled a slew of acquisitions. “I continue to hold that view very firmly and what you are seeing is disruptions leading to innovative approaches to windows,” he adds, explaining how box office hit Master released on Amazon just two weeks after its theatrical run in January, as opposed to the traditional six to eight-week window in pre-pandemic times.
But the disruption in windows has come at a heavy price for cinemas considering India has always been an under-screened market with only about an estimated 9,000 screens. That number is believed to have fallen further with estimates indicating that about 1,500 single-screen cinemas had to shut shop over the last year due to the pandemic.
Tandon says that it is difficult to assess how many cinemas closed and he reckons that “not more than 500-600 single-screen cinemas have shut and this is by hearsay since we don’t have any official data.” But he points to the South Indian market, which has more single screens “which did very well [with local titles when cinemas opened].”
However, even a publicly listed multiplex chain like Inox had to take a hit in the 2020 financial year which ended on March 31, 2021. The company’s total revenue dropped sharply to $16.1 million (1.19 billion rupees) from $260 million (19.14 billion rupees) in the previous financial year. Despite the setback, Tandon says Inox still “has a strong balance sheet” and pointed to the promoter’s stake, held by a mix of holding companies and individuals, which was reduced to about 47 percent from 52 percent.
The financial restructuring also saw massive cost-cutting, with Tandon noting that monthly expenditures fell from about $11.5 million (850 million rupees) to $1.63 million (120 million rupees) last year. When cinemas were reopened, costs went up to between $3.4 million-$4.0 million (250 and 300 million rupees), “but the endeavor is to bring it down further.”
As the Indian entertainment sector continues to deal with the impact of the pandemic, there could be opportunities in identifying assets and companies for takeovers for recently launched International Media Acquisition (IMA) Corp., a New Jersey-registered company of which Sarkar is CEO and leading shareholder. IMA is set up as a Special Purpose Acquisition Company (SPAC), often called “blank-check companies,” which have no commercial operations and are formed strictly to raise capital through an IPO for the purpose of acquiring an existing company. IMA plans to raise $200 million-$230 million on the NASDAQ exchange within the next 12-18 months and has plans of targeting acquisitions in North America, Europe and Asia. Its management team includes the likes of David Taghioff, the former co-head of CAA’s global client strategy department who now heads Library Pictures International, Greg Silverman, former president of creative development and worldwide production at Warner Bros., who now heads Stampede Ventures, and former Disney India executive Vishwas Joshi, among others.
With India being a focus area for IMA, Sarkar explains that “there are businesses which look like they are available at interesting valuations and we definitely have an idea about the business fundamentals without factoring in the impact of the pandemic. So even if the business is not performing well because of COVID-19, we can assess if the fundamentals are strong.”
Once IMA Corp starts its operations, Sarkar says he will be relinquishing his position at Reliance to focus full time on running the SPAC outfit. Owned by the Reliance-Anil Dhirubhai Ambani Group, Reliance Entertainment also holds a minority stake in Amblin Partners.
Beyond just the impact on balance sheets, the pandemic is also leading to a re-assessment on the technical and creative fronts. “Cloud computing is going to facilitate in a big way” says Subramaniam, adding that he believes the use of CGI will be pressed into service even more “because you have learned the importance of protecting yourself against such forces of nature and you have to be smart about using technology even more. It will be a big mindset change to look at technology in a friendlier manner.”</t>
  </si>
  <si>
    <t>The actor speaks to My Kolkata about working in six languages, her first single, her Bengali films and much more
POOJA MITRA | PUBLISHED 06.12.21, 03:27 PM
Shraddha Das has worked in six film industries in her almost decade-long career
Shraddha Das has worked in six film industries in her almost decade-long career
@ShraddhaDas/Facebook
Shraddha Das made her debut in 2010 with the Hindi film Lahore, which bagged awards at not only the 57th National Film Awards, but also the 42nd WorldFest-Houston International Film Festival. She was in college then. Since then, she has carved her own niche — working in six film industries in her almost decade-long career. A Bengali by birth and at heart, the Babumoshai Bandookbaaz and Sleeper Cell actor was born and brought up in Mumbai. Balancing both commercial success and critical acclaim, Shraddha is a strict believer in “discipline and hard work”.
In a candid chat with My Kolkata, the actor talks about her work experience with Bollywood icon Nawazuddin Siddique, her workshop experience with National School of Drama stalwarts, her camaraderie with Bengali film industry colleagues Abir Chatterjee and Jeet, and her upcoming projects. Over to Shraddha…
ADVERTISEMENT
My Kolkata: You are Bengali by birth. Tell us about your Bengal connection…
Shraddha: My strongest memory of Bengal is from my childhood vacation days in my father’s native village of Gobindpur in Purulia district — enjoying and playing to my heart’s content. However, my subsequent visits to Kolkata have always been for work.
You are a singer and an actor. How did the singing happen?
 (Chuckling) As you know, in a Bengali family everybody sings, and my parents and brother are fabulous singers. I was a studious child and it was only on my mother’s insistence that I took up singing and started performing in several Mumbai auditoriums to overcome stage fright. I gradually began to enjoy it and became a regular performer at shows. I started earning at a very young age.
You were spotted by the late Dev Anand. Is that how the calling for acting came?
Photographer Harish Daftary showed my photographs to Dev Anand sir and that’s how he selected me for the movie. Unfortunately, the film did not release due to his sudden demise. However, that is how my acting career began, and I thought, ‘Oh, I look good as well!’ (laughs). But I strongly believe that knowing your craft well is primary and I trained under stalwarts from the National School of Drama (NSD).
Speaking of that, how did the workshops with NSD icons like Piyush Mishra and Chittaranjan Giri happen?
My first movie was the National Award-winning Lahore. Piyush Mishra sir was working on the movie at the time and they had signed a Pakistani actress who could not come due to visa issues. That is when they saw me. Piyush sir auditioned me and then I had a few workshops with him as well as actors like Salim Shah and Chittaranjan Giri.
How was it meeting Dev Anand?
I met him three-four times. My parents are big fans of his. He was amazing and was also going to make me sing a song in the film with Anu Malik as the music director. I sang in front of him and he loved it! I am so glad that I could meet him in the last few years before he passed away.
From 2007 till date, your journey has brought you both critical and commercial success. How do you reconcile them?
Both make me happy and I want both in every film or web series I do, as they are equally important. I have had a long and difficult journey. I am glad that I am still working after so many years and in so many languages. However, it was tough and I needed a lot of courage to keep going. I think I have worked in 40-45 films and working in multiple languages makes me more secure as an actor with several and simultaneous releases.
As an actor, I give my best. I learn my lines by heart. For every project, I request the director to assign an assistant director with whom I can work on the dialogues and the pronunciations. I convert the dialogues into Hindi and English, then repeat the lines to myself till I deliver them proficiently.
I was a complete nerd in school and very good at memorising, which is now helping me a lot! (Laughs) However, in my opinion, I learnt the most on sets and from my experiences in life.
What is the project selection process like, now, after so many years in the multiple film industries?
After so many years, I have become extremely selective. My focus is on the script, and also if it is something that I would want to watch. I have a very short attention span of just about five minutes. If I don’t like it in five minutes, I switch. So, I do see to it that the project has that grappling hook along with who the director is and what my role is like.
I have always made my own decisions and learnt from them. I really love going to the set and playing a new character. It does not matter which language it is because I enjoy the process. And, working in multiple languages gives me a large audience base.
Throw some light on the experience of working with Nawazuddin Siddique in Babumoshai Bandookbaaz?
I remember meeting Nawaz on the set the first day and he was sitting on the ground. He seemed so normal that I was taken aback! Whenever we have spoken, it has been chilled out and casual. It’s the same with Jeet and Abir…
How did you start working in Bengali films?
I had worked in a Bollywood film called Dil Toh Bachcha Hai Ji (directed by Madhur Bhandarkar), in which I met the casting director of my debut Bengali film, Royal Bengal Tiger. He referred me to the Rajesh sir (director Rajesh Ganguly). I had to work extensively on the language and after multiple workshops, I came on board. I am glad that I could work with both Abir (Chatterjee) and Jeet in my first Bengali film. Later, I worked in Badsha: The Don and Panther: Hindustan Meri Jaan.
Do you remember any fun anecdotes while working with Abir or Jeet?
(Laughing) I remember coming to Kolkata after a really long time to shoot for Royal Bengal Tiger. On a day off, I went to have sweets but not from a traditional local shop. On my return, thinking that I had done a great job, I proudly announced it, as if I had done a cool Bong thing! Abir pulled my leg so much about it!
Tell us something about your Bengali OTT release Sleeper Cell.
Two episodes are already out on Mojoplex, a new platform. Sleeper Cell is directed by my Panther director Anshuman Pratyush. I play the role of a CID officer called Nandita and I have worked very hard for the character. I even knew the lines of other characters and details of every scene.
For the role, I had a lot of references. I studied Shefali Shah in Delhi Crime and Robin Wright in House of Cards to get the body language and other nuances right. Anshuman was in for a surprise. We shot eight to 10 scenes in the first day itself and from there it was just amazing. It is one of my most cherished roles and I have learnt a lot about myself as an actor while playing the character.
Shraddha Das in the Anshuman Pratyush-directed OTT series ‘Sleeper Cell’
@Mojoplex/YouTube
What can the audience expect from you in the coming days?
My Kannada movie Kotigobba 3, directed by Kichcha Sudeep sir, which was a superhit in theatres just released on Amazon Prime. My next is Arrdham in Telugu, Tamil, Kannada and Malayalam with actor Mahendran from Master.
Any plans of releasing a single or music album?
Shraddha: I have already sung and shot for a single. It is called Sohbat and will be released soon. I had also gone on an American tour of Telugu songs with Devi Sri Prasad, a popular musician and composer from the South.</t>
  </si>
  <si>
    <t>India's film industry is set to take off after covid-19 pandemic with more than 100 film releases slated over the next four months. Let us take a look at what is playing in the industry's favour
Topics
Indian film industry | Coronavirus | film industry
Team TMS  |  New Delhi 
Last Updated at October 14, 2021 19:24 IST
Follow us on Tiny URLAdd to My PagePrint Email
bollywood
ALSO READ
Tokyo Olympics 2021 opening ceremony, full schedule, live telecast in India
Tokyo Olympics 2021 highlights: Opening ceremony concludes at Tokyo Stadium
Recovery dims for film exhibition biz in April amid fresh Covid-19 curbs
PVR, Inox hit 52-week high as theatres to reopen in Maharashtra from Oct 22
Big screen battles
After one-and-a-half years, theatres across India have started reopening with confidence, as more and more states are lifting restrictions. India is by far the world’s largest producer of films, with around 1,800 releases every year in several languages.
In a booster shot for the industry, about 100 films are expected to be released in the next four months, coinciding with the festival season. Movie releases that were delayed because of the pandemic are hitting the big screens.
Last week, the Maharashtra government allowed cinema halls to reopen from October 22 with 50% seating capacity. The state largely determines the commercial success or failure of Hindi movies as it is the biggest market for Bollywood, accounting for around 30% of its all-India box-office revenues. It is also home to one-fifth of India’s 3,200 multiplexes.
Once the cinemas in Maharashtra resume operations, it means that nearly 97% of the country’s total movie screens will be open. Most states have allowed cinemas to operate with 50% occupancy to ensure social distancing. But some states like Karnataka, Telangana and Rajasthan are allowing 100% occupancy in theatres.
According to the Multiplex Association of India, the releases in the next three months will help box office collections hit around Rs 6,000 crore this year, compared with a dismal Rs 2,000 crore last year as movie halls were closed from March. The collections are expected to reach Rs 10,000 crore next year, the same level as in 2019.
PVR Pictures CEO Kamal Gianchandani said there had been a 25% increase in the number of movie release when compared with the pre-Covid time. There was going to be at least one potential blockbuster every two weeks in Hindi.
What reinforces the confidence of the industry is that India’s largest cinema chain PVR plans to add 40 screens across the country in this financial year, matching its pre-pandemic level of expansion. Rival multiplex operator INOX Leisure is looking to add 20 screens by March next year.
According to a report by Ernst &amp; Young, India had around 9,527 screens in 2019. Out of these 6,327 were in single-screen theatres and 3,200 multiplex screens.
However, last year saw the steepest drop in the number of single screens, with 1,000 of them estimated to have permanently shut down due to the impact of the coronavirus lockdowns.
Even in the past few months, several producers had opted to directly release their films on streaming platforms as crowds were hesitant to return to theatres. But that may be about to change as India’s aggressive vaccination drive is playing favourably for the industry.
With 70% of the country’s adult population partially vaccinated, and 25% fully, theatre owners are positive about more people safely returning to theatres.
The success of the film industry this year, however, hinges on there being no third wave of the pandemic. Theatres are hoping for a turnaround, especially after a good response to Daniel Craig’s final James Bond movie No Time to Die. The film was released on 30th September after a delay of nearly two years. Cinemas generally are anticipating brisk business, and producers have lined up several releases for Diwali and Christmas.</t>
  </si>
  <si>
    <t>BHOPAL: Film aficionados of Bhopal have a reason to rejoice. Even as Bollywood films are now releasing with Covid curbs being eased, Bharat Bhavan has organised Ekagra Film Festival for all those, who value the classics by some of the all-time greats of Indian film industry.
The six-day festival begins on November 26, and will showcase some rare gems bye Satyajit Ray, Basu Chatterjee, Shyam Benegal, Hemen Gupta, Peter Brook and GV Iyer. The entry is free for all.
Each day, the audience will get to enjoy a unique cinematic flavour by a different filmmaker at 6 pm, except for November 28 when the film will be shown at 2pm. Shikhar Sahu, a budding theatre actor, said, "I have seen most of these films on TV years ago. But now I will watch them as a student of acting on a bigger screen, along with some of my friends.
Every film being shown at the festival, including Rajnigandha or even Shatranj Ke Khiladi is like a practical class on various aspects of filmmaking -direction, sets, subtle and realistic style of acting. I will watch each film and absorb everything like a sponge and store it in my memory forever."
Here, the audience will also get to enjoy a glimpse into the world cinemawith Peter Brook's Mahabharata, which is based on celebrated Indian epic and treated with great sensitivity. Madhura Gupta, a film enthusiast said, "I want my college-going sons to watch this particular Peter Brook movie. It is really awe-inspiring that world cinema space finds our epics interesting."</t>
  </si>
  <si>
    <t xml:space="preserve">Starting with Aamir Khan’s ‘Laal Singh Chaddha’ that is scheduled for April, the company will bring out a slate of films in partnership with Karan Johar’s Dharma Productions.
3 min read . Updated: 06 Dec 2021, 03:35 PM IST
Lata Jha
Viacom18 Studios is looking to scale up investments in content along with its sister company Jio Studios with the aim to make 50 projects per year between the two, comprising feature films as well as content for streaming services
Listen to this article
New Delhi: After a nearly four-year hiatus from backing high-budget Hindi films, Viacom18 Studios, the movie production arm of Viacom18 Media Pvt Ltd, is back to making tentpole Bollywood films. </t>
  </si>
  <si>
    <t>Andhra Pradesh’s government-run online ticket booking system is expected to minimise tax evasion in the Telugu movie industry, known as Tollywood, that generate revenue of over ₹1000 crore every year (pre-Covid-19).</t>
  </si>
  <si>
    <t>With theatres likely to remain shut until May 15 in most parts of the country, the picture is grim for the entire film industry which bets big on theatrical revenue that forms major part of a film's earnings.
 MARYAM FAROOQUI APRIL 30, 2021 / 11:00 AM IST
Salman Khan-starrer Radhe is the first big budget Bollywood venture releasing in international markets in 2021 [Image: Instagram/dishapatani]
Salman Khan-starrer Radhe is the first big budget Bollywood venture releasing in international markets in 2021 [Image: Instagram/dishapatani]
From being allowed to operate at 100 percent in February to shutting shop from April 14 onwards, Indian cinemas are struggling with uncertainty once again.
With theatres likely to remain shut until May 15 in most parts of the country, the picture is grim for the entire film industry which bets big on theatrical revenue that forms a major part of a film's earnings.
According to analyst Karan Taurani, who closely tracks the media and entertainment space and is Vice-President, Elara Capital, first half of this year will be a write-off and the recovery is expected from September onwards.
"Now, instead of 25-30 percent decline which was estimated on the back of 2021 being a good year for the film business, it will be 60-70 percent decline versus the pre-COVID-19 period," he said.
Box office collections of 2021 releases like south superstar Vijay's Master and Hollywood venture Godzilla vs Kong gave strong hopes of recovery. While Master registered a lifetime collection of over Rs 200 crore worldwide, Godzilla vs Kong minted around Rs 46 crore in India.
COVID-19 Vaccine
Frequently Asked Questions
Show
RELATED STORIES
  COVID-19 Vaccine Tracker: Over 79.39 lakh jabs given on December 6 
  Munawar Faruqui removed from Gurgaon Comedy Festival; BJP files fresh complaint 
  Coronavirus Update | Daily COVID-19 cases in India lowest in 558 days 
In addition to box office successes, the movie calendar looked strong with Yash Raj Films (YRF) announcing release dates of five tentpole films. Other film studios and producers followed suit and announced release dates of ventures like Ranveer Singh-starrer 83, John Abraham-starrer Satyameva Jayate 2, among others.
But, now the movie calendar has gone for a toss.
"All release dates are going to be postponed indefinitely and there will be a fresh calendar unfolding," said Taurani.
Bollywood in a bind
While the entire film industry is taking a beating due to the spike in COVID-19 cases, the impact on Hindi films or Bollywood will be more.
This is because Bollywood delayed releases despite theatres being allowed to reopen since October 2020.
"During January-March , when theatres opened up, and many big films were releasing in Tamil, Telugu and Kannada, Bollywood did not release any films, hoping for the scenario to get better. So, there was no revenue to speak of, except Roohi and Mumbai Saga. The total collections of all Hindi films in 2021 so far are just about Rs 50 crore," Shailesh Kapoor, CEO, Ormax Media, a media consulting firm, told Moneycontrol.
He further said, "With the more severe second wave now, it will take a few more weeks, if not months, for big films to release in Hindi. In Tamil and Telugu, a producer has to worry about the COVID situation in only one state. But in Hindi, a producer has to worry about the national market. No film can have a proper release if theatres are not running in a big market like Maharashtra or Delhi."
For Bollywood, Girish Johar - producer and film business expert - estimates around Rs 3,000 to Rs 4,000 crore loss in 2021.
This is a big blow to the Indian film industry because Hindi films contribute 43 percent of the overall box office revenues, according to an EY 2020 report.
Furthermore, not much is expected from overseas markets this year as well.
Johar believes Bollywood will not see strong traction because it isn't offering big films.
While Taurani thinks that international markets will be a differential factor in 2021, he said that currently movie going is restrictive in many countries. "So, even overseas, the collections will be 40-50 percent down versus pre-COVID-19 despite it (Radhe) being a large film outing."
Salman Khan-starrer Radhe, which is the first big budget Bollywood venture releasing in international markets in 2021, is scheduled to release on May 13. The film will simultaneously release in theatres worldwide as well as on over the top (OTT) platform ZEE5 with Zee Plex, the pay per view platform.
Direct to digital releases a concern
With theatres likely to remain shut in major markets till May 15, release of Radhe will be a non-event for cinemas, said Taurani.
After Radhe, Taurani expects one more large film to go to OTT directly.
But, there are concerns around direct to digital releases in 2021.
All release dates are going to be postponed indefinitely
- KARAN TAURANI
"The issue will be about being able to get the right price. All OTT platforms do not want to pay a premium for theatrical films, and producers may expect prices to match their expected theatrical revenues in a pre-COVID scenario. So, negotiations may not go through for all big films."
While producers of Radhe, Salman Khan Films (SKF) have got a viable deal with ZEE5 paying over Rs 200 crore, said Johar, it is unlikely for all big films to strike such deals, the experts said.
"OTTs have a limited budget. They have made bad decisions in the past year. So, they are being selective. Producers who want to go to OTT want a premium. So, it is difficult to go to OTT as well," added Johar.
While big films may wait for a theatrical release, Kapoor said that medium-scale films will definitely make it directly to OTT. "One can expect about 10-15 such Hindi films on OTT in the next three to four months."</t>
  </si>
  <si>
    <t xml:space="preserve">I was in third grade when I first heard my Islamiyat teacher in school declare "All Hindus will go to hell." 
As a writer who has written extensively about religious minority rights in Pakistan and explored the role education can play in demonizing these minorities, I am no longer surprised by the statement. 
Many have pointed out the anti-Hindu bias in the current Pakistani education curriculum. Unfortunately, the situation on the other side of the border is not much better, with anti-Muslim discourse finding its way into the Indian education system. 
But these are all points I was unaware of as a child. I just remember finding the statement hard to believe. 
Punjabi movie filmed in Metro Vancouver breaks box-office records in India
FIRST PERSONIs Asian identity even a thing? Who cares, pass the popcorn for K-drama
So, I raised my hand and asked innocently, "All Hindus? Even Amitabh Bachchan and Kishore Kumar?" 
Growing up in Lahore, Pakistan in the late '80s and '90s meant growing up with the Indian film industry. 
Back then, Bachchan was the biggest Indian film actor at the time — worshipped in India and Pakistan alike — while Kishore Kumar was a playback singer who sang for many Bachchan's movies.
Technically Bollywood films were banned in Pakistan but they were everywhere. You could rent out the video cassettes wrapped in brown envelopes. If you didn't have a VCR, you could also rent one for the night.
Like most other Pakistanis of that time, I grew up with Bachchan and Kumar in my home. They were not the other, unknown, Hindu population of India, but rather the Hindu celebrities whom I loved. I could not imagine them going to hell, but my teacher disagreed. 
"Yes, they too," she said. 
Bollywood icon Amitabh Bachchan stands besides a painting of himself during birthday celebrations in Bombay October 13, 2003. Bachchan is an Indian film superstar whose films Haroon Khalid grew up watching in Pakistan in the '80s. (Reuters)
As an adult, my relationship today with the Indian film industry is more complicated — especially now that I have immigrated to Canada.
I still thoroughly enjoy Indian films and am eager to catch new releases. In fact, in some ways my relationship with Bollywood has strengthened since moving to Canada. They become a way for me to connect with my childhood, my family, and even Pakistan.  
This connection was deepened during the COVID lockdowns. My Friday evenings were and still are reserved for Indian films. The sights and sounds of movies shot in Delhi, Mumbai or other cities of India take me right back to my home in Lahore, or remind me of Karachi and other smaller cities in Pakistan. 
Amarjeet Sohi elected Edmonton's first mayor of South Asian origin
VIDEOSaskatchewan musician Tesher launches music video with Jason Derulo as 'Bollywood Hollywood duo'
All of these characters are people I know or people I miss. They aren't strangers, but family members, friends or people on the street with whom I would interact with when I was in Pakistan. 
Both countries, especially the northern states of India, share common languages like Urdu and Punjabi, as well as similar style of dress and shared culture, in addition to a significant Muslim population in each country. So these movies dilute all borders for me — between India and Pakistan, and between Canada and Pakistan. 
But in recent years, particularly with the rise of Hindu nationalism in India, there has been a spike in hate crimes in the country. At the same time, there has been a shift toward incorporating Hindu nationalist discourse within the film industry. 
Several recent films have perpetuated images of the indoctrinated terrorist (Qurban) or the Muslim courtesan who comes between a married Hindu couple (Bajirao Mastani). 
Police officers stand outside a theatre after the release of Bollywood movie "Padmaavat" in Kolkata, India, January 25, 2018. In this film, the Muslim antagonist is shown as bloodthirsty villain who want to steal the virtue of a Hindi queen. (Rupak De Chowdhuri/Reuters)
Movies such as Padmaavat and Panipat reinforce these stereotypes of the Muslim barbarian and are difficult to watch. In both films, the Muslim antagonists — played by Hindu actors Ranveer Singh and 90s megstar Sanjay Dutt — are shown as bloodthirsty villains who want to steal the virtue of a Hindi queen or subjugate the Hindu masses.
It is also heartbreaking to see some of my favourite childhood stars now playing their role in perpetuating these narratives. Anupam Kher is a brilliant actor who was very much part of the relatively secular fabric of the Indian film industry of the 70s, 80s and 90s, and has played many Muslim roles that are not antagonist in the past.
However in the past few years, Kher, a Kashmiri Pandit, has aligned himself with the Hindu nationalist movement and criticized well-known Indian Muslim actors such as Aamir Khan, who raised his voice against the rising acts of mob violence and intolerance under the watch of the Modi government. 
Indian actor Aamir Khan has spoken out against the rise of Islamophobia in the country.
Obviously, there are Bollywood films that are exceptions. Gully Boy (about Indian Muslim rappers), Haider (a Bollywood adaptation of Hamlet), and Shahid (based on the life of Muslim human rights activist) all have nuanced, remarkable depictions of Muslims. 
Communal violence has a long, sad history in India and the dynamics between Pakistan and India will be forever complicated after Partition in 1947. 
But growing up in Pakistan, Bollywood challenged the narratives about India that I heard all around me. It provided a glimpse into what it means to live in a  secular country. Whether that image was a reflection of the society or an aspiration was not important. These movies are an opportunity to challenge some of the assumptions Pakistanis grow up with. 
I just wish the filmmakers would consider the implication of creating these anti-Muslim narratives rather than succumbing to nationalist sentiments. </t>
  </si>
  <si>
    <t xml:space="preserve">Horror and comedy are possibly the most difficult to ‘execute and perfect’ genres of cinema. From getting the chills and scares to reach the audience to making them laugh their guts out, it takes a crisp and no-nonsense storytelling style to get the desired effect. 
One such recent Indian film ‘Chhorii’ by director Vishal Furia has managed to do just that -- get it right. With the film receiving an overwhelmingly positive response in the country because of its originality and treatment, Vishal is happy that the audience is appreciating the honesty in his work. The film is a Hindi remake of his Marathi film ‘Lapachhapi’ that he wrote and directed much like this version. </t>
  </si>
  <si>
    <t>In an exclusive interview with Firstpost’s Eshita Bhargava, Kartik Aaryan speaks about the success of Dhamaka, his journey in the Hindi film industry, being director’s favourite, upcoming projects, his take on OTT platforms, and much more.
Eshita Bhargava
December 06, 2021 08:52:07 IST
Kartik Aaryan on Dhamaka success: ‘I'm more confident now to explore content-driven films’
From being an actor known for acing the rom-com genre, Kartik Aaryan has come a long way. Not just fans, the actor has become a favourite of directors, producers, and the industry at large. His portrayal of Arjun Pathak, a news anchor who gets caught in a web of lies and deceit, with his moral compass being tested time and again, in the recently released film Dhamaka shows him in a different light as an actor and brings out a shade of his talent that we’ve never seen before.
Since its release, Dhamaka has been trending in the Top 5 Non-English Films worldwide on Netflix. It is also trending in the top 10 in films in 10 countries on the streaming platform including India, UAE, Sri Lanka, and Bangladesh.
In an exclusive interview with Firstpost’s Eshita Bhargava, Kartik Aaryan speaks about the success of Dhamaka, his journey in the Hindi film industry, being director’s favourite, upcoming projects, his take on OTT platforms, and much more. Excerpts from the interview:
How did it feel to dive deep into the mind of a news anchor? Did you anticipate that the film would be received so well by the audience?
Completing the shoot of Dhamaka took us 10 days, but I can’t tell you the number of days and the number of hours I took to prepare for my character, Arjun Pathak. Ram (Madhvani) sir gave me such an important role in my career that I had to put in the sweat, blood, and anything else it would have demanded. From the first frame till the end, I play a news anchor who’s on his job amidst critical circumstances. My character is in the newsroom throughout the film and I had to understand how a news reporter keeps calm and reports the news to the nation. It’s their everyday job, but for me, it was so new and different that I had a new level of respect for our news reporters and anchors. Coming to the love and appreciation the audience has given to the film and my performance, I can only say that as a team, we are overwhelmed. I'm more confident now to explore more such content-driven movies.
With this film, you got to showcase your range as an actor. Do you think it will help you further cement your position in the industry?
I do believe and hope so. As an actor, every film’s success of yours pushes you to the next level in the business.
With the kind of love, appreciation, critical acclaim I have received for Dhamaka, I'm feeling more validated as an artiste.
I feel like I have to challenge myself with every film I do and Dhamaka made me do things outside my comfort zone. I'm now ready to go out and grab more such roles and opportunities.
Do you think that you were being stereotyped as an actor after Pyaar Ka Punchnama (PKP) and Sonu Ke Titu Ki Sweety (SKTKS)?
I can’t call it a stereotype but yes, a lot of romantic-comedy genre films came my way. But that happens with every actor, when you prove yourself on the big screen and audiences see you in a certain role, certain kinds of films and characters automatically come your way. And there is nothing to complain about. As an actor, it’s important to strike the right balance and pick something new once in a while. I was lucky that Dhamaka came my way and it was just what I needed to show my craft in a different genre. Now that audiences have loved me in an intense role too, I can say that they should expect such dhamakas coming their way more often now.
How does it feel to top the wish-list of filmmakers?
I have worked hard to be where I am today. I feel blessed and grateful to be in this position. When a filmmaker starts keeping you in mind with a script, it’s truly a big thing for an actor. As an outsider with no connection in the film industry, when you hear such things... that feeling is surreal and I’m glad that all my struggles have paid off. Gratitude!
Kartik Aaryan on Dhamaka success Im more confident now to explore contentdriven films
As an outsider how tough was it for you to break into Bollywood? Tell us something about your journey.
My journey has been difficult but I guess that’s the real test of time and patience. I came from a small town, Gwalior, with zero knowledge about the film industry, I stayed in a small room with 12 roommates, I used to cook myself, traveled in local trains for long hours to go back and forth for auditions, used to change on railway stations for auditions and make sure I looked presentable. Along with that, I have faced several rejections and humiliations. Some people said on my face that ‘you are wasting your time, tumhara kuch nahin hoga.’ So, it wasn’t easy at all and I guess that struggle has made me what I am today. I’m happy that my belief in myself, my hard work, and my patience paid off.
Tell us something about your upcoming projects. Captain India, Bhool Bhulaiyaa 2, Freddy, Shehzada. Throw some light on the characters and how different are they going to be from what we’ve seen?
It’s too early to talk about them, I won't be able to give you details but all I can say is all the roles are different, exciting and it will be a treat for my fans to watch me in a different role in every film.
Kartik, when a film doesn’t work at the box office, how do you deal with failure and negativity around you?
I believe it’s a part and parcel of the game. I don’t get too excited when my films work, and I don’t get too disappointed when they don’t. I always have this balance maintained between success and failure because that’s the only way to survive in this industry. I have seen failure early in my career but thankfully, not much negativity has come my way. People in the industry and audience have always been encouraging and supportive of my work. They have always showered me with their immense love and that's why I always say that I'm a fan-made-hero. I believe that if you want to do good work and want to remain focused, always think about positive and good things in life!
You know, Pyaar Ka Punchnama and SKTKS have often been called misogynistic. What do you have to say about that?
SKTKS is my one of biggest hits and PKP is considered one of the urban-cult films in the Hindi industry. Even today, when I go to any public event, people and especially girls request me to say the famous monologue. People have loved those two films and they are the reason we are here today talking about me and my journey. We never wanted to endorse anything or portray women in a bad light. However, a certain section of people felt that way and it was disheartening to know.
How difficult was it to maintain a façade till the time you made it big?
Façade is a big term. I guess when you are passionate about movies and always want to be here, then there is no need for any façade. You have to be happy when you’re a part of the industry because it’s not easy to be here. And once here, no success or no failure should affect you. Till SKTKS happened, I auditioned for movies, I was still known as ‘The monologue guy’, and the industry had still not taken me seriously. But there was no façade, I kept working hard. And that’s the only assured mantra for success.
When were you finally accepted by the industry?
SKTKS brought a big change in my career. The film’s big success made me connect with a wider audience. Soon people knew my name and I could see love and warmth pouring my way. Furthermore, the film entering the 100-crore club made people within the industry take notice of me as an actor. So, it was post the success of SKTKS that the industry-accepted me and that’s how this place works, you need to prove yourself to get people loving you. And since then, I have made sure that I double up my hard work. My dream is to become the No 1 in the industry and that demands a lot more from you as an actor.
According to you, how difficult is it to handle success and fame? What keeps you grounded?
Success and fame never come with a permanent stamp in this industry and hence if you take these two things too seriously, then it might become difficult to handle. Never let these things affect you. Talking about myself how I keep myself grounded, well for that I need to thank my family, friends, and my fans.
My family still treats me as Koki and not ‘Kartik Aaryan.’
My madness and tomfoolery with my sister remain the same at home and that keeps me grounded. Talking about my fans, the love they give me anywhere and everywhere is what keeps me happy. They stop midway when they spot my car on a traffic signal or when they see me stepping out of a dance studio. Despite me being super-tired, their smiles and the excitement on their faces make me feel so good. So that immense love also makes me feel grounded, they remind me to keep working hard and I couldn’t have asked for a better way to end my days at times.
What has the industry taught you?
To work hard, have patience, give my best, and never let success get to my head. It taught me that sooner or later hard work always pays off.
What do you have to say about OTT platforms? Do you think, they are a game-changer?
Of course, they are game-changers. Watching a film or a show at a click of a button is like magic. With OTT you can watch any show/ film anytime anywhere. Which I think is important considering the hectic schedule people are following these days. Also, the amount of international shows and films we are exposed to via OTT is just great.
When Dhamaka was released, I’ve got appreciation tweets and post 24 by 7 -- which was overwhelming. Since the movie was on a streaming platform, people watched it at any time and kept flooding my timeline with love. OTT platforms keep a movie alive for a long time and hence the love that keeps flowing is unlimited. Despite two weeks of its release, I still keep getting messages for Dhamaka. So that's great!
A film you loved and are proud of…
I love SKTKS and that’s because that’s one film that changed my life and made me a star. And currently, if you ask me, a film I’m proud of is Dhamaka. I had to prove my mettle as an actor and my fans have given me a thumbs-up for it and that makes me feel proud.
Kartik Aaryan on Dhamaka success Im more confident now to explore contentdriven films
How do you deal with criticism?
There is no better way to answer people who criticize you is by working harder and better every time, proving them wrong with every project you do.
We are about to end 2021 and begin 2022. What have you learned and what are your expectations from 2022?
2020 and 2021 have taught us that health and family are the two most important things in our lives. It taught me to stay happy and appreciate every single thing and enjoy every single moment of your life. Dhamaka happened in these two years for me and it became another turning point in my career. From 2022, I expect it to be a bit more considerate towards us. I want to work hard and do a lot more projects and I wish to make my parents proud of me.</t>
  </si>
  <si>
    <t>The bandra-worli sea link connects central Mumbai with neighborhoods to the north. If you’re driving from downtown, the bridge brings you into the orbit of Bollywood, the Hindi-language segment of India’s vast movie industry. Actors, makeup artists, special-effects people—they cluster in a handful of seaside neighborhoods. The superstars live in great bungalows, with devoted crowds stationed outside.
GIVE A YEAR OF BOLD IDEAS
Share The Atlantic with someone special and give them something new to discover, every day.
Give The Atlantic
Bollywood has been central to the creation of India’s national myth. Its movies are full of dance and song, but their genius lies in the ability to weave serious issues—social justice, women’s rights, gay rights, interreligious marriage—into entertainment. Bollywood films are at once commercial and political. They epitomize the pluralism of India.
And in today’s political climate, that makes them a target. In ways reminiscent of the old Hollywood blacklist, the government of Prime Minister Narendra Modi and his Hindu-nationalist Bharatiya Janata Party (BJP) is using powerful tools to curtail the creative freedom of Bollywood—in particular the influence of Muslims, who have an outsize presence in the industry. The measures pushed by the Modi government include indiscriminate tax investigations, trumped-up accusations against actors and directors, intimidation and harassment in response to certain movies and TV shows, and the chilling rap of law enforcement at the door. Fearing worse to come, Bollywood has remained mostly silent in the face of the government’s catastrophic response to the coronavirus pandemic.
From the May 2020 issue: Aatish Taseer on how Modi has trampled the founding idea of India
“Everybody is just shit-scared and wanting to lie low,” a woman who is closely involved with the industry told me recently. “This is such a vindictive government.” The day before we spoke, tax authorities had raided the home and offices of one of the country’s finest directors, along with those of an actor he worked with. Both are outspoken government critics, and the raid was widely seen as politically motivated.
“Everybody is just shit-scared and wanting to lie low. This is such a vindictive government.”
As we talked, a director friend sent me a vanishing message on Signal, the encrypted-communications platform, about a case before India’s Supreme Court. A senior Amazon executive in India was facing arrest, along with others, for a nine-part political drama called Tandav, which includes a portrayal of the Hindu god Shiva that some found objectionable. The director of the series had apologized, and removed the offending scene. And according to the message I received, the court had declined to offer protection (a decision it later revised). “The problem,” one senior executive for a major streaming service told me later, “is that the director is Muslim and the actor is Muslim.”
Soon, another show—Bombay Begums—was under fire, with India’s National Commission for Protection of Child Rights calling on Netflix to pull the series on the grounds that it would “pollute the young minds of the children” by “normalizing” drug use. The more credible motivation was that the series normalized interfaith relationships, as well as LGBTQ ones.
Igot to know India’s movie industry starting in 2013, when I was dating a Bollywood director, a protégé of Karan Johar—one of the city’s biggest producers, known as KJo. Johar is the Hindu half of a storied collaboration with Shah Rukh Khan, a Muslim and one of Bollywood’s biggest stars. Their partnership began in the 1990s—at first yielding popcorn-and-bubblegum films, and then moving on to iconic post-9/11 dramas such as My Name Is Khan (2010), which dealt with growing Islamophobia worldwide.
RECOMMENDED READING
Sridevi
How Bollywood's Sridevi Should Be Remembered
DEEPANJANA PAL
Bollywood's Holy Day Goes Abroad
TANYA BASU
tricolor image with sculpture of woman's face with star and laurel crown on blue background; Muslim woman in hijab walking on cream background; priest raising cross and wafer on red background
Why Is France So Afraid of God?
RACHEL DONADIO
Bollywood, in its upper echelons, is tight-knit, and through my boyfriend I met the whole A-list in a matter of days. It was a world of blacked-out SUVs that swept into underground garages, where men with walkie-talkies conveyed you up to palatial apartments overlooking the Arabian Sea.
The Indian film industry turns out more than 2,000 movies a year. Bollywood, its largest component, produces as many as Hollywood. The intensity of Bollywood celebrity is unmatched. One night, Ranbir Kapoor—India’s Ryan Gosling, you might say, and the leading man in a movie my boyfriend was directing—picked me up at my hotel in a tinted SUV. Kapoor was with his then-girlfriend, the actor Katrina Kaif. Soon we were speeding to a private dinner. Word traveled along the Mumbai streets that Ranbir was on the move, and by the time we had arrived at our destination, a crowd of several dozen had gathered.
There is a heartbreaking inevitability to the confrontation between Bollywood and Modi’s BJP. Modi does not view India as a composite culture, to which Hindus, Muslims, Sikhs, and Christians have all contributed, but rather as an essentially Hindu entity whose destiny lies in bringing about a Hindu cultural renaissance. Modi’s record as chief minister of the western state of Gujarat included complicity in a pogromlike riot in 2002, in which more than 1,000 people, most of them Muslim, were killed.
Muslims have always had a disproportionate influence in Bollywood. Actors such as Shah Rukh Khan, Salman Khan, and Aamir Khan have towered over the landscape of Indian cinema for the past 30 years: Of the 10 highest-grossing films in Bollywood history, six feature one of the Khans. (The three are not related.) Several of Bollywood’s most influential studios have been owned by Muslim families.
FROM OUR JULY/AUGUST 2021 ISSUE
Check out the full table of contents and find your next story to read.
See More
If Modi has the most Twitter followers of any man in India, Shah Rukh Khan and Salman Khan are in the top rank, with more than 40 million each. At No. 2 is a legend named Amitabh Bachchan, whose career illustrates how inextricably Muslim lives are bound up with the movie industry.
In 2018, Hindu nationalists offered a bounty to anyone who cut off the nose of one of India’s most popular actors.
Though not Muslim himself, Bachchan grew famous on the screen in the 1970s by inhabiting an angry-man character named Vijay, a persona created by two Muslim screenwriters. The films he made told stories of an India whose very survival depended on Hindu-Muslim unity. Bachchan’s father, a Hindi poet, grew up in a world steeped in Urdu and Persian poetry. It was this shared culture, in which Sikhs, Muslims, and Hindus all participated, that fed Bollywood in its early days. It is Bollywood’s DNA.
The BJP has a very different origin story. The party began in the 1980s as the political face of an organization called the Rashtriya Swayamsevak Sangh. The RSS was founded in 1925, at a time when European fascist movements were gaining ground. Its early leaders, men such as M. S. Golwalkar, whose birthday the Modi government recently celebrated with a Twitter announcement, brimmed with regard for Nazi Germany. Golwalkar wrote in 1939 that India could learn from Germany’s efforts to “keep up the purity of the race and its culture.”
The RSS in recent years has sought to move past its ugly beginnings. But fixations remain, including an insistence on racial purity and a horror of interreligious marriage. A spate of new laws restricts marriages between Hindus and Muslims in BJP-controlled states. Interreligious marriage, meanwhile, is far more common in Bollywood than in Indian society at large. Two of the three Khans are married to Hindu women.
During Modi’s first term, which began in 2014, the BJP’s “IT Cell”—a network of online influencers and hate-mongers—made some of its most serious social-media attacks on Muslims in Bollywood. In 2015, Aamir Khan was hideously trolled when he expressed alarm at growing intolerance and mentioned that his wife had broached the idea of leaving the country. The following year, Saif Ali Khan—another leading man—came under orchestrated social-media attack when he and his Hindu wife, Kareena Kapoor, named their first son Taimur. (Taimur was the Muslim ruler known in the West as Tamerlane.)
In 2018, Hindu nationalists offered a bounty to anyone who cut off the nose of the actor Deepika Padukone, because she was starring in a historical movie rumored to depict an intimate scene between a Muslim king and a Hindu queen.
The following year brought a now-infamous photo op between Modi and Bollywood elites—an episode of appeasement or perhaps opportunism by elements of the industry. The stunt was arranged by a man named Mahaveer Jain, whom no one had heard of until then. Somehow he managed to corral a mighty figure like KJo into taking a group of A-listers on a private plane to Delhi to meet the prime minister. The stars were encouraged to post selfies with Modi. Not a single Muslim actor or director was included. The message was clear: Modi wanted a new Bollywood, one that was Muslim-rein. Soon Jain was working with major producers and directors, including Johar, on film projects with nationalistic themes.
Modi’s reelection, in 2019, emboldened the prime minister to press his cultural agenda. The suicide by hanging last summer of an actor named Sushant Singh Rajput gave the government a new opportunity. Rajput was a talented young actor who had risen in an industry with a reputation for being clubby. He also had a history of mental illness. People spoke of his struggle with substance abuse. “I hadn’t seen him sober once in the last three years,” a mutual friend told me.
Rajput’s suicide was a tragedy, but in the hands of a pliant press, known in India as the “godi media”—godi means “lap,” as in lapdog—his death became a way to put the entire movie industry on trial. With an election looming in Bihar—Rajput’s native state—the BJP made his suicide seem like a murder at the hands of a nepotistic and druggy elite. Rajput’s picture appeared on posters, with the words we haven’t forgotten. we won’t let them forget. His girlfriend, Rhea Chakraborty, was thrown in jail on charges of abetting his suicide. Soon, the Narcotics Control Bureau raided her home and those of other major figures in the movie industry, ostensibly in search of drugs but mainly to intimidate and sully reputations.
Modi used Rajput’s suicide to exploit Bollywood’s internal fissures and launch an outright culture war. One actor in particular led the charge.
I first met Kangana Ranaut in 2014, in New York City. I remember her as having a tremendous sense of fun. I recently came across a picture of us in Brooklyn, where she is wearing a summery white dress and silver sunglasses, and smiling broadly.
Ranaut looks very different in her WhatsApp profile picture, which presents her as a fierce figure of piety, wearing a blue sari and offering ablutions to Shiva. In 2019, before an audience of executives, journalists, and intellectuals, Ranaut defended a previous statement in which she had called for the destruction of Pakistan. (Her earlier comment had come in the wake of a deadly suicide bombing in Kashmir, for which a Pakistan-based extremist group claimed responsibility.* On hearing that news, Ranaut said, she had felt like going to the border and killing Pakistanis herself.) On another occasion, she described the movie industry as “full of such anti-nationals who boost enemies’ morals in many ways.” (Ranaut’s incitements to violence have led to her being banned from Twitter.) Last year, in response to unspecified threats, Ranaut was given a high personal-security designation by the Ministry of Home Affairs—a level that, according to news reports, is generally reserved for “someone who holds a position of consequence either in the government or in civil society.”
It’s hard to know whether Bollywood will emerge with its character intact. Johar, a child of the old Bollywood, is both a casualty of this new time and an enabler, trying frantically to remake himself in the image of Modi’s India. It’s an exercise doomed to fail. Johar has an incriminating body of work: movies with gay themes (Johar does not discuss his own sexual orientation, even though, as he has written, it is something that “everybody knows”) and movies that resist Islamophobia. My director friend recalls telling him simply, “Dude, you’re going to get fucked. You’re a fake.”
Last fall, after months of attacks, the movie industry showed a rare bit of gumption. Jaya Bachchan—Amitabh’s wife, and a member of the upper house of Parliament—described a “conspiracy to defame the film industry.” A few weeks later, a group of producers filed a defamation suit against cable channels allied with the government. Bollywood’s only chance of survival, given the weakness of India’s institutions, lies in its ability to stick together and marshal its star power.
Bollywood’s influence stretches well beyond India. The BJP knows this, and wants to bring it into line. In 1935, the Nazi propaganda minister Joseph Goebbels went to see It Happened One Night, and later wrote enviously in his diary, “The Americans are so natural. Far superior to us.” Authoritarians always want that megaphone for themselves. One way to seize it is by making an example of a few while stirring fear and self-censorship among the rest.</t>
  </si>
  <si>
    <t>As Haathi Mere Saathi, Bunty Aur Babli 2 and Chehre releases are postponed and theatre owners deal with a new list of clampdowns amid rising COVID-19 cases, many are asking if they can deal with – what has started to feel like – 2020 all over again.
Written by Komal RJ Panchal | Mumbai |
Updated: April 1, 2021 12:58:18 pm
Release dates of films like Chehre, Haathi Mere Saathi, The Black Widow, Puaada, Flight have been delayed due to the second wave of COVID-19. (Photos: Amitabh Bachchan, Marvel Studios, Rana Duggabati/Instagram)
As coronavirus numbers spike, 2021 has started feeling like a 2020 redux.
The Hindi film industry that has been bleeding for over a year now, saw a glimmer of hope at the beginning of the new year as Roohi managed to bring audiences back to cinema halls, followed by Mumbai Saga. It appeared good times were ahead as filmmakers announced the release dates of their upcoming films, with Sooryavanshi, Chehre, Banti Aur Babli 2, Radhe: Your Most Wanted Bhai and Satyamev Jayate 2 lined up for release in the coming months.
However, as COVID-19 went on rampage again, amid the surging numbers, clampdowns and night curfews, many filmmakers have already withdrawn their films’ release dates. While Haathi Mere Saathi makers decided to delay its release, Chehre and Bunty Aur Babli 2 have also been postponed. Internationally, Marvel tent-pole The Black Widow’s release date has again been shifted. Punjabi film Puaada, starring Ammy Virk, has also delayed its release. There are reports that some other big Hindi films may push their release dates again.
This means humongous losses for a film industry that supports lakhs of people – from actors and directors to technicians and daily-wagers. The once bedazzling theatres and cinema halls wear a deserted look, even as the industry wonders how it will deal with the massive costs it is ill-prepared to fork out. An industry which is already dealing with losses going into thousands of crores, says it is going to be worse than 2020 if losses keep on mounting.
Film producer Anand Pandit was confident of releasing his Amitabh Bachchan-Emraan Hashmi-starrer Chehre in cinemas. Less than a fortnight ago, he had told indianexpress.com, “Now that films are being released in theatres, businesses are slowly going back on track. At this point we know how to better take care of ourselves by following SOPs and COVID-19 related protocols. There was a fear that had set in the mind of people, now everybody is more careful and responsible. So, it is a good time for our films to release in theatres.”
However, on Tuesday, Pandit announced that Chehre will not release on April 9th as planned earlier. He said, “I have always lived by the maxim of ‘safety first’. Given the rising number of COVID cases, it is only right that we delay the release of Chehre. Audiences have already showered the trailer with a lot of love and every member associated with ‘Chehre’ wants cinema lovers to watch it on 70 mm. We are ready to wait for the right time and to ensure our audiences remain safe.”
Also read |Rani Mukerji, Saif Ali Khan’s Bunty Aur Babli 2 release postponed due to rising COVID-19 cases
It is not only producers who are stuck in a tight spot, multiplexes, film exhibitors and cinema owners are having a tough time too.
With the possibility of a second lockdown in Maharashtra looming large, the Multiplex Association of India (MAI), to stated that a second lockdown will be extremely detrimental and would lead to severe and irreversible consequences for the cinema exhibition sector. It urged the Maharashtra government to not impose a second lockdown order for cinemas and multiplexes.
In a letter addressed to the Chief Minister of Maharashtra’s office, MAI’s President Kamal Gianchandani, requested the government to issue necessary orders to allow cinemas, multiplexes, shopping centres and malls to operate as per regular operational hours.
Also read |Multiplex Association writes to Uddhav Thackeray, says another lockdown will send cinema industry on a downward spiral
The night curfews back in Mumbai, which make it mandatory to close theatres by 8 pm. With the 50% occupancy clause in SOPs, exhibitors are worried that people won’t come to watch films at all, and now they are also concerned that they won’t have new films to show too.
Akshaye Rathi, a film exhibitor and distributor with operations spread across the central Indian states of Maharashtra, Madhya Pradesh and Chhattisgarh, calls this a “haphazard solution”.
He says, “I have absolute faith in the authorities of our country, pretty much everything has been opened up, whether it is political rallies, restaurants or moving on the streets. And, looking at the numbers of Godzilla vs Kong, even after a very limited release, it looks like people are ready and more than willing to come back to theatres.”
Rathi wants the government to pay heed to the need to reopen cinema halls for them to earn their living and pay salaries to their employees. He says, “After one year of depriving cinemas of absolutely any income, after not giving them any kind of financial relief or support, the only thing that the government authorities can do is let them earn their own bread and let them enough to pay the salaries of millions of employees this sector employs.”
Annoyed with the fact that other businesses and political activities stay unaffected while cinemas bleed to death, he said, “Lakhs and lakhs of people are going out for political rallies and when streets are crowded, I don’t think they won’t come for movies that they really want to watch, knowing that cinema halls are following all the rules properly and are following for best safety regulations.”
Last week, Mumbai’s BMC announced that people will have to show a negative COVID-19 report or get a rapid test done before entering a mall. How does this new rule affect cinemas, Nitin Dattar, owner of a theatre in Karad, Maharashtra and president of the Cinema Owners and Exhibitors Association of India says, “The theatres which were closed for almost a year have slowly started opening up and operating, in Mumbai, Pune, Kolhapur and other parts of the country too. With this second wave, and producers delaying their films’ release, cinema halls, especially the single screens and exhibitors are going to have a tougher time this time.”
Also read |Mumbai: BMC issues circular for antigen test at malls, stations, tourist places
He also says, “The SOPs that the government has recently published, for cinema halls, states that if in a cinema or in its compound, if four or more people are found together without maintaining social distancing, then the government or the local authority has got the right to suspend the license until the coronavirus situation is under control, or declared to be controlled by the central government. I think this is a very harsh clause imposed on cinemas, because all theatre owners are trying their best to follow SOPs. At the same time, the audiences also need to act responsibly. We have requested the state government to help us as we have just started our cinemas. Even if they help us with police constables, they can control the weekend crowd.”
Worried about not being able to pay cinema employees their salaries, Dattar added, “One single screen cinema employs at least 100 employees, how do we pay their salaries? What about the owner, who has no income but continues to pay electricity bills, and other taxes. We had a good business in the first week of Mumbai Saga, so we were hopeful, but now we don’t have any films. We were very hopeful when Roohi and Mumbai Saga released, because the line of releases was exciting and people were looking forward to it, but now with films like Bunty Aur Babli 2, Chehre’s release delayed, it all looks hopeless, it is like we are not back to square one, but minus one.”
Don't Miss These Stories
The Verdict: Jai Bhim versus Sooryavanshi
Not Amrish Puri, Anupam Kher was Mr India's Mogambo but was 'dropped' after 2-3 months
Arpita Khan prayed Aayush Sharma outshines Salman Khan in Antim: 'She said if I messed this up...'
CLICK HERE FOR MORE
Nambi Rajan, owner of Sion’s landmark single screen — Aurora theatre, where people from all over the city flock to watch south Indian films has been shut since the COVID-19 induced lockdown. Rajan says, “we were quite hopeful that we will be able to restart operations this year. Mammoothy’s The Priest did so well in Kerala so we thought it would do well in Mumbai too, but it didn’t. So, we didn’t open Aurora even this month, and now we are not even planning to restart any time soon. I had spoken to a few hospitals and malls to employ my staff and security people, and they are working there, some never returned from their native places, but once things start we will be in a better state and we’ll be able to bring them back.”
Various cinema owners and exhibitors have expressed concern over their business falling apart due to COVID-19, with no solutions at hand. Producers are in a double whammy situation too, with their films not earning well on being released in theatres. People are choosing to watch content in the comfort and safety of their homes. The question remains: what happens to these dream factories?</t>
  </si>
  <si>
    <t>Last year, around this time, the Covid-19 pandemic emerged like a dark tunnel with no end in sight for the embattled movie sector, including the south Indian film industry, which was staring at huge losses.
Amid such a gloomy scenario, the over-the-top (OTT) space offered a ray of hope to the filmmakers, many of whom were stuck with completed projects. But it also seemed like a gamble for an industry used to grand gala premieres and high-octane, glitzy promotions.
Hardly any choice in hand, some producers decided to go for it with a simple thought in mind, “Do or die.” The gamble paid off and the streaming platforms, apart from managing to rescue many filmmakers stuck in the doldrums of Covid, delivered something they would have never imagined – a pan-India reach that knew no geographies and language.
Fahadh Faasil in 'Malik'. OTTs gave films a pan-India reach that knew no geographies and language. (Image: screen grab)
Fahadh Faasil in 'Malik'. OTTs gave films a pan-India reach that knew no geographies and language. (Image: screen grab)
Apart from known and publicised Hindi titles, south Indian movies with solid content such as Soorarai Pottru, Maara, Joji, Malik, Home, The Great Indian Kitchen, Cold Case, Drishyam 2, etc., which were released on popular streaming platforms, became immensely popular, cutting across boundaries of language.
RELATED STORIES
  Omicron strain to affect film business, Indian box office to see lag in recovery 
  Kareena Kapoor shares photo of Jennifer Lawrence with baby bump, calls her 'simply gorgeous' 
  Katrina Kaif heads to Vicky Kaushal's home ahead of wedding this week: reports 
Equally, talented actors such as Suriya, Fahadh Faasil, Nimisha Sajayan, Sai Pallavi, Allu Arjun, who would otherwise have remained within the confines of regional cinema, became known faces even in places such as North India and the Northeast on the back of their performances.
OTT: A new territory
“Maara was a film made for the theatres. But we were stuck in the wrong time. As the pandemic was raging, and it would have been too risky to wait for theatres, we knew we had to go for OTT,” Dhilip Kumar, who made his directorial debut with the R. Madhavan-starrer, told this writer.
“When we went for OTT, we didn’t know what would turn up. It was a new medium for us. In Tamil, it was one of the five films to get released on OTT at that time. There was anxiety,” Kumar said.
After the film was released in January 2021 on Amazon Prime Video, the response surprised the makers. “The viewership outside TN (Tamil Nadu) was unexpected. Social media was crazy. We do not have exact numbers, but we got good feedback,” Kumar said. “Many Hindi channels called me for interviews. Such response wouldn’t have happened had been it been released in cinema halls locally.”
At least 20 big Tamil films released directly on leading streaming platforms, the biggest of them being Suriya’s Soorarai Pottru, Maara, Mookuthi Amman, etc., trade analysts said. Almost an equal number of big Malayam films have been released on top OTT players this year so far, various reports said. This is besides the numerous budget films released on smaller and local streaming players.
According to Subash Babu, a film enthusiast and critic based in Kerala, the OTT wave had been long coming, albeit gradually, though Covid accelerated the process.
“The OTT players had been sitting on huge budgets only to acquire Indian content, but initially used it only for Bollywood. After the pandemic, they decided to go for South Indian and Marathi movies,” Babu said.
Creators have the ability to tell the story of their choice, the way they want, knowing every story can find its audience, without limitations on format or duration.
- NETFLIX SPOKESPERSON
Malayalam was a late entrant. Initially, the OTT players did not know how to go about it and used third-parties to coordinate. “In the beginning, they had flop movies in their library. Later they changed strategy and looked at actors and directors who could cater to the OTT audience,” Babu said.
The platforms went for producers with stuck projects. The makers of Malik, for example, had invested a lot and waited for theatres but later negotiated with Amazon for an undisclosed amount, Babu said, adding “They made profits and sold satellite rights to other channels.”
Mahesh Narayanan, director of Malik, said the film had been ready for a long time and they couldn’t have waited any longer. “There were huge costs involved and the producer needed to get back the money,” Narayanan explained.
The film’s theatrical release was postponed multiple times due to the pandemic. It was later released on Amazon Prime Video on July 15.
Sreedhar Pillai, a film critic and trade analyst based in Chennai, agreed that Covid was the single-biggest push for the OTT market. “Theatres were closed. Filmmakers had no other way but to go for the streaming platforms to survive. The medium was being experimented (with) anyway but Covid acted as a driving force,” he said.
An Amazon Prime Video spokesperson said the video-streaming phenomenon had been brewing in India for a while. “Even before the pandemic lockdowns changed the entertainment landscape and accelerated streaming adoption, cine and TV stars, writers and producers had started to engage with the medium. The unprecedented circumstances of last year provided a unique opportunity to pivot and innovate for our consumer.”
Amazon Prime premiered nearly 40 movies across Indian languages, directly on the service in the last 15 months. “We believe we played a role in expanding the audience base of local language films in India and abroad, and in reducing the linguistic and geographical boundaries, not just for a title, but for the segment itself,” the spokesperson said.
Rival streaming platform Netflix said this was an exciting time for stories in any language to be successful anywhere. “We are seeing tremendous success for films from South India on Netflix. Streaming has brought in more innovation and experimentation in storytelling. Creators have the ability to tell the story of their choice, the way they want, knowing every story can find its audience, without limitations on format or duration,” the platform’s spokesperson said in an email response.
“We are delighted to see how those stories are watched outside of their native language region and find audiences across India and around the world,” the spokesperson said.
Nani in 'Tuck Jagadish', streaming on Amazon Prime Video. The OTT giant has streamed at least 40 Indian language films over the last 15 months. (Image: Screen grab)
Nani in 'Tuck Jagadish', streaming on Amazon Prime Video. The OTT giant has streamed nearly 40 Indian language films over the last 15 months. (Image: Screen grab)
Content and accessibility factors
What was a desperate measure for filmmakers became a boon for viewers, especially the binge-watching younger generation, who had access to great content in multiple languages. Plus, there was the convenience of watching movies sitting at home.
The OTT sector’s growth was driven by multiple tailwinds – young demographics, growing disposable income, smartphone usage, keenness to explore and experiment with content – augmented by easy accessibility of the platforms and anytime watching across devices.
“I couldn’t go out. Not many Hindi movies were being released. I started exploring regional content after I saw my colleagues and friends going gaga over Tamil, Malayalam and Marathi films on social media. I didn’t regret. I am now a regular fan of South films,” said Neil, a movie buff from Delhi. “It was initially a little difficult to read subtitles and watch at the same time, but it was so (much) better and different than the typical masala films dubbed in Hindi,” he added.
If one goes by social media, South Indian films and actors were trending equally with—or even more than—Bollywood actors among non-south language audiences, analysts said.
“Social media was full of good reviews of South films. People even reviewed the subtitles,” said Babu, who also writes subtitles for Malayalam films.
Tamil film Soorarai Pottru is inspired by a book written by G.R. Gopinath named Simply Fly, a Deccan Odyssey; Malik is a gangster-style political thriller that shows the rise to prominence of a man from a nondescript coastal village, reminding us of the 1987 Kamal Haasan-starrer Nayakan.
The Great Indian Kitchen portrays the travails of a newly-wed woman stuck in the confines of a kitchen, while Paava Kadhaigal through four unique stories explores how pride, honour, and sin influence complex relationships. Home is the story of a technologically challenged father who tries to reconnect with his young sons while Mani Ratnam’s Navarasa on Netflix is a nine-film anthology based on nine human emotions compassion, laughter, wonder, disgust, peace, anger, fear, courage and love.
All these films that rode high on content appealed to the average OTT viewer, irrespective of whether he or she understood the language.
“Yes, good content obviously played a role in attracting viewers. In the case of Maara, it had a pan-India appeal even though it was a Tamil film,” says Dhilip Kumar.
The fact that people were sitting at home and had loads of time during the lockdown further helped boost digital consumption, including OTT.
A recent report by RBSA Advisors said the pandemic was a game-changer for digital because of which OTT platforms such as Netflix, Amazon Prime Video, Disney+Hotstar, Voot and SonyLiv grew at a fast pace. The report said the video OTT market in India is expected to rise to $12.5 billion by the year 2030 from around $1.5 billion in 2021, driven by smaller towns and cities and the Indian language-speaking population.
Movies in Tamil, Telugu, Malayalam and Kannada broke all viewership records on Amazon Prime Video; 50% of the audiences for these films were from outside their respective home states.
“In India, the viewership of these local language titles is well over 4,000 cities and towns – giving these releases a pan-India viewing base. Globally, these movies are being watched in around 170 countries, with international viewers already accounting for 15-20% of total audiences of these local language films,” the Amazon Prime Video spokesperson said.
OTT has its advantages as there are so many choices at the click of a button, Pillai explained, adding people sitting anywhere in India can watch movies in different languages. “These platforms have made heroes of these people.”
The Top 10 on Netflix is a great indicator of what subscribers are watching, the Netflix spokesperson said. Jagame Thandhiram has been in the top 10 in 12 countries outside India and No.1 in the top 10 row in seven countries, including India, Malaysia and the UAE.
“In the last one year, Martin Prakkat’s Nayattu (Malayalam), V. Vignarajan’s Andhaghaaram (Tamil), Pitta Kathalu (Telugu) and Paava Kadhaigal (Tamil), Praveen Kandregula’s Cinema Bandi (Telugu) and Mandonne Ashwin’s Mandela (Tamil) were loved by our members and featured in the Top 10 in India,” the spokesperson said.
Dhanush plays Suruli, a rowdy-turned-saviour of immigrants in 'Jagame Thandhiram'. The film was among the Netflix top 10 things to watch in 12 countries apart from India. (Image: screen grab).
Dhanush plays Suruli, a rowdy-turned-saviour of immigrants in 'Jagame Thandhiram'. The film was among the Netflix top 10 things to watch in 12 countries outside India. (Image: screen grab).
Is hybrid the future?
Will filmmakers go back to theatres when things are completely normal or will they opt for a hybrid model of part theatrical and part OTT release?  The answer is not easy. Despite the cons, many filmmakers and analysts agreed that the OTT model is here to stay and coexist with theatres is the future.
“Yes, the hybrid model is the future. OTT and theatres will live side-by-side even after things normalise, as they are different models,” said Narayanan, who is set to launch his first Hindi film Phantom Hospital, a medical thriller.
Pillai concurred. “OTT is here to stay even after theatres open up. Anyway theatres will take a hit in the present circumstances.”
He said that in the North, PVR and Inox barely have audiences as a result of which Bell Bottom has been a failure and the opening of Thalaivii in single screen halls has been poor. “If Maharashtra opens up and the 50% norms go, things might get better. Even after that we will need at least six months to gauge the situation,” Pillai said.
The Amazon spokesperson said there is a symbiotic relationship between theatre and OTT and this means they are not competitive but co-optive spaces. “It is our belief OTT and theatres will continue to co-exist, and serve consumers entertaining content.”
Babu agreed that the OTT trend will continue as people have taken subscriptions and the platforms are getting numbers too.
According to him, even though the starting was not easy, it now makes sense to go for OTT as there is some direction to it. He explained how when Sufiyum Sujatayum—one of the first Malayalam titles to go for streaming last year—opted for OTT, there was a lot of hue and cry.
“Sufiyum Sujatayum was made for the theatres, and was completed just before Covid. Amazon gave them a chance. But there was a huge uproar and distributors objected and even threatened not to release their future films. But somehow a settlement was reached.”
The Great Indian Kitchen was also initially refused by OTT platforms but later picked up after it was released on a small platform and got great reviews, Babu said.
Though most experts agreed on the hybrid model, there were others who showed their preference for the big cinema screen.
Apart from the grand viewing experience of theatres, Kumar pointed to the distribution network of Tamil cinema, which he thinks is more robust, and the business side of it.
“Maara was the second big Tamil film after Soorarai Pottru. People did not know days before release that such a film was coming. In normal circumstances, distribution would have been different… also looking at business as whole, theatre is better,” Kumar explained, though he defended the decision to go for OTT looking at the circumstances at that time.
“The producer didn’t want to go for theatres as it would have been risky. We did not know how many people would turn up. Again, if there was mobbing, the crowds would have been a concern,” Kumar said, adding people will go back to big screen but OTT is here to stay as it has now become a habit.
Narayanan agreed on the cinematic experience of the big screen. “On a small screen, you will not feel the same kind of impact. You miss out on details… Also the excitement over a hit after a theatrical release remains for months, but on OTT, it stays for a few days.
“But on the brighter side, so many people cutting across languages and geographies got a chance to see the movie. That would not have happened if it had a theatrical release,” Narayanan said, adding both genres will co-exist.
Suraj Venjaramood (left) and Nimisha Sajayan in 'The Great Indian Kitchen'. (Image: Screen grab)
Suraj Venjaramood (left) and Nimisha Sajayan in 'The Great Indian Kitchen'. (Image: Screen grab)
Joint production
Apart from acquiring titles, joint production is the future, Babu said. “The next big trend on OTT is co-producing movies, starting with Hindi and other languages. There is Navarasa, a nine-film anthology jointly produced by Mani Ratnam and Jayendra Panchapakesan for Netflix.”
Netflix is building a slate of differentiated stories in multiple Indian languages, including Hindi, Tamil, Telugu, and Malayalam.
“We are investing in licensed and Netflix films, across genres, languages and formats. In addition (to) Hindi, our members in India have discovered and fallen in love with incredible non-Hindi language films such as Navarasa (Tamil), Jagame Thandhiram (Tamil), Paava Kadhaigal (Tamil), Pitta Kathalu (Telugu), Nayattu (Malayalam), Mandela (Tamil) and Cinema Bandi (Telugu). These stories, aided by subtitles and dubs, find audiences in India and across the world.”
Narayanan summed up on an optimistic note, “The mixed model of releasing movies on both platforms will help the industry in the long run.”</t>
  </si>
  <si>
    <t xml:space="preserve">Sobhita Dhulipala is a vibrant presence in the Indian film industry. She won the hearts of Malayalis with her performance in Geethu Mohandas’ ‘Moothon...
</t>
  </si>
  <si>
    <t>The contribution of Hindi, regional language, and Hollywood films to India’s box office collections is set for a major change this year as Bollywood releases fewer films in theatres while regional cinema lines up offerings that have been drawing audiences, film trade experts said.</t>
  </si>
  <si>
    <t xml:space="preserve">The founder and managing director of Roy Kapur Films envisages the future of the entertainment industry--the glimmer of hope, he writes, comes from the surge in digital consumption, growth of short-form content platforms, new content creeators, and people's anticipation of the big-screen experience
BY SIDDHARTH ROY KAPUR
6 min read
PUBLISHED: May 11, 2021 01:24:35 PM IST
UPDATED: May 12, 2021 11:03:20 AM IST
Illustration: Sameer Pawar
A pandemic in the era of globalisation has unearthed the realities of how interconnected we are, and consequently how interwoven our problems are too.
While 2020 was a landmark year that forced the world to adapt, individuals and industries alike wishfully thought that the end of the year would mean the end of the storm. Unfortunately, with a dreaded sense of déjà vu, 2021 brought back a set of more contagious mutated strains of the virus that has impacted sectors across the board with industries such as hospitality, construction, tourism and entertainment being delivered debilitating blows.
The government has issued data that predicts a 7.7 percent drop in Gross Domestic Product (GDP), the country’s biggest contraction since 1952. In fact, it would be the first time this has occurred in India since 1980, and will be the worst slump in Asian countries after the Philippines. India’s soft power, the entertainment industry, has found it incredibly difficult, with theatres shut, shootings stalled and content consuming mechanisms shape-shifting overnight. According to a Ficci-EY report, in comparison with 2019, revenues from filmed entertainment fell by 62 percent to ₹7,220 crore in 2020. Estimates are that this fall is likely to accelerate further by 10 to 20 percent in 2021. While it seemed that the trouble had lifted in early 2021, Hindi cinema still saw a tepid response with single-digit occupancies of 5 to 7 percent, going up to 30 percent in rare cases. The Southern states were an exception to the rule, where occupancies varied from 30 percent to 100 percent. Tamil film Master ran to packed houses even after arriving on an OTT platform; Telugu film Uppena did great business in cinemas and a Kannada film Roberrt raked in nearly ₹60 crore on its four-day-opening-weekend alone. Film industries in the South have managed to instil a confidence that had begun to wane in producers and filmmakers alike. It seems clear that once things open up and the bigger movies are released, audiences will once again flock to cinema halls.
As often said, necessity is the mother of invention, and with resourceful minds at play within the entertainment industry, invent we did. Filmmakers began shooting remotely, streamlining their crews and finding new ways to tell their stories. The terms ‘Bio-Bubble’, ‘Skeleton Crew’ and ‘Covid Marshals’ quickly entered the lexicon. As audiences began to watch content in the comfort of their homes, OTT platforms began to expand the scale and genres of content they housed. India’s OTT content investment reached $700 million in 2020, according to the Indian Brand Equity Foundation and is projected to grow at a steady 18 percent CAGR. International players are expected to increase the number of original shows and broadcaster-led OTT platforms are following suit.
According to a report by Omdia, audiences could expect 400 original titles this year compared to less than 200 in 2020. For the more intimate, personal, lighter stories that are increasingly infeasible to bring to the big screen, OTT platforms have provided a home, where they can reach the audiences they are meant for. In the last year, digital rights grew by 86 percent to reach ₹35.4 billion, as many films were released directly on OTT platforms at margins that compensated producers for lost theatrical revenues.
The current situation has incentivised producers to work within more stringent parameters than before. With eyes set on making the financials work and reducing risk, but with a keen view on the horizon for quality content, the entire process of filmmaking has had an overhaul. Crews have been minimised, virtual meetings have replaced in-person narrations and discussions, budgets have been chalked out more cautiously, and production teams have endeavoured to deliver to the same standard as before but with curtailed resources. Short-form content platforms are also booming and their content creators growing.
While Hindi cinema saw a tepid response with lower theatre occupancies, Southern states were an exception to the rule, where occupancies varied from 30 percent to 100 percent. Tamil film Master (left) and Kannada film Roberrt (right) ran to packed houses despite the pandemic
This ties in directly with the surge in smartphone usage; a statistic that India leads globally, with users spending roughly five hours a day on their smartphones, the highest in the world. The smartphone has allowed young creators to find their expression through short-form content, and they have begun pushing the limits on what traditional media has defined as content. This burst of creativity has come predominantly from non-metro cities, signalling a potentially untapped market for creators of all kinds.
Of course, the big question everyone is asking is will audiences come back to the cinemas or has this last year made them so used to on-demand content that they will not want to go through the trouble anymore?
Multiplex chain operators and single-screen cinemas have been suffering from the lack of a fresh slate of releases, poor footfalls and mandated restrictions. While the current numbers depict a grim picture, I do believe the experience of the cinema is beyond the realm of pure convenience and accessibility. The big movie experience is a communal experience that has been built and nurtured over more than a century. Our industry will doubtless need to bring fresh stories to the big screen in a manner that tempts audiences enough to step out and immerse themselves in them. Not only will this improve the quality of cinema, but also inject more confidence into risk-taking movie-makers in the business, leading to a virtuous cycle. And if you’re still more trusting of the cold numbers, a survey by the Multiplex Association of India last year revealed that 83 percent of respondents admitted that they missed watching movies at cinema halls. So there!
Our biggest strength as a nation has always been our diversity. The kaleidoscope of thoughts, ideas, experiences and personalities that come together to give us our unique place in the sun.
In the same way, notwithstanding the current headwinds, our industry will thrive due to the myriad ways in which content can now be consumed. The big film experience, the more intimate OTT film, the linear TV family viewing experience, the on-the-go mobile personal entertainer or even the magic of the stage are different arenas for storytelling, which don’t necessarily have to compete. The way forward is a more efficient landscape supported by better infrastructure and hopefully more progressive policy, driven by authentic storytelling and powered by intelligently priced offerings. With this, we still have the potential of being recognised as the world’s cultural hub for storytelling in the decades to come. You may call me a dreamer, but I’m not the only one!  </t>
  </si>
  <si>
    <t>The year 2020 saw one of the biggest global shutdowns of the entertainment industry. The impact of this worldwide film and TV production shutdown was perhaps felt nowhere more than in India, where the world's most prolific film industry was forced to go on a hiatus. India is the second-largest television market in the world. It has a large broadcasting and distribution industry with approximately 900 satellite T.V. channels, 6,000 multi-system operators, around 60,000 local cable operators, and 7 D.T.H. operators. We also have close to 2,500 multiplexes across the country.
Unlike other sectors, Entertainment and Media industries have also faced unprecedented turbulence in the pandemic. According to F.I.C.C.I. and E&amp;Y Report, the industry fell 24% in the pandemic. Television channels must go on, and their viewership witness spike, as people are primarily at their home and T.V. sets or mobile phone was the only way to connect with the outer world. Unfortunately, this did not result in a similar increase in revenue. Every segment has witnessed a decline in revenue except digital and online gaming. According to the study of EY, digital media had overtaken print, and online gaming had overtaken the film entertainment segment in 2020.
Last year few movies had to pull out from the theatre and eventually released on the O.T.T. platform. However, many big-ticket films from mainstream and regional languages have also been delayed because various state governments ordered to close the Cinema Hall. When the prime minister announced nationwide lockdown sealed the fate of several projects, which directly impacted daily technician and marginal workers employed in the art, commerce, and light department who were dependent on industry for their livelihood.
Not only the film industry, but even the event industry has also suffered a lot, approx. 10 million people were affected by the crisis. M.I.C.E. (meetings-incentives-convention-exhibition) is a 500,000-crore market including organised and unorganised sector put together, and COVID-19 is responsible for impacting job.
As per the study by EY, the media industry would grow 25 percent this year to reach Rs 1.73 trillion, covering up for the loss suffered in 2020. The study says the market would cross the Rs 2.2-trillion-mark by 2023, growing at a compounded annual growth rate of 17 percent.
Industry players don’t have any other option except experimenting with digital and virtual space, giving new exposure to them.
OTT entertainment platforms gain acceptance in Covid times Life will be marked as the ‘pre-covid’ era and ‘post -covid’ era when travel and other restrictions forced people to adjust to a new world and consumer behaviour is rapidly evolving. As a result, there is an ever-increasing demand for the O.T.T. platform, which is expanding to new demographics and locations. It coupled with the continued proliferation of internet users with cheap data and smartphones led to a rise in subscriptions.
Abhishek Singh, Founder of CelebBazaar, highlighted, “Yes, the pandemic has affected all the industries, but on a positive side, for the entertainment industry, it has accelerated the subscription trend (of O.T.T. platforms) because of increased in-home spending. Subscriptions for top O.T.T.s grew by 55-60 percent as has many of them also made inroads into tier two, three and even four cities.” he further added on the current scenario “As a consequence of this lockdown revenue from this industry was hit big time. The annual box office earnings of Bollywood stand at a little over Rs 3,000 crore, but in the year 2020, it was around Rs 500-600 crore only.” Abhishek said Varun Bansal, Founder and C.E.O. of Limelight Entertainments, highlighted how the event industry has taken a hit, and people from top to bottom are affected “Naturally, one of the worst affected by the pandemic was the events industry. 2020 saw the cancellation of many prominent festivals, sporting events, exhibitions and concerts in an effort to slow the spread of the virus. The restrictions imposed due to the pandemic have also impacted private events, bloodwood movie promotions, movie shootings and celebrity appearances.
Future of media and entertainment industry Given the current scenario, it is understood that the time is ripe for O.T.T.s, even in 2021 when people are still hesitant to go to theatres. “The film industry went through an entire industry shift when O.T.T. platforms bypassed the theatrical release of a film and started releasing mainstream Bollywood films on their platforms. This trend is going to continue as people are still wary of going to the theatres,” said Abhishek Singh, Founder CelebBazaar. While the future prospects are in favour for O.T.T.s, not all hope is lost for multiplexes. “Watching a movie in a multiplex is an immersive experience. Multiplexes have to communicate this message very assertively while taking care of the safety norms,” said Abhishek.</t>
  </si>
  <si>
    <t>After keeping fans waiting, the makers of the upcoming Telugu film Pushpa The Rise finally released the trailer on Monday night. The trailer launch was delayed for over three hours citing some “unforeseen technical issues”. Whatever the reason may be, the final cut of the trailer is almost flawless as it is a solid blend of everything that the makers promised us since the film went into production.
The trailer is raw, dense and follows a unique treatment, which seems drastically different from run-of-the-mill big hero masala movies. The film promises a visceral and visual experience of a memorable kind as opposed to eardrums bursting high decibel screaming match between two men hopped up on steroids.
There is so much going on in the trailer. The basic plot seems to be a turf war between the natives of the forests and the greedy men who possess sweeping powers that can bend the system to their will. There seems to be a massive market for a certain kind of tree wood, which is known as “red gold”. And Allu Arjun’s Pushpa Raj is one of the locals of the forests and he’s also a woodcutter. And it seems no amount of firepower and political power is enough to bring him down to his knees, because “Pushpa Raj, Thaggede Le (I won’t relent).”
We also see Fahadh Faasil in a blink-and-miss appearance in the trailer. The movie marks his debut in the Telugu film industry. Perhaps, director Sukumar has reserved more of Fahadh’s performance for the second part of Pushpa.
Pushpa marks Allu Arjun’s reunion with director Sukumar and composer Devi Sri Prasad. The trio has earlier delivered two blockbuster movies: Arya and Arya 2. It is noteworthy that it is Arya that turned Allu Arjun into an overnight sensation.
Don't Miss These Stories
The Verdict: Jai Bhim versus Sooryavanshi
Not Amrish Puri, Anupam Kher was Mr India's Mogambo but was 'dropped' after 2-3 months
Arpita Khan prayed Aayush Sharma outshines Salman Khan in Antim: 'She said if I messed this up...'
CLICK HERE FOR MORE
The movie also stars Rashmika Mandanna who will be sharing screen space with Allu Arjun for the first time. She was last seen in the 2020 release Sarileru Neekevvaru, opposite Mahesh Babu.
The first part of the two-part crime drama is getting ready to hit the screens on December 17, aiming to cash in on the Christmas holiday. The film’s production is going on at a brisk pace. The makers recently shot a special dance number with Samantha Ruth Prabhu.</t>
  </si>
  <si>
    <t>It’s been a turbulent period of about 14 months for the Hindi film industry. While film industries across the world have suffered heavily on account of the COVID-19 pandemic, most have managed to get at least a few big releases out since the outbreak in early 2020.
Even in India, the South industries, especially Tamil and Telugu, have seen a few releases, including successes like Master, Vakeel Saab, Uppena and Jathi Ratnalu. But when it comes to Hindi cinema, the theatrical business has been a no-show. Even as films started releasing in the South, Hindi filmmakers stayed away, waiting for the situation
on ground, especially in the metros of Mumbai and Delhi, to get better. A few mid-level films like Roohi and Mumbai Saga released, and some bigger ones were expected to follow, but the deadly second wave has wreaked havoc since then.
Know all about the latest goings-on from the advertising, media and marketing industry with our newsletter
Subscribe to our Newsletter
Enter your e-mail address
Agree to our Terms and Privacy Policy
But the period from April 2020 till now has not been uneventful at all for Hindi cinema. With theatres closed, OTT platforms have become the port of call for many Indian film producers. Gulabo Sitabo, Shakuntala Devi, Dil Bechara, Laxmii, Coolie No. 1 and now Radhe… the list of Hindi films opting for a direct-to-OTT release (though Radhe had a simultaneous theatrical release overseas) is long and growing.
Some of these films have gone on to do very well. Dil Bechara, which was released free (AVOD) by Disney+ Hotstar as a tribute to its lead actor who passed away June last year, clocked an estimated 75+ Million views in India, a record for any OTT property in the country thus far. Laxmii (25 Mn) benefited from Disney+ Hotstar’s huge reach too, though it was behind the paywall, unlike Dil Bechara. Coolie No. 1 amassed good numbers (14 Mn) for Amazon Prime Video, and Radhe has given Zee’s attempt pay-per-view (PPV) model a boost, with 10 Mn+ views so far. Radhe, Coolie No. 1 and Laxmii had to face severely negative reviews from most critics. But a sizeable section of the audience still watched them, especially over the first week.
Many analysts have concluded that the damage to the theatrical business in India will be irrevocable, and that the future of Indian cinema (or Hindi cinema at least) will be entwined with the OTT category. This, however, is a case of an opportunistic tendency to comment on trends in a way that suits the optics of the day. Many commentators, and even journalists, are guilty of this this tendency. Over the last year, I have often been asked my views on this
topic as a part of a story a business publication is doing. In a majority of cases, the story has already been positioned as ‘pro-OTT, anti-theatres’. I should explain why I vehemently disagree with this misleading and over-simplistic narrative being peddled around.
The reasons are plenty, but I’d focus on only three of them here. To begin with, cinema is a social, outdoor medium. In all our research around theatrical consumption, the experience of going to a theatre with friends or family is often the primary motivation, rather than the specific film being watched. OTT is a more intimate medium, still led largely by personal consumption on the smartphone, where the viewing is anything but 'social' in nature. The social need fulfilled by movie theatres can only be compensated by other such modes of entertainment, say sporting events or plays.
The second reason is related to another unique need that movie theatre viewing satisfies: that of providing larger-than-life entertainment on the big screen. Films like those in the Bahubali and the Avengers franchise are watched on the big screen because of the magical experience that viewing provides. Much before the pandemic came in, audiences across the world were already segregating films in their heads as those for theatres and those for
streaming. It was strikingly evident that with the growing penetration of streaming platforms, more intimate, emotional stories may not get a sizeable interest in the theatres, which will increasingly become the medium for big-screen, make-believe event films. The pandemic has only accelerated this trend that was decisively shaping up, even in India, since 2018.
The third reason is economic in nature. The typical business model of a big-ticket starcast film requires sizeable recoveries from three sources to ensure a minimum profit level: theatrical, satellite and digital. If we skip the theatrical component, the onus is on the other two to ‘fund’ the film. The contribution of theatrical revenue for an average Indian film was 65% in 2019. If the 35% had to fund the remaining 65%, several films will become commercially unviable at the onset. OTT platforms in India may be currently shelling out a premium for some of these big films, but that’s a short-term marketing investment to attract new subscribers, and not a plan sustainable in the long run.
Cinema is safe. Let me stick my neck out and predict that 2022 will be biggest year ever at the Indian box office. There’s only one thing that can stop that from happening. And that one thing is a botched-up vaccination strategy, not the OTT category.</t>
  </si>
  <si>
    <t>There is always an ongoing debate about North India versus South India be it politics, culture, art, food and so on. Even entertainment which is supposed to be a unifying force given that it allows people to be lost in a phantasmical world for a few hours, all has a clear North-South invisible line dividing it. Whether this be due to the multi-linguistic nature of our country or other factors, no one can deny that the Indian film industry is so varied in its stories and filmmaking across the country. And this diversity is also what makes our entertainment industry unlike any other and makes it a market more difficult to predict and grow in. However, Hindi cinema was always seen as ‘Indian cinema’ and that is where the major perception change needed to happen. And it has, finally.
Today, there is a lot to cheer about since Bollywood films are no longer considered the benchmark for Indian cinema and nor are they the only kind of cinema that mainstream movie goers are seeking. Films from across regions in India are now being sought-after for their strong, unique content; the talented actors; the acclaimed technicians and musicians, and the freshness they provide from the over-the-top, unrealistic films that have been common fodder for many years now. Take the Malayalam film ‘The Great Indian Kitchen’ directed by Jeo Baby. Baby told media that the movie starring Nimisha Sajayan and Suraj Venjaramoodu, was rejected by both Amazon and Netflix and premiered on a small digital platform, Neestream (where I watched it). Post raving reviews and views, Amazon Prime Video came back to pick up the film. Now, it’s being hailed as one of the best Indian films not just by the audience but even by celebs.
Regional film industries are not being given their due lament numerous filmmakers from south India. Talented young actors from south India like Dhanush, Fahadh Faasil, Nithya Menen, Parvathy or Siddharth, prefer to work in their own language or in south India for a variety of reasons. The question is how many people up North know about them and watch their films. Most south films are highly content-driven and portray realism sans the glam and bells and whistles, and this may not be everyone’s cup of tea. What is undeniable though is that talent scores every time. Dhanush’s latest flick ‘Karnan’ is a caste-based film set in a rural milieu and director Mari Selvaraj has delivered an audacious film. The audience is predicting that Dhanush, who just won his second National Award, is all set to bag a third while Selvaraj may walk away with Best Director too.
The list of films that one must watch from smaller film industries is many and it’s imperative not just for the Hindi film industry to recognise this talent and content but also for OTT platforms to give small filmmakers and small films their due. Many small filmmakers state that OTT platforms only seek big names to attract the audience but the fact is that unique stories that are well told with strong performances will always have a ready audience. Firstly, some OTT platforms use mediators to buy content and this is a major hurdle since mediators will push films that they like versus what the audience will like and what the platform needs. This is definitely not the right strategy to adopt in our country given what we know about mediators and the middle man business. Secondly, OTT platforms often lack the requisite knowledge with regard to our cultural landscape and corresponding content aesthetics. Stars and well-known directors may bring immediate eye-balls to an OTT platform but it won’t translate into long-term usage of the platform by the viewer unless there is quality content on the platform. Thirdly, given the pandemic and how it has affected the theatrical business across the globe, OTT platforms need to give opportunities to smaller filmmakers and talent more than the big production houses. Small filmmakers have proved that they can make successful films on shoestring budgets of Rs 1.5 to Rs 2 crores.
Now that theatres are back to 50% occupancy and night curfew is on across several states, the audience seems to be heading back to digital streaming platforms. Hope OTT players give more opportunities to smaller filmmakers not just from Hindi film industry, but across all film industries in India.</t>
  </si>
  <si>
    <t>Struck by the COVID-19 pandemic, India’s media and entertainment sector collapsed by nearly a quarter in 2020. But an industry study projects a robust rebound.
The report, compiled annually by the Federation of Indian Chambers of Commerce &amp; Industry (FICCI) and consulting firm EY, shows that sector revenues shrank by 24% to $18.9 billion in 2020. That meant a return to  2017 levels.
The slump was very significantly worse than the 8.9% drop in India’s GDP announced by credit rating agency Moody’s.
Film and television were the biggest losers. Because of lockdowns and social distancing restrictions, only 441 films were released in Indian cinemas during 2020, compared to 1,833 during 2019. Consequently, film sector revenues fell 62% from $2.63 billion to $997 million. Between 1,000 and 1,500 cinema screens are estimated to have shut down permanently, reducing India’s overall screen count to around 8,000.
The television segment fell 13% from $10.8 billion in 2019 to $9.4 billion in 2020, mainly due to reduced advertising revenues.
Unsurprisingly, thanks to a captive audience, the biggest growth was in digital subscriptions. Some 28 million Indians, up from 10.5 million in 2019, paid for 53 million streaming subscriptions in 2020, leading to a 49% growth in digital subscription revenues. Growth was led largely by Disney Plus Hotstar which put the lucrative Indian Premier League cricket tournament behind a paywall and pulled in new subscribers as a result.
There were also increased content investments by Netflix and Amazon Prime Video and launches of several regional language products. In addition, 284 million Indians consumed content which came bundled with their mobile data plans.
A portion of the loss from the film industry’s theatrical revenues was recouped through higher digital rights revenues. These almost doubled during 2020 to $483 million as producers decided to go direct to streaming with some content.
The report paints a picture of growth in 2021. For films, it cites pent up demand for the theatrical experience with titles such as S.S. Rajamouli’s “RRR” and multi-starrer “Sooryavanshi” due to hit the big screens.
Overall, the sector which encompasses television, digital media, print, online gaming, filmed entertainment, animation and VFX, live events, out of home media, radio and music, is poised to to recover 25% in 2021 to reach $23.7 billion, and then to grow at 14% to reach $30.6 billion by 2023.
Among these, television is set to recover almost to 2019 levels. The report forecasts revenues of $10.5 billion in 2021. Digital media is forecast to grow from $3.2 billion to $4 billion. Film is forecast to reach $2.1 billion, which is still well below 2019 levels. Animation and VFX is forecast for a big bounce from $732 million to $1 billion.</t>
  </si>
  <si>
    <t>India’s film industry, purveyor of song-and-dance spectacles to millions, will take at least two years to recover financially from the coronavirus pandemic, which is threatening big-ticket projects, putting at risk tens of thousands of jobs.
That was the sombre assessment of about a dozen top producers, distributors and actors from Bollywood, the movie industry in India’s commercial capital of Mumbai, during a video conference this week, one of the participants said.
KEEP READING
The Stuntmen of Bollywood
Bollywood and the politics of hate
“Making movies has always been a gamble, and now some of us can pack up for the next year,” said a filmmaker responsible for many successful action movies, on condition of anonymity. “We will have to beg people to come to cinema halls.”
Such dim prospects, even after the lockdown is lifted, threaten the box office takings that make up 60 percent of industry earnings, spurring producers to say big-budget films and extravagant shoots in foreign locations will be shelved.
“Films will have a tough time,” said Jehil Thakkar, a partner at accounting firm Deloitte India. “Even after they lift the lockdown, I’d expect the psyche of a lot of people would be to avoid crowded places.”
Bollywood has come to a grinding halt, with film production and theatres shut nationwide, after Prime Minister Narendra Modi imposed a 21-day lockdown, which was extended by 19 days, to curb the virus, which has infected more than 35,000 people and killed nearly 1,150 in India, according to Johns Hopkins University data.
About 9,500 theatres are shut, and business at multiplexes and single-screen cinemas is unlikely to bounce back for weeks or even months, as infection fears linger and discretionary spending plunges.
“Theatres may not open before mid-June on a pan-India level and normal occupancy may not come back until August,” Karan Taurani, an analyst with investment firm Elara Capital, said in a note, adding they may have to slash prices to lure viewers.
Industry figures show India makes 1,200 films in a typical year, but Taurani sees big-budget movies getting pushed into the next fiscal year, as production houses battle a liquidity crunch amid falling box office revenues.
For example, the release of Bollywood’s first attempt at a multi-hero action franchise, filmmaker Rohit Shetty’s Sooryanvanshi, has been postponed indefinitely from a late March schedule.
“It is likely that even after theatres reopen, only smaller films will be released, so that producers get a sense of how many people are coming to them,” Shailesh Kapoor, head of agency Ormax, which tracks Bollywood films, told Reuters news agency.
With such a reopening unlikely until at least mid-May, and no new releases in the last month, trade analyst Girish Johar estimates lost box office revenue at more than $130m over the period.
Shares plunge
Shares of India’s two largest multiplex operators, PVR and INOX Leisure, have plunged more than 40 percent from all-time highs in late February.
Brokerage Emkay also slashed its rating on both to “hold” from “buy”, saying they would suffer declines of more than 50 percent in visitor numbers, ticket sales, advertising revenue and food and beverage sales in the fiscal year 2020-21.
Theatre owners fear that in future they will have to record customers’ names and addresses, check temperatures and ensure sanitisation, use of masks, and social distancing, all of which downgrade the audience experience while boosting costs.
Top-grossing actors and directors can tap savings to ride out the downturn, but it will hit tens of thousands of common workers who get paid by the project – from movie extras to dancers, stagehands and technicians.
“Things are pretty bad right now for us, but worse for those who work on our films on a day-to-day basis,” said Vinod Bhanushali, the head of marketing for production house T-Series, which has 12 films stalled by the crisis.
Industry veterans warn the steepest slump in years may lie ahead for Bollywood, as virus infections in Mumbai, the home of the Hindi movie industry, make up about a fifth of India’s tally.
“Everything will have to be calculated after the lockdown ends and when some form of normalcy returns,” said Bhanushali.
For Sakshi Bhagat, whose dreams of becoming a filmmaker lured her to Mumbai in 2013 from the northern temple town of Varanasi, the lockdown has been a rude shock.
“It’s been so difficult to get payments from production houses for work I did,” said the assistant director. “No one wants to pay.”</t>
  </si>
  <si>
    <t>India's film industry is world-renowned for its glamour, vibrancy, and drama. Having produced gems like 3 Idiots, Dilwale Dulhania Le Jayenge, Bahubali, and the list goes on and on, the Indian film industry has a reputed position in the worldwide film industry. Film produced in India is consumed and loved all around the world. According to the Guinness World Records India continues to be by far the world's largest producer of films, producing 1724 films in 2013 compared to 738 films produced in the USA, and 638 films produced in China.
While Hindi language cinema dominated the multi-billion-rupee industry, within the Indian film Industry there are numerous film hubs all across the country differentiated by the regional languages like Telugu, Tamil, Marathi, Bhojpuri, Bengali, and many more. This dominant Hindi cinema is termed Bollywood. Bollywood films are popular for their unique filmmaking recipe featuring complex dance routines, singing, emotion-charged melodrama, and remarkable cast scenes.
Follow NewsGram on Instagram to keep yourself updated.
When you study the global box office presence, Bollywood remains in the lead with the largest numbers in respect to sales. However, despite it surpassing Hollywood (the western filmmaking industry) in respect to the number of tickets sold annually, Bollywood still has a long way to go climbing the ladder of total revenue.
Indian filmmaking first began in Bombay around the 1930s. The city was later named Mumbai but the film-making industry kept the name Bollywood as its legacy. Filmmakers ventured into experimenting with silent films, Bombay Talkies was launched in 1934 by Himansu Rai which helped spearhead the further growth of the Indian Cinema. Over the years several classic genres emerged from Bollywood: the timeless historical epics like Mughal-e-Azam, the dacoit Western-like Sholay, the courtesan, emotionally heavy films like Pakeezah highlighted striking cinematography and sensual dance choreography; even movies with mythological genres like Jai Santoshi Maa received love from the audience.
Raja Harishchandra movie
Indian filmmaking first began in Bombay around the 1930s.
By the 21st century films produced in India have become increasingly popular amongst international audiences, which brings in more revenue to the country. Indian Film Industry continues to employ a large number of populations to date. The increase and reach of India's movie industry have had a major impact on foreign economies. The fact that foreign countries compete to host Bollywood shows and movie award shows further amplifies the influence of Bollywood in international filmmaking.
ALSO READ: Here's a Glimpse of a “Defining Decade" for Bollywood
The increase in popularity of the OTT platforms like Netflix, Amazon Prime Videos, HBO, etc. has paved the way for Indian films to be released worldwide to anyone who has access to the platform. Thus, as the world is slowly turning into global villages Indian filmmakers can create global content.</t>
  </si>
  <si>
    <t>Kannada action thriller 'Madagaja' released last week has managed to set the box office on fire despite fears of Omicron in the State. Huge crowds turned out at theatres and multiplexes across the State and cheered up for the movie. 'Madagaja' starring Srimurali, directed by Mahesh Kumar and produced by Umapathy Srinivas Gowda has been released in over 900 screens. In the last three days, the film has seen 7,400 shows and registered a collection of Rs 20.23 crore and set a new record, according to sources in the industry. Also Read - Puneeth Rajkumar's wildlife documentary teaser is a visual treat ADVERTISEMENT The trailer and making of the film had generated a lot of interest in the movie. Audiences await Srimurali's movies as he does few movies and is usually only involved in big projects. Director Mahesh Kumar declared that the film was a super hit. "We had confidence in the movie as it has come out wonderfully on the celluloid. But, we feared that the precarious Covid situation would prevent the audience from turning out to theatres. Now, we don't have such fears. The audience response has exceeded our expectations. The big investment, our hard work has paid off," he says. The movie is dubbed in Telugu, Tamil languages as well.
https://www.thehansindia.com/cinema/sandalwood/puneeth-rajkumars-wildlife-documentary-teaser-is-a-visual-treat-718462?infinitescroll=1</t>
  </si>
  <si>
    <t>With losses of over Rs 900 crore, the Malayalam film industry is staring at its worst crisis ever. In the past 17 months, the smallest of the four South Indian film industries has faced one crisis after another, with a slew of films including possible blockbusters still lying unreleased.
The film exhibitors are also in crisis. Kerala has 620 theatres including 289 multiplexes which are now again closed after the second wave of Covid hit the state in May. During the first wave, the state government had shut theatres and banned film shoots from March 2020 to January 2021. While briefing the media on June 14, Chief Minister Pinarayi Vijayan revealed that the state government is mulling the possibility of replacing the statewide lockdown with regional lockdown in areas where a high positivity rate is reported. Currently, the state has an average positivity rate of 11.3%.
Many big budget movies like the Mohanlal-Priyadarshan team's Marakkar-Arabikkadalinte Simham, the Fahad Faasil- Mahesh Narayanan team’s Malik, the Nivin Pauly-Rajeev Ravi venture Thuramugham, Prithviraj’s Kuruthi, the Prithviraj-Blessy team’s Aadujeevitham, ChembanVinod-Lijo Jose Pellissery’s science fiction horror Churuli and Dulqar Salman’s Kurupu (based on the life of murderer Sukumara Kurup) are waiting for release. Many of these films, with collective spends of about Rs 270 crore, have completed post-production and were scheduled for release in 2020-21.
ADVERTISEMENT
“Uncertainty rules the film industry in Kerala as we have no idea when the theatres will open. In March, the theatres opened with 50 per cent attendance but two months later, they closed down after the current lockdown was announced on May 8. Around 60 films are waiting for release,” says M. Renjith, a film producer based in Thiruvananthapuram.
Covid had paralysed the Malayalam film industry which has an annual turnover of Rs 800 crore. The fallout put the industry in a tight spot as around 5,000 people directly and another 10,000 indirectly have been unemployed in the past 17 months.
ALSO READ | The entertainment industry in a pandemic
CHECK THESE OUT
MORE
Rashmika Mandanna surprises Allu Arjun with special goodies, says good luck to us for Pushpa
Rashmika Mandanna surprises Allu Arjun with special goodies, says good luck to us for Pushpa
RECOMMENDED
Pooja Hegde wraps up Radhe Shyam dubbing ahead of grand release in January 2022. See pic
Pooja Hegde wraps up Radhe Shyam dubbing ahead of grand release in January 2022. See pic
RECOMMENDED
Marakkar Movie Review: Mohanlal film is a visual extravaganza
Marakkar Movie Review: Mohanlal film is a visual extravaganza
RECOMMENDED
Pushpa trailer out: Allu Arjun and Fahadh Faasil deliver high-octane performances
Pushpa trailer out: Allu Arjun and Fahadh Faasil deliver high-octane performances
RECOMMENDED
New love nest for Vicky Kaushal, Katrina Kaif after wedding. What's the price?
New love nest for Vicky Kaushal, Katrina Kaif after wedding. What's the price?
MOST READ
Jr NTR and Ram Charan's RRR trailer to release on December 9, confirms SS Rajamouli
Jr NTR and Ram Charan's RRR trailer to release on December 9, confirms SS Rajamouli
RECOMMENDED
The film industry was already in the doldrums even before Covid struck. According to an industry insider, a majority of the films produced in Malayalam are done in a haphazard manner. “Most of the films fail at the box office and incur heavy losses because the producers are unfamiliar with the intricacies of film making,” a production controller who wanted to remain anonymous told indiatoday.in. Of the 192 films released in 2019, only 23 films broke even and only seven of those, including Thanneer Mathan Dinangal, were box office hits.
“It’s hard times for the film industry. The artists, technicians and supporting staff are struggling to get by as they have been without work for many months. We have no idea when this will be over,” says director and actor Basil Joseph. The 31 year-old, an engineer by profession, has directed three well-appreciated films; his latest, Minnal Murali starring Tovino Thomas, is awaiting release.
“We make a film for a particular time and the delay in release may hurt its success. Most of the films which completed production were meant for theatres and not for OTT release,” he says. According to him, the state government should step in and design strategies to save the industry from disaster.
Award winning actor, scriptwriter and producer Chemban Vinod Jose has also appealed for a government-industry joint partnership to tide over the current challenges. “I have also been hit by the pandemic. I co-produced Churuli which is ready for release. We couldn’t release it due to the lockdown. I feel the time has come to float Kerala’s own OTT platform to release the films shelved during Covid. Kerala is the only state which has its own Kerala Fiber Optic Network (K-FON) which aims to provide free internet to 3 million poor families. So it will be ideal for the state government to float a platform jointly with stakeholders in the industry to release films. The initiative will be a great beginning and could help get the industry back on its feet,” says Chemban. The state government is hopeful that K-FON will be completed by October, but the possibility of an alternative OTT platform on it is still a long way away.
ADVERTISEMENT
The pandemic has forced all the top stars, including Mammooty and Mohanlal, to remain at home for more than 300 days now. As for Covid, youth icon Tovino Thomas tested positive but has since recovered.
Meanwhile, the Mohanlal-headed Association of Malayalam Movie Artists (AMMA) and the actor-cum-scriptwriter Renji Panicker-led Film Employees Federation of Kerala (FEFKA) have approached the government about declaring an aid package for the industry and to support filmmaking in the state.
The dynamics of the Malayalam film industry is quite different from the other south Indian film Industries. Unlike films in Kannada, Tamil and Telugu where mega production houses and corporate-political backing are the norm, a majority of films produced in Mollywood are from small production houses or one-time NRI initiatives. They mostly vanish from production, especially if the first venture bombs at the box office.
ADVERTISEMENT
OTT releases are a new experiment for Mollywood. The Mohanlal starrer Drishyam-2 collected Rs 25 crore from OTT and Rs 15 crore from satellite rights. Cyber-crime thriller Operation Jawa, directed by Tharun Moorthy released on Zee5, while the Fahad Faasil films, Joji and Irul, have had good success on OTT platforms.</t>
  </si>
  <si>
    <t>Kannada film industry and politicians in Karnataka are gearing up to celebrate late actor Puneeth Rajkumar with a special event on November 16. The entire film industry will shut down for the entire day. The three-hour event will see who's who of Sandalwood and members from other film industries in attendance. Karnataka Chief Minister Basavaraj Bommai and several other politicians will attend the event.
A SPECIAL EVENT TO CELEBRATE PUNEETH RAJKUMAR
Kannada superstar Puneeth Rajkumar suffered a massive heart attack and died on October 29 at Vikram Hospital in Bengaluru. He was laid to rest at Sree Kanteerava Studios in Bengaluru with full state honours. Nearly 30,000 fans have been visiting his memorial every day since his death.
The Karnataka Film Chamber of Commerce (KFCC) along with Sandalwood Film actors' and Technicians' Associations will be organising the event titled Puneeth Namana. Due to the Covid-19 pandemic, there will be restrictions in terms of the guest list.
The organisers have invited members from the neighbouring states and their film industry and chambers too. According to reports, 1,500 people will attend the event, which will also be telecast live on television.
Karnataka Chief Minister Basavaraj Bommai, leaders of the opposition and other dignitaries will be attending the event. There will be special tributes to Puneeth Rajkumar by members of the Kannada film industry. A special song, written by Dr V Nagendra Prasad and composed by Gurukiran will be played during the event.
ADVERTISEMENT
ABOUT PUNEETH RAJKUMAR
Kannada superstar Puneeth Rajkumar's untimely demise sent shockwaves across the state. He was 46 years old. He is survived by his wife, Ashwini Revanth, and two daughters, Drithi and Vandhitha.</t>
  </si>
  <si>
    <t>South Indian language film industries comprising Tamil, Telugu, Kannada and Malayalam have incurred an estimated loss of ₹1,000 crore in nearly 18 months when theatres remained shut off and on, new film releases were delayed or sold directly to OTT (over-the-top) streaming platforms, according to two trade experts who declined to be named.</t>
  </si>
  <si>
    <t>The Bollywood film industry is one of the largest cinema hubs in the world. It is renowned for glamour, vibrancy, and culturally enriched drama. From historical adaptations to heart-plucking romances to eyebrow-raising thrillers, Indian cinema has something for everyone.
The Bollywood film industry ranks first in terms of annual film output as it produces roughly 1800 films per year. Nigeria, Hollywood, and China all follow after.
Most common thinking labels Bollywood as the face of the Indian film industry. However, Bollywood only makes up less than half of the total cinema output.
In simple terms, Bollywood is the Hindi language film industry. And there are over 30 industries based on regional languages. Tamil, Telugu, Malayalam, Kannada, and Tulu are among the top languages that make up Indian film.
An audience comprising of the world’s second-largest population consumes nearly 1800 films annually. That’s a boat-load of customers. And a boat-sized bag.
The chart below depicts past revenue generated and forecasts of the Indian film industry.
Bollywood Film industry
The Indian film generated roughly $2.5 billion in revenue in 2020 (slightly lower due to COVID-19 lockdowns).
With that given context, a question arose: what are the budgets for Indian films in 2021?
We took a look at the top -5 most expensive Bollywood film budgets in the works for 2021:
1. Ponniyin Selvan – Lyca Productions – ₹500 crore (US$70 million) (Tamil)
Bollywood Film industry
This upcoming Tamil-language film is a historical drama adaptation of the novel of the same name. Written five decades ago by Indian writer Kalki Krishnamurthy, the film revolves around the main hero Vandiyathevan.
He is a charming young man who sets out to the Chola land to deliver a message to the King and the Princess from the Crown Prince Aditya Karikalan. The story flickers between Vandiyathevan’s travels in Chola country and the young Prince Arulmozhivarman’s travels in Sri Lanka.
It has a star-studded cast that includes: Vikram, Karthi, Jayam Ravi, Amitabh Bachchan, Jayaram, Aishwarya Rai Bachchan, Trisha, Vikram Prabhu, Aishwarya Lekshmi, Sobhita Dhulipala
2. RRR – DVV Entertainment – ₹350–400 crore (US$49–56 million) (Telugu)
This Telugu period action drama film is set during the British Raj (1858 to 1947). The story is about two of India’s freedom fighters, Alluri Sitarama Raju and Komaram Bheem, who each take on the British Raj and Nizam of Hyderabad.
Like most big-budget films, the cast is filled with top talent including N. T. Rama Rao Jr., Ram Charan, Alia Bhatt, Olivia Morris, Ray Stevenson, Alison Doody, Samuthirakani, Chatrapathi Sekhar, Ajay Devgn, and Shriya Saran.
3. Indian 2 – Lyca Productions – ₹200 crore (US$28 million) (Tamil)
Bollywood Film industry
Filmed almost 25 years after its original release, Indian 2 will follow up on its predecessor’s success by following a similar storyline that takes place in the present.
Using modern age tactics, the protagonists of this film will battle against bureaucratic corruption. The movie’s plot has been kept under wraps for now. More updates are expected as the filming progresses.
The cast for this Tamil-language action film includes legends and today’s hottest stars: Kamal Haasan, Kajal Aggarwal, Siddharth, Rakul Preet Singh, Priya Bhavani Shankar, and Bobby Simha
4. KGF Chapter 2 – Hombale Films – ₹100 crore (US$14 million) (Kannada)
Officially the most expensive movie budgets in the history of the Kannada film industry, KGF Chapter 2 is a sequel to K.G.F.: Chapter 1. The plot centers around Rocky, a power player in the gold mafia.
His pursuit of greatness will take him from the gold mines to the urban jungle in this sequel. He’ll face challenges from the law and order of the government and opposition from other power players in the mafia.
The KGF Chapter 2 cast includes Indian film heavy-hitters Yash, Sanjay Dutt, Srinidhi Shetty, Raveena Tandon, and Prakash Raj amongst others
5. Marakkar: Lion of the Arabian Sea – Aashirvad Cinemas – ₹100 crore (US$14 million) (Malayalam)
Set in the age of exploration and imperialism, this film depicts the 16th-century battles of the naval admiral of the Samoothiri, Kunjali Marakkar IV.
The film follows Marakkar as he organizes the first-ever naval defense of the Indian coast from Portuguese invaders.
Priyadarshan directs this Malayam-historical war film and casts Mohanlal in the lead role. Supporting roles include Arjun Sarja, Suniel Shetty, Prabhu, Manju Warrier, Keerthy Suresh, Mukesh, Siddique, and Nedumudi Venu.</t>
  </si>
  <si>
    <t>Bollywood is placing risky bets on big-budget movies to draw audiences back to theatres amid continuing uncertainty about the course of the pandemic, rise of video streaming and dwindling number of theatres.</t>
  </si>
  <si>
    <t>The first occurrence of Covid-19 in India was officially recorded on 30 January last year in the city of Thrissur in the southern state of Kerala. Since then, Kerala’s capable handling of the pandemic has meant that it has been largely spared the brutal scenes and tragic images of the second wave of the pandemic elsewhere in India. Likewise, Kerala’s Malayalam-language film industry – right now the most dynamic of all India’s multiple regional producers – has seen a talented pool of young, new-wave film-makers deal superbly with the virus.
Where the Mumbai-based behemoth of Bollywood has barely chronicled this life-altering reality – the anthology Unpaused, released on Amazon Prime Video, is almost its only offering – Malayalam cinema is grappling with Covid with diverse film-making forms, styles and themes.
Relationships under the microscope ... Santhoshathinte Onnam Rahasyam –Joyful Mystery.
Relationships under the microscope ... Santhoshathinte Onnam Rahasyam –Joyful Mystery. Photograph: -
First-time director Sanu John Varghese’s Aarkkariyam (Who Knows?), which dropped on Amazon Prime Video recently, is about a young couple who shift temporarily from their Mumbai apartment, as the pandemic breaks, to a sprawling estate in Kerala where a disquieting secret and violent crime from the past is dredged up.
Dileesh Pothan’s adaptation of Macbeth, Joji, with Malayalam superstar Fahadh Faasil in the title role, is set during the pandemic among a dysfunctional, toxic, patriarchal family of plantation owners.
Advertisement
Independent writer-director Don Palathara puts relationships under the microscope in Santhoshathinte Onnam Rahasyam (Joyful Mystery), about a young couple facing an unwanted pregnancy, while his Everything Is Cinema is about a film-maker confined in a rented flat in an alien city with his actor wife, who decides to spend the time by making a film on their marriage from his personal perspective.
What has helped Malayalam cinema take on the pandemic so effectively?Despite its flourishing commercial core, the Malayalam film industry is a relatively small-scale enterprise, led by individual producers and not entrenched in big studio operations like its Hindi or Tamil counterparts. “The film-makers are quick in thinking up ideas, finding producers and moving fast on projects,” says Bina Paul, artistic director of the International film festival of Kerala. Paul also says that Malayalam cinema has always been “reactive”, quick in responding to changing social, political and economic realities. Back in 2019, filmmaker-actor Aashiq Abu made an edge-of-the-seat medical thriller called Virus, about the Nipah virus outbreak of 2018. It even had a fictional version of Kerala’s former health minister, KK Shailaja, lauded internationally for her efficient and empathetic tackling of both that outbreak and Covid. Acclaimed author NS Madhavan suggests that lockdown cinema is part of a thematic continuum. “For the past five years there has been a trend in Malayalam cinema of focusing on small, localised worlds, spaces, communities and situations,” he says.
Macbeth adaptation ... Joji.
Macbeth adaptation ... Joji.
Advertisement
This is all happening at a time when mainstream commercial Malayalam cinema, just like film industries in the rest of India, is in deep financial crisis. But the film industry in Kerala has been ingenious in working around the limitations imposed by the pandemic, using manpower, resources, money, locations and technology more frugally, efficiently and inventively than the rest. “It was the fastest in India to adapt to Covid restrictions,” says screenwriter Vivek Ranjit.
The rules for making lockdown-focused films have been simple: pick a subject that is more intimate than splashy, contained within a single location – usually a large house – has few characters and no difficult-to-mount scenes. Santhoshathinte Onnam Rahasyam has just two characters, with a third appearing briefly towards the end, is set entirely inside a car and was filmed in three days with the camera fixed on the dashboard. The exterior scenes in Everything Is Cinema were filmed before the pandemic; for the interiors, Sherin Catherine was the only actor, and director Palathara acted as a one-man crew filming her.
Aarkkariyam.
Pandemic tale ... Aarkkariyam
Palathara says he hopes that film-makers can keep the pandemic cinema flowing, finding creative ways to reflect our transformed social, economic and psychological states. The pandemic is very much an integral, inescapable part of our reality now – cinema’s most important role is to mark this crucial period in human history.
… as you're joining us from Korea, we have a small favour to ask. Tens of millions have placed their trust in the Guardian’s high-impact journalism since we started publishing 200 years ago, turning to us in moments of crisis, uncertainty, solidarity and hope. More than 1.5 million readers, from 180 countries, have recently taken the step to support us financially – keeping us open to all, and fiercely independent.
With no shareholders or billionaire owner, we can set our own agenda and provide trustworthy journalism that’s free from commercial and political influence, offering a counterweight to the spread of misinformation. When it’s never mattered more, we can investigate and challenge without fear or favour.
Unlike many others, Guardian journalism is available for everyone to read, regardless of what they can afford to pay. We do this because we believe in information equality. Greater numbers of people can keep track of global events, understand their impact on people and communities, and become inspired to take meaningful action.
We aim to offer readers a comprehensive, international perspective on critical events shaping our world – from the Black Lives Matter movement, to the new American administration, Brexit, and the world's slow emergence from a global pandemic. We are committed to upholding our reputation for urgent, powerful reporting on the climate emergency, and made the decision to reject advertising from fossil fuel companies, divest from the oil and gas industries, and set a course to achieve net zero emissions by 2030.</t>
  </si>
  <si>
    <t xml:space="preserve">It has been a tough year,” sighs Siddharth Roy-Kapur, president, Producers Guild of India. He can say that again. About two-thirds of the Indian film industry’s revenue was wiped out last year.
From Rs 19,100 crore in 2019, the world’s largest film producing industry now stands at Rs 7,200 crore, thanks to the pandemic. Theatres, the first to shut down and the last to reopen, took the biggest hit. Ticket sales slumped to 400 million, less than a third of 2019. Hundreds of thousands of daily-wagers who form part of the industry’s 700,000-strong workforce lost their </t>
  </si>
  <si>
    <t xml:space="preserve">They say that Bollywood is where India’s dreams are made. But at the moment it is not romantic reveries, fantasies of vengeance or snappy dance moves that preoccupy its film-makers. It is instead a dystopian nightmare, as two simultaneous epidemics threaten a century-old industry that produces more movies than its closest rivals, in China and America, put together.
One of these scourges is relatively new, and wreaking havoc in plain sight. For six months last year, covid-19 kept India’s 10,000 cinemas completely closed. The screens have since begun to open, but mostly at half-capacity and—because spooked producers have postponed their hoped-for blockbusters—showing only second-run fare. As a result icra, a credit-rating agency, anticipates that box-office revenue during the year to April will tumble by a crushing 80-85%. By last September these direct losses were already reckoned at $1.2bn; then there is the ripple effect along an entertainment-industry food chain that employs perhaps 300,000 people, as hundreds of productions were delayed or cancelled.
</t>
  </si>
  <si>
    <t xml:space="preserve">They say that Bollywood is where India’s dreams are made. But at the moment it is not romantic reveries, fantasies of vengeance or snappy dance moves that preoccupy its film-makers. It is instead a dystopian nightmare, as two simultaneous epidemics threaten a century-old industry that produces more movies than its closest rivals, in China and America, put together.
One of these scourges is relatively new, and wreaking havoc in plain sight. For six months last year, covid-19 kept India’s 10,000 cinemas completely closed. The screens have since begun to open, but mostly at half-capacity and—because spooked producers have postponed their hoped-for blockbusters—showing only second-run fare. As a result icra, a credit-rating agency, anticipates that box-office revenue during the year to April will tumble by a crushing 80-85%. By last September these direct losses were already reckoned at $1.2bn; then there is the ripple effect along an entertainment-industry food chain that employs perhaps 300,000 people, as hundreds of productions were delayed or cancelled.
</t>
  </si>
  <si>
    <t>Tensions prevail in the restive north-eastern Indian state of Nagaland following the killing of 14 civilians by soldiers.
Authorities have shut down internet services and imposed a curfew to quell mass protests.
Violence started on Saturday when an army patrol in Mon district mistook a group of labourers for militants and opened fire, killing six.
The army called it a "case of mistaken identity" but locals reject the claim.
An Indian soldier and seven more people died as angry locals clashed with the troops in the region. On Sunday afternoon, another civilian was killed by forces after protesters attacked an army camp.
Indian Home Minister Amit Shah, who is responsible for domestic security, has expressed "deep anguish" over the incident, and the Nagaland state government has promised a high-level inquiry led by a Special Investigation Team (SIT).
The violence marks one of the deadliest escalations in recent years in Nagaland, which has long been roiled by insurgency and ethnic divisions led by local militant groups. And it is not the first time that Indian security forces have been accused of wrongly targeting innocent locals in their operations.
Nagaland violence
IMAGE SOURCE,CAISSI MAO
Image caption,
As anger rippled, protesters torched cars and clashed with security troops in Mon
Saturday's incident took place in Mon, along the border with Myanmar (previously known as Burma), during a counter-insurgency operation led by soldiers of the Assam Rifles, an Indian army unit, and an elite para-commando battalion.
The Indian army said the soldiers had been responding to "credible intelligence inputs" about the movement of separatist guerrillas in the region, who often cross into Myanmar after attacking security forces.
Indian forces kill 13 civilians amid ambush blunder
The soldiers opened fire on a truck carrying coal miners to their villages for their usual weekend rest. The locals allege the firing was unprovoked, but the soldiers claim they fired when the miners "refused to cooperate", leading to suspicion that they were insurgents.
The army maintains the botched up operation was a "case of mistaken identity".
"It was truly a case of mistaken identity, so when angry locals set fire to a military camp on Sunday, the soldiers maintained utmost restraint and did not shoot at them," says Jaideep Saikia, a security analyst.
Neiphiu Rio, Chief Minister of the northeastern state of Nagaland, places a wreath on a coffin during a mass funeral of civilians who were mistakenly killed by security forces, in Mon district of Nagaland, India, December 6, 2021
IMAGE SOURCE,REUTERS
Image caption,
Neiphiu Rio, Chief Minister of Nagaland, places a wreath on a coffin during a mass funeral of civilians
But experts say "mistaken identity" does point to lack of "credible intelligence" and raises questions about counter-insurgency operations. The Nagaland police has lodged a complaint against the security forces, saying that it is "obvious" that their "intention" was to "murder and injure civilians".
"This is horrible and outrageous," said Sanjoy Hazarika, writer and commentator on north-east India. He blamed "the omnibus protection provided to the security forces" under India's Armed Forces Special Powers Act (AFSPA) as the "major obstacle to justice" in the troubled region.
AFSPA is a controversial anti-insurgent law that gives the security forces the powers of search and seizure. It also protects soldiers who may kill a civilian by mistake or in unavoidable circumstances during an operation. The law has been blamed for "fake killings" and campaigners say it is often misused.
Nagaland is home to India's oldest ethnic rebellion, dating back to the 1950s. The armed movement revolves around the demand for an ethnic homeland - a sovereign territory that includes Nagaland and all Naga-habited areas of the neighbouring states of Assam, Manipur, Arunachal Pradesh as well as Myanmar.
Will peace deal with Naga rebels work?
An agreement in 1975 led to the surrender of the biggest rebel faction, the Naga National Council. But a breakaway faction, National Socialist Council of Nagaland (NSCN), consisting of fighters trained and armed by China, denounced the agreement and decided to fight on.
In 1997, the NSCN's main faction led by Thuingaleng Muivah finally agreed to a ceasefire and started negotiations with the Indian government.
A "framework agreement" signed by the two sides in 2015 laid the basis for final settlement but the negotiations are stuck because Delhi is unwilling to concede the NSCN's demand for a separate flag and a separate constitution for Nagaland.
Indian troops, which attacked the truck carrying miners on Saturday, were hunting for guerrillas of another NSCN faction that opposes Mr Muivah's negotiations with Delhi and carries out attacks from its bases in Myanmar's Sagaing region.
Angry villagers torched vehicles belonging to Indian security forces from Assam Rifles after 13 civilian were killed by Indian security personnel in an anti-insurgency operation at Oting village under Mon District of the India north eastern state of Nagaland, India on Saturday night, 04 December 2021
IMAGE SOURCE,GETTY IMAGES
Image caption,
The Nagaland government has promised an inquiry into Saturday's violence
The 1,643km (1,020 miles) border between India and Myanmar is largely hilly, home to multiple separatist insurgencies on both sides.
One such rebel group, the Peoples Liberation Army, active in Nagaland's neighbouring state of Manipur, carried out a vicious attack on an Assam Rifles convoy last month, killing an army colonel, his wife and minor son and four soldiers.
Some say the troops were desperate to hit back to avenge the killing of their commander.
Others say their counter-insurgency tactics are outdated, the emphasis on "area domination" through show of force largely misplaced and that they need to win the "hearts and minds" of local people to gather "credible intelligence".</t>
  </si>
  <si>
    <t>The way south Indian cinema, especially Tollywood, has steered the revival of the Indian movie-making industry post-pandemic with rigorous measures and business operations has left all the stakeholders from other regions to sit up and take notice. There has been a regular stream of releases in theatres with quite a few box office successes.
Leading trade analyst Taran Adarsh pointed out the same in his recent tweet complimenting the Telugu and Kannada industries for their ambitious release plans for the coming year.
Firstpost got in touch with prominent personalities like (the lead hero and writer of upcoming Telugu-Hindi bilingual Major), Karthik Gowda (Creative Executive Producer, Hombale Films, the makers of KGF) from the south Indian film industry and trade analyst Taran Adarsh to talk about the recent trend of Tamil, Telugu, Malayalam and Kannada movies aiming for pan-Indian releases and why 2021 is going to be an exciting year for the south Indian cinema fraternity.
"It would be a major disservice to martyr Major Sandeep Unnikrishnan if his story isn't seen by the Indian film audience at large. He was a handsome young man who fought for the country like a true hero. The film's story and his character are the major driving factors behind the large scale of the film," Adivi Sesh said about Major.
How south Indian cinema is boosting theatrical business post COVID19 with panIndian projects
Adivi Sesh in a poster for Major. Twitter @taranadarsh
Karthik Gowda, who bankrolls KGF, said, "When we decide to go for pan-Indian releases, first and foremost, the subject has to be really fresh. The other-language audiences won't accept a pan-Indian film that has a storyline and treatment which they've already experienced before. We've had quite a few examples in the recent past that a pan-Indian release doesn't always guarantee a wide reach and success. The audience is used to large scale films and grand productions in every language. The magic with KGF was the totally new world that we presented to the audience in the second half; that's why everyone loved the film."
Taran Adarsh confidently says that the south is far ahead of Bollywood now. "We love watching South films here. They've shown courage post-Covid with all their exciting pan-Indian announcements and have set the ball rolling. Salman Khan was among the early birds in Bollywood to announce Radhe's theatrical release, then YRF followed and now there is a spree of announcements from other big Hindi films. The collections of South films are closely being tracked in the corridors of leading Bollywood production houses now. The success of Vijay's Master was an eye-opening moment here, and of course, it all started with the Baahubali phenomenon. Though the Hindi version of Master didn't do well, a lot of North people saw the Tamil version and the film's success gave an impetus to the entire Indian film industry post-Covid."
How south Indian cinema is boosting theatrical business post COVID19 with panIndian projects
Vijay Deverakonda in a poster for Liger. Twitter @taranadarsh
Adivi Sesh said his team has authentically shot Major in Telugu as well as Hindi. "It's not just a Hindi dubbed film. Hyderabad, Kozhikode and Mumbai are equally important to the film's storyline. Actors from all over the country have contributed to the film. Major Sandeep's spirit is all about national unity and patriotism. I'm naturally influenced by his aura and don't want to differentiate between North and South. I see Major as a truly Indian film."
Sesh further added: "And, it's always a kick for any artist for his or her work to be seen by a larger audience. And it's maybe in the way I think, and due to my exposure to various geographies and cultures during my upbringing days (in Chennai, Vizag &amp; also overseas in the USA and Africa), my stories and writing also tend to have a pretty universal sensibility. They are not rooted and specific to just one culture. So pan-Indian plans will definitely be a part of my future creative ventures too."
"When you go for such wide pan-Indian releases, the scope for other-language remakes will eventually reduce; that market will take a hit," said Karthik Gowda. "Even in the case of a universal OTT release like the recent Drishyam 2, the film is so well-received now and a lot of non-Malayali audiences have already seen the film. The other language remakes have to be completed and released in a very quick span so that the subject still remains fresh. That's why the Telugu remake is being commenced on 1 March itself," he added.
How south Indian cinema is boosting theatrical business post COVID19 with panIndian projects
Jr NTR in RRR. YouTube screenshot
Sesh also commented on the way the Telugu industry has flourished after the resumption of releases post the pandemic, and how a non-star film like Uppena is setting the cash registers ringing at the box-office.
"There is a reason why the largest number of cinema halls are in the Telugu states. The revenue is reported in terms of share in Telugu, whereas other Indian film industries resort to reporting gross or nett. The spectacular numbers of Uppena which bagged a share of Rs 50 crore, the successful Sankranti releases (including Master) show that the Telugu audience is as loyal and fervent to their cinema-going habit, as they've always been. I would pick RRR as the pan-Indian South film which I'm really kicked about.”
Taran suggests that increasing marketing and promotion measures will enable more penetration for south films in the core Hindi belts of the nation.
“In future, I would suggest that South stars and producers market and promote their films more extensively in the Hindi belts at least a few weeks ahead of their pan-Indian release so that the masses are more aware of their films. Even if big stars can't travel around in these tough post-Covid times, they can resort to online interactions and push their films aggressively if they have enough confidence in their content.”
Taran also picked Rajamouli's most-anticipated RRR as his go-to film this year. "I'm really excited particularly for RRR. After Baahubali's massive success, I rate SS Rajamouli as the biggest superstar in Indian Cinema, with due respect to all other icons. Even if RRR is pitted against a big star-driven Hindi film, it'll still rule the roost at the box-office."
He further added: "The phenomenal success of Uppena has also caused a flutter in Bollywood. After I tweeted about the film's humongous numbers, quite a few Hindi producers contacted me about it and expressed their interest to watch the film. The availability of English subtitles really helps to see such fresh films from other languages. Recently, I could enjoy Drishyam 2 instantly due to the availability of subtitles."
After the release of KGF 2, Kannada industry pundits believe that Yash will plan his future films also as pan-Indian releases due to the sheer impact of brand KGF. There is also a good positive vibe around Kichha Sudeep's next film Vikrant Rona which is a pan-Indian superhero flick. The recent launch of the film's first look and motion poster at the Burj Khalifa tower in Dubai has created a big impact. It could be the next big thing from Kannada cinema after KGF.</t>
  </si>
  <si>
    <t>The pandemic brought the Hindi film industry to its knees, with theatres shut for months on end and films waiting for a proper release. In this grim scenario, the release of Akshay Kumar-starrer BellBottom has come like a ray of hope. The Ranjit M Tewari directorial was the first Hindi film to release in theatres after the second lockdown ended, giving the green light to many others waiting in the wings. The release was a tricky one as theatres in Maharashtra, the biggest territory when it comes to films, still remain closed and most other states operate at 50 per cent seating capacity.
If we look at BellBottom’s box office performance in the last seven days, it is clear that the gamble has paid off — maybe not in monetary terms, but definitely in instilling a sense of confidence in the filmmakers and audience. Cinemas are open for business again, thanks to the all-star thriller.
Best of Explained
What impact will the killings have on Naga talks?
What's at stake for Nagaland political parties
A plant-based chewing gum that ‘traps’ coronavirus
CLICK HERE FOR MORE
How much did BellBottom earn?
Directed by Ranjit M Tewari, BellBottom opened with a box office collection of Rs 2.75 crore on Day 1, a Thursday. The film made Rs 2.60 crore and Rs 3 crore on Friday and Saturday respectively. But it saw a significant jump on Raksha Bandhan as it clocked in a collection of Rs 4.40 crore on Sunday, bringing the first-weekend collection of the film to Rs 12.75 crore. Currently, after seven days of its release, the total collection of the spy-thriller stands at Rs 17.40 crore in India. The worldwide gross of the film is Rs 26.66 crore.
bellbottom 
BellBottom has been directed by Ranjit M Tewari. (Photo: Pooja Entertainment)
What were the expectations from Akshay Kumar film?
In a normal scenario, BellBottom would have ‘easily’ got a first-day opening of Rs 20 crore at the ticket counters, as per producer and film business expert Girish Johar. In the current scenario, trade expert Komal Nahta predicted that the thriller will earn Rs 7 crore on opening day despite being a non-holiday release. The lower-than-expected collection notwithstanding, Johar believes BellBottom had a “decent collection”. He said, “The audience may be viewing from the box office perspective, so to them, it may appear to be a low figure, which it is. But as an industry insider, I look at it as a film that moved a jammed wheel. It started a lot of activities like the unlocking of the cinema halls, marketing a film, releasing the film overseas. So, it was definitely a thumbs up since a film like this can move a lot of machinery.”
Ahead of the film’s release, film trade analyst Taran Adarsh also suggested it’s a step in the right direction because “people will return to the theatres only when big films with big stars will hit the screens.” According to him, “We cannot expect huge numbers as was the case in the pre-Covid times, but I guess people will soon get used to the habit of watching films in the theatres once again.”
Also read |Akshay Kumar’s success in numbers: Can BellBottom continue his winning streak?
How did closed Maharashtra theatres affect numbers?
Maharashtra, which accounts for almost 30 per cent of a Hindi film’s business in India, hasn’t opened cinema hall doors yet. So, the film lost a major portion of its business. Johar said producers have realised ‘Maharashtra has to be on board’ since it is one of the key stakeholders in the Indian box office. “It has to be on-board on this. That is why you don’t see any big films being announced as of now, we hopefully will have Maharashtra giving green signal to cinema halls soon and then all the big films which have been pending will start releasing,” he added.
Also read |Explained: Why Zomato’s ad campaign with Hrithik Roshan, Katrina Kaif led to backlash
Why is the pandemic release still good news?
The film industry sees BellBottom’s release as a good sign despite the numbers. They think the film business has been badly hit by the pandemic in all respects — from conceiving a film to its shooting, release and consumption as a group activity. The Akshay Kumar release signals that the wheels have again been lubricated, with films lined up for release in the coming weeks. Amitabh Bachchan-starrer Chehre releases this Friday, with Marvel tent-pole Shang-Chi and the Legend of Ten Rings releasing on September 3.
Also read |‘Akshay Kumar kept staring at me’: Lara Dutta on her transformation into Indira Gandhi for BellBottom
“But, the moment a big film like this releases, it helps the industry to revive every department. The industry is also feeling that it is ignored by the government the most. We have been asking for some relaxation, but only some states have opened up theaters, and some are still contemplating. In such a scenario, it was very critical for the makers of BellBottom to release the film. So, kudos to Vashu Bhagnani and team for making this decision and starting the wheel of the industry,” Johar said.
Don't Miss These Stories
The Verdict: Jai Bhim versus Sooryavanshi
Not Amrish Puri, Anupam Kher was Mr India's Mogambo but was 'dropped' after 2-3 months
Arpita Khan prayed Aayush Sharma outshines Salman Khan in Antim: 'She said if I messed this up...'
CLICK HERE FOR MORE
What does it bode for films releasing in the next month?
After Akshay Kumar’s BellBottom set the ball rolling, other filmmakers have also given a sense of confidence to other filmmakers who have planned theatrical releases of their movies in the coming months. After Chehre, Kangana Ranaut’s Thalaivi is scheduled to hit the screens in September. The makers of Suniel Shetty’s son Ahan Shetty’s debut film Tadap have also zeroed in on a release date. It will hit the theaters on December 3.
As fear of the virus persists, people will need good reasons to return to a dark enclosed space where they will be seated with strangers. With multiple streaming alternatives in places, films have no choice but to go big to lure audiences back to theatres.
Compelling stories that generate positive word of mouth, promotions that give viewers a reason to leave the comfort of their couch and head back to theatres are the need of the hour to revive the cinema experience.</t>
  </si>
  <si>
    <t>In 2019, India produced over 1,800 movies, making it the world’s largest film industry in terms of numbers; this dwarfs the 792 produced in both the US and Canada combined. Bollywood, as Mumbai’s movie industry is known, distributes its films around the world and is particularly popular in South Asia, the Middle East, Africa, the US and Europe.
Why Fame Can Be a Nightmare
READ MORE
For India, Bollywood is the most important cultural soft power, gripping millions of viewers domestically and internationally. Soft power is the ability to shape the preferences of others through science, diplomacy, sports, religion and culture. This allows a country to attract other peoples through seduction rather than coercion. According to India Brand Equity Foundation, the Indian media and entertainment industry, which Bollywood plays a major role in, has “the potential to reach” $100 billion by 2030. In 2019, Bollywood made more than $2.8 billion. Before the COVID-19 pandemic led to major financial losses, the industry had been projected to hit $4.5 billion in 2021.
“The White Tiger”
Yet despite being worth so much, Bollywood has once again missed out on the chance to get the last shining prize for its soft power: an internationally acclaimed award. On April 25, India will be part of the 93rd Academy Awards, but not as a result of a Bollywood flick. “The White Tiger,” a Netflix production directed by Ramin Bahrani, is nominated for best adapted screenplay. Based on Aravind Adiga’s Booker Prize-winning novel, the movie was shot in India but not produced by any of the hundreds of Bollywood studios located in the country.
“The White Tiger” tells the story of Balram — played by Adarsh Gourav — who moves from a poor rural village to Delhi to become a rich man’s driver. After deciding to commit a crime to escape the complex stratification of Indian society, he becomes wealthy himself. The rags-to-riches story is as rare as a white tiger, as the metaphor of the title suggests. Paolo Carnera’s cinematography frequently shows the dirty streets and misery of life in India for the poor, while Bahrani’s script is full of jokes and criticism about the country’s poverty and social inequality — completely different from what we are used to seeing in most Bollywood movies.
Hollywood is recognized for its achievements in production design, cinematography, screenplay, acting and directing at major festivals in Cannes, Berlin and London. Yet Bollywood continues to miss out on awards, a crucial prize for any movie industry. The same thing happened in 2009 when “Slumdog Millionaire” — which tells the story of Jamal Malik (played by Dev Patel) growing up in Mumbai slums — won eight Oscars, including best picture, best director and best adapted screenplay. That movie was based on Indian writer Vikas Swarup’s novel, “Q &amp; A,” but shot by British director Danny Boyle.
The closest Bollywood came to an Academy Award was with Mehboob Khan’s melodrama “Mother India,” which was nominated for best foreign language in 1958; the movie told the story about the struggles of a woman raising her sons alone. In 2001, Bollywood superstar Aamir Khan produced and acted in “Lagaan: Once Upon a Time in India,” which centered on a small village in Victorian India staking its future on a game of cricket against the British rulers. The film was nominated for best foreign language a year later but failed to win. 
Bollywood’s Shortcomings
So, why can’t Bollywood conquer Hollywood and win a golden statue? I went to India in 2008 for an investigation into the country’s movie industry, which also led to my first book, “Diário de Bollywood” (Bollywood Diaries), released in 2009 in Brazil. Before packing my bags for the trip, I watched over 50 Bollywood movies to prepare my questions for the producers, actors, directors and executives of the industry. I soon realized that all those films back then had something in common: there were no sex scenes or nudity, they never mentioned or critically analyzed India’s social caste system, and they avoided making political comments.
The White Tiger, Bollywood news, news on Bollywood, Bollywood Oscars, Oscars, Academy Awards, Sunny Leone, sex in Bollywood, Bollywood sex scene, Franthiesco Ballerini
Aamir Khan in Berlin, Germany on 2/19/2011. © Denis Makarenko / Shutterstock
Bollywood movies lack gripping human stories and resonant storytelling, which is why they are unable to transcend their culture. They provide an escapist fantasy to Indian audiences but do not work for most viewers outside India. These non-daring storylines lack the quality to win awards at major festivals, including the Oscars. So, why can’t a multibillion-dollar movie industry improve its films? The simple answer is that it can but won’t for two main reasons: escapism and censorship.
First, Bollywood has become a form of escapist entertainment from the reality of India. Often three hours long, the movies are usually full of rich and beautiful stars, singing and dancing and exploring their love lives, only to be interrupted by cruel villains who are defeated in the end. India’s post-production is among the top of the world in special effects, color and sound corrections, displaying beautiful scenes that serve as distractions to the hundreds of millions of Indians who live below the poverty line.
India is one of the oldest cultures of the world and is extremely rich and diverse. It’s also a modern country with cutting-edge technology. However, all those social, economic, sexual, cultural and even psychological changes and diversity are not embraced in most Bollywood blockbusters. Instead, they are distanced themselves from reality and offer trite stories as entertainment.
Second, the Cinematograph Act of 1952 determines “principles for guidance in certifying films.” Censor boards were set in production areas of India, such as Mumbai, Kolkata and Chennai. The closest to a sex scene that Indian movies largely feature quick kisses and partial nudity. If a film does not meet the guidelines set for “decency or morality,” then it doesn’t receive the certificate that allows it to be screened in movie theaters.
In the 2000s, with the arrival of the internet and the rise of downloading foreign movies, often pornographic, some changes were seen in Bollywood. In 2013, Sunny Leone, a Canadian-American former porn star of Indian descent, debuted in the film “Jism 2,” an erotic thriller that shows her topless from behind while being intimate with a man. Yet India, the country where Kama Sutra originated, still doesn’t make movies with deep kissing, explicit sex scenes or bold storylines.
That doesn’t mean that films with sex and nudity are better than blockbusters with music and dancing. Good movies often reflect creatively and boldly the changes in society and the world. Hollywood absorbed those changes in post-Vietnam movies such as “Born on the Fourth of July” (1989) and “Full Metal Jacket” (1987), in contrast to jingoistic and formulaic “The Green Berets” (1968) and Rambo: First Blood Part II (1985). All four films were box office hits, but the first two — directed by Oliver Stone and Stanley Kubrick, respectively — established Hollywood’s international reputation because of their sophisticated stories about the Vietnam War.
The Challenge Facing Bollywood
Bollywood is trying to emulate Hollywood. Whistling Woods International, a film school in Mumbai with American investors, is teaching aspiring film professionals. “In India, we must prepare our students to begin at the top of the movie pyramid, because the base pays almost nothing,” said Kurt Inderbitzin, the dean of the school back when I visited India. “Our challenge is to teach students to develop good characters and directing skills, since many of them arrive here with prejudices, imagining they don’t need to learn this kind of stuff, although these are the basic elements of a good film, like the concept of gravity for an astronaut.”
Better films lead to international awards and increase the chances of reaching commercial movie theaters. Better box office results in big markets like the US and Europe would help Bollywood develop India’s soft power. Bollywood faces major competition from streaming services like Netflix, Amazon Prime and Disney+ that are producing films and television series themselves. Bolder and richer movies may be just what Bollywood needs to keep conquering the hearts and minds of the public in the 21st century.</t>
  </si>
  <si>
    <t>This year theatres have reopened with a lot of new content, including two upcoming Bollywood ventures.
Unlike last year, when cinemas not only played old films but also waited months for the release of Bollywood ventures, this year there are two star-studded releases waiting to hit the big screens.
While one is Akshay Kumar-starrer Bell Bottom which is scheduled to release on August 19, the other is Amitabh Bachchan and Emraan Hashmi-starrer Chehre which will hit theatres on August 27.
Veteran producer Anand Pandit, in a chat with Moneycontrol, said that despite the pressure due to the pandemic, he waited for a theatrical release for Chehre.
"Theatres have supported films for 40-50 years and because of them movies have survived. So, when theatres are struggling, I can support them with at least one film of mine."
COVID-19 Vaccine
Frequently Asked Questions
Show
RELATED STORIES
  German national tests coronavirus positive in MP; sample sent for genome sequencing 
  COVID-19 Vaccine Tracker: Over 79.39 lakh jabs given on December 6 
  Munawar Faruqui removed from Gurgaon Comedy Festival; BJP files fresh complaint 
It is not just one film Pandit will be releasing in theatres. In the first half of next year he will release another film called Thank God on the big screens.
These release schedules will give confidence to other producers to release their films in theatres, believes film producer and trade business analyst Girish Johar.
When it comes to Bollywood ventures, there are 15 big Bollywood movies waiting to be released in theatres along with 35-40 medium-size films that are in the pipeline, Rajender Singh Jyala, Chief Programming Officer, INOX Leisure, had told Moneycontrol in an earlier interview.
Some of these ventures include Akshay Kumar's Sooryavanshi, Ranveer Singh's 83 and Jayeshbhai Jordaar, Ranbir Kapoor's Shamshera, among others.
Ranveer Singh alone is likely to contribute around Rs 400 crore with his ventures 83 and Jayeshbhai Jordaar which are expected to do a business of Rs 250 crore and Rs 170 crore, respectively.
Other big star-led ventures like Ranbir Kapoor's Shamshera  and Ajay Devgn's Maidaan are expected to add Rs 135 crore and Rs 110 crore, respectively to overall India box-office.
However, the release dates of these films are not yet announced.
Plus, a lot depends on the COVID-19 situation due to which Maharashtra has still not allowed theatres to reopen. The state accounts for 25-30 percent of box office collections of Hindi films.
Even Pandit is expecting a big impact on Chehre's box office business.
One major impact has been the number of screens in which Chehre was supposed to release initially.
"The aim was to release Chehre in 1,500 screens but because of COVID-19 impact, Maharashtra being shut and many single screens still not open because of financial issues and renovation,  we are now trying to release the film in 1,000 screens," said Pandit.
In addition, Johar said that there are too many restrictions when it comes to running cinemas in the time of COVID-19.
"Every state has a different cinema protocol. In some states, weekend opening is not allowed for cinemas. In some places cinemas are open till 8 PM and in some places theatres can be open till 10 PM. Some states are allowing 50 percent occupancy and some have 100 percent cap. So, the focus right now is more on winning audience confidence than on box office numbers," he added.
Around 12 states and two union territories have allowed cinemas to reopen out of which only Telangana and Gujarat have allowed more than 50 percent occupancy in theatres.
While Telangana has allowed 100 percent capacity, in Gujarat theatres can operate at 60 percent capacity.
While these restrictions may impact box office numbers, currently films in theatres which is a mix of regional and Hollywood are seeing decent traction.
"Regional films are doing well. Punjabi film Puaada is doing well. There were six regional films from down south last week and four of them have performed well. These are positive trends at the box office," said Johar.
Puaada with a limited release has collected over Rs two crore in four days of its release in theatres.
Another regional venture SR Kalyana Mandapam, a Telugu film, collected around Rs 3.50-4 crore over its first weekend.
As for Hollywood films, Suicide Squad which released on August 5 collected around Rs 2 crore in the first four days of its release.
While these are green shoots for the film industry, the road ahead is patchy as a lot depends on how the films fare at the box office.
Pandit also pointed out that it is not easy for producers to wait for theatrical release.
"There's a heavy interest burden which a producer has to bear. And as the industry is not recognised by many banks we don't get the support required and we have to resort to private institutions for debt and the interest there is very high. Also, the nature of business is risky, so the interest rates are high," he explained.
This is why many films have taken to direct to digital releases due to which box office has lost around Rs 580 crore from the release of 26 films that released on over the top (OTT) platforms first.
While there are uncertainties for both the film and theatre business, multiplex operators like PVR and INOX are seeing growth in occupancy levels with every new release.
But it will be Akshay Kumar's Bell Bottom that will have to do the heavy lifting in bringing back audiences in large numbers to theatres.</t>
  </si>
  <si>
    <t>The South Korean series Squid Game became Netflix's most-watched show of all time in 2021. Its success could spark enormous changes in what we watch in 2022 and beyond, writes Al Horner.
When Bong Joon-ho won best picture for Parasite at the 2020 Oscars, his acceptance speech included a message to Western audiences. "Once you overcome the one-inch-tall barrier of subtitles, you will be introduced to so many more amazing films," he told filmgoers who may historically have avoided non-English language movies – or worse yet, waited for their inevitable American remakes. The director didn't have to wait long for signs his wish could be coming true.
More like this:
- The 100 greatest TV series of the 21st Century
- Television's reckoning with the past
- The dark side of 21st-Century comedy
Unless you've been living on a remote, internet-less island for the last few months, cut off from the world while you compete in a variety of deadly games for a cash prize, you'll be aware of Squid Game. It's a show that's pierced the zeitgeist like a needle through a honeycomb wafer – with an estimated audience of more than 140m worldwide, it became Netflix's most-viewed show of all time. If you were at a Halloween party in October, you may well have seen guests decked out in the show's trademark blood-splattered green tracksuits. If you're a teacher at a UK school, you might even have had to break up playground games inspired by the series, despite its 15 rating.
From Seoul to Surrey, Squid Game's tentacle-like reach around the planet has been unprecedented. In the last few years, there have been plenty of word-of-mouth small screen smashes that rose to become pop culture events: crime documentary series Tiger King sparked endless Zoom debates and theorising between friends during the first lockdown in 2020, for example. But not since Stranger Things or Game of Thrones has a show had this kind of pop cultural footprint.
What's remarkable about Squid Game's place among shows of that enormous popularity is that to get there, it had to hurdle the 1in-high wall that Bong spoke about. Tens of millions in the UK are estimated to have watched Squid Game, despite its English-language subtitles (a dubbed version is also available, but sources familiar with the series tell BBC Culture that UK audiences are largely consuming episodes with subtitles, in line with creator Hwang Dong-hyuk's wishes).
Squid Game has achieved global mainstream visibility in a way that arguably no other non-English language film or TV show has ever managed
Non-English language movies like Parasite, Guillermo Del Toro's Pan's Labyrinth, French romance Amélie and 2000's Crouching Tiger Hidden Dragon have all won Western acclaim and awards before (not a marker by which they should be judged: these are all astonishing works of art, with or without Western approval). But Squid Game has achieved global mainstream visibility in a way that arguably no other non-English language film or TV show has ever managed.
Which leaves a few questions. What was it about Squid Game that shattered mainstream Western hesitancy towards non-English language content in 2021? And what does its popularity mean for film and television in 2022? Is Squid Game a one-off pandemic pop culture anomaly – or the beginning of a new age of non-English language film and TV ascendency around the world?
No more cultural gatekeeping
When Seattle-based cultural commentator David Chen was growing up, "the only way to watch something like Squid Game would be through very sketchy websites or DVD shops," he laughs. "That's no longer the case. It's now mass-market entertainment." The host of respected entertainment podcasts The Filmcast and Culturally Relevant, Chen makes a good point. A decade or two ago, a series like Squid Game just wouldn't have been accessible enough to mainstream Western audiences to enjoy the type of success it has on Netflix in 2021.
Before the advent of streaming services, most TV channels took few chances with non-English language shows. Put it this way: if The Wire, an exciting English-language drama now widely recognised as the best show of the 21st Century, struggled to get a look-in with many broadcasters, it's unlikely there'd have been a spot for a blood-soaked, anti-capitalist Korean-language thriller series. It might have been made available as a DVD boxset in the early-to-mid '00s as binge-watch culture took hold, but few shows made the leap from word-of-mouth boxset buzz to breakout smash status.
The lack of accessibility for non-English language titles back then was predicated on a suspicion among entertainment industry gatekeepers that audiences didn't want subtitled content. "[Studios and distributors] claimed that people don't like to read subtitles because it's tiring or distracting on screen, but we read text all day long on our phones and in every other aspect of our lives, so I've always found it funny," says Darcy Paquet, the Seoul-based author and film critic who translated Parasite into English subtitles for its international release. For years, subtitles had "an image problem – an association with something people imagine as being convoluted or difficult to watch", he says.
Quietly, Netflix has been cultivating the exact circumstances on the platform for a global phenomenon like Squid Game to emerge
Squid Game's success has shown that perception of subtitles to be wrong – or at the very least incredibly outdated. It's also eroded the kind of cultural gatekeeping that enforced it in the first place. In traditional TV, there's a limit of 24 hours a day of broadcast space that can be filled. On the servers of streaming giants like Netflix, there's infinite space, meaning the Californian company and their rivals have thought nothing of commissioning shows in a range of different international markets, and then commissioning subtitles or dubbing for them in a variety of languages so that they are accessible to Netflix viewers across the world. Since launching in South Korea in 2016, Netflix have created 80 shows using Korean talent and creators – all of which can be watched with different subtitles or dubbing tracks from anywhere in the world, ready to be fed into viewer's suggested shows and movies by its algorithm.
"The exciting thing for me would be if the next Stranger Things came from outside America," the company's chief content officer Ted Sarandos said in 2018. "Right now, historically, nothing of that scale has ever come from anywhere but Hollywood." Clearly, that wasn't just talk. Quietly, the company has been cultivating the exact circumstances on the platform for a global phenomenon like Squid Game to emerge, through making projects like Spain's Money Heist and Germany's Dark, then equipping them with all the tools to be discovered outside of those markets.
"They really have put a lot of work into repackaging shows from other countries in a way that makes them extremely accessible to other audiences," says Chen, who points out that Squid Game represents a culmination of these efforts. Money Heist, Dark, Spanish school drama Elite and France's Lupin all walked so Squid Game could run, to put it another way.
Now, with Squid Game having proved that "stories don't need to be told in English to be hits in English-speaking countries", as Chen puts it, some industry experts are expecting an acceleration of investment in other countries from Netflix's streaming rivals, and more marketing space given to non-English language titles than they would have received pre-Squid Game. Apple TV+, for example, has recently been promoting a new South Korean production titled Dr Brain (starring Parasite's Lee Sun-kyun) to UK audiences with regular trailers and posters both across their social media and on the platform itself, preceding other shows and movies. "Six months ago, they might not have advertised it with the same ferocity," one source tells BBC Culture. "Post-Squid Game is a whole other ball game."
More South Korean content
The most obvious likely effect of Squid Game's success is more South Korean content being fast-tracked on to screens around the world. There certainly seems to be an appetite for it: in late October, an article on The Guardian full of suggestions of K-dramas to watch if you enjoyed Squid Game was one of the top 10 most-read articles on the site, up there with whistleblower reports about Facebook's internal practices and rumours of another impending coronavirus UK lockdown.
"People are discovering Korean content to a degree like never before," says Paquet, noting that this "slow-building process" began two decades ago with films like Park Chan-Wook's cult beloved Oldboy. "There were movies which did [manage to] connect with a certain number of people abroad. This last year or two, though, feels like a big leap ahead, with more almost certain to follow." One source at a major streaming service backs up that theory. Interviewed under the condition of anonymity, they suggest to BBC Culture that with Hollywood film and TV productions still in catch-up mode following the pandemic shutdown, streamers may well begin licensing other existing South Korean shows to both capitalise on Squid Game's success and keep their platforms packed with new content. "Everyone is wondering what the next Squid Game is, if they can make their own by investing in South Korean creators and until then, how they might be able to bridge the gap in the short term by buying in existing shows that aren't already available [in Western markets]," they explain. "This was already happening of course but after Squid Game, [there's] a lot more urgency."
Already South Korean shows are being given more visibility on platforms. In November, Yeon Sang-ho’s violent fantasy series Hellbound enjoyed a marketing push that sought to capitalise on Squid Game’s success, displayed prominently in users’ libraries in a way that you suspect might not have been the case had Hwang Dong-hyuk’s show not enjoyed such massive success. Hellbound subsequently overtook Squid Game as Netflix’s most-watched show for that month, topping charts in 80 different countries within 24 hours of premiering.
South Korean film and TV was on the rise long before Seong Gi-hun, Cho Sang-woo and co donned their green tracksuits for the first time. From Parasite to Hellbound creator Yeon Sang-ho's zombie horror Train to Busan, which has proved a word-of-mouth sleeper hit with Western audiences since its release in 2016, spawning a sequel in 2020 and an upcoming US remake, South Korean cinema has been striking a chord globally with increasing frequency over the last five years. Yeon told Time magazine in a recent interview that "Korean content gradually won the trust of the global audience in the past 10 to about 15 years… It might seem sudden, but I believe that many film and drama creators were able to gradually accumulate credibility in the global market with high-quality content, and I feel like that has led to this explosive interest."
Lee Chang-dong's psychological thriller Burning became the first Korean film to make it to the final nine-film shortlist for best international feature film at the Academy Awards in 2019 before Parasite swept all before it a year later by winning in the main best picture category. Since then, Lee Isaac Chung's Minari – technically a US movie but created by South Korean talent and about the immigrant experience of a South Korean family – has also enjoyed Western awards recognition. The latest iteration of the London Korean Film Festival, meanwhile, recently attracted record crowds for its programme of 60 past and upcoming movies from across the region ("I'm especially excited for people to see Ryoo Seung-wan's Escape from Mogadishu. It's a film that really bowls you over with its scale," beams Paquet).
Paquet describes the boom in South Korean cinema abroad as part of a wider cultural rejuvenation. For decades, as the New York Times' Choe Sang-Hun recently wrote, "the country's reputation was defined by its cars and cellphones from companies like Hyundai and LG." Now its cultural exports – films like Parasite, shows like Squid Game and bands like all-conquering K-pop arena-sellers BTS and Blackpink, are consumed by audiences worldwide on those phones and in those cars. "K-pop has certainly made people much more aware of Korea, and that success has bled into other areas like film and TV," says Paquet. Each successful export brings more investment in South Korean art and entertainment, he adds. Squid Game, its most far-reaching cultural export yet, could just turbo-charge investment in (and exports of) South Korean pop culture to the UK and beyond.
A translation industry overhaul
The impact of Squid Game is unlikely to be limited to South Korean shows and films, though. Take a wider glance at the film and TV landscape, and you'll notice that Squid Game wasn't alone in bringing subtitled content to the English-speaking masses in 2021. At multiplexes, the recent Marvel movie Shang-Chi and the Legend of the Ten Rings became the first pandemic-era movie to surpass $400 million at the global box office, earning $100 million in just five days after its release in the US – despite large parts of the movie being in Mandarin with English subtitles. The movie adaptation of Lin-Manuel Miranda's In the Heights musical similarly proved successful with English-speaking audiences, who evidently thought nothing of the fact that its dialogue and lyrics frequently drifted into Spanish as a reflection of the Latinx community the film depicts (and Spielberg's new version of West Side Story features Spanish dialogues without English subtitles).
There's a larger trend that it fits into, of audiences raised on the internet not seeing geographic borders the way people once did
This, industry analysts claim, is reflective of a more globalised pop cultural landscape. Turn on your radio in 2021 and you won't have to wait long to hear artists like Latin pop pioneer Bad Bunny or the aforementioned BTS – both of whom have scaled the charts and sold out arenas in English-speaking markets despite performing in their native languages. "There's a larger trend that it fits into, of audiences raised on the internet not seeing geographic borders the way people once did," says another streaming service source, who points out that it's a development accelerated by platforms like TikTok, where pop culture references and recommendations are shared among its international user base (a "Squid Game dalgona cookie challenge" began trending on TikTok, amassing over 58m views and helping drive the show's popularity among younger audiences). "In 2022, expect more non-English language content from everywhere breaking through," they predict.
Already the wheels seem to be in motion on this. Earlier this month, reports emerged of a "translator shortage" as companies who provide subtitling for other markets on movies and TV shows struggle to keep up with the demand created by shows like Squid Game. "Nobody to translate, nobody to dub, nobody to mix – the industry just doesn't have enough resources to do it," David Lee – CEO of Iyuno-SDI, one of the industry's largest subtitling and dubbing providers – told technology site Rest of World as a (surprisingly fascinating) debate erupted online over the way that subtitles find their way onto our screens.
In September, Korean-American influencer Youngmi Mayer made a viral video pointing out inaccuracies in Squid Game's English translation – moments that lose important cultural context or misrepresent vital pieces of characterisation (although viewers also argued that Squid Game's translated subtitles were more accurate than the closed captions provided to improve accessibility). These shortcomings arguably could be linked to a labour crisis connected to low pay and high-pressure working conditions: Netflix, as Rest of World points out, pay only "$13 per minute for translation of Korean audio into English subtitles, [with] only a fraction of that figure [ending] up directly in the pockets of translators." These rates are reflective of industry norms.
The success of Squid Game might cause those norms to be improved upon. With Hwang Dong-hyuk's show proving the commercial potential of non-English language shows crossing over into other markets – Netflix have estimated that Squid Game has generated almost $900m in value for the company – Paquet hopes that things may soon change. "It's difficult to translate a lot of the nuance of the Korean language in words that flash up so quickly on screen. I do think if you put a lot of time into the subtitles it really does improve the viewer experience. [But to do that you need] more resources and more time budgeted for it."
The death of remakes
"Just a few years ago, Squid Game would have been something shared within the industry primarily as particularly strong American remake fodder," influential US film industry figure and founder of screenwriting website The Blacklist Franklin Leonard tweeted recently. A decade ago, Leonard argues, the strong likelihood is that most global viewers' initial encounter with a show like this would have been with a US-made interpretation of the material. In the early '00s especially, US retellings of Asian horror films in particular were ever-present in cinemas.
The success of Squid Game could theoretically put the nail in the coffin of this diminishing trend. With Squid Game (and for that matter, Shang-Chi) indicative of a cultural softening of hesitancy towards subtitles, and therefore a desire to watch the original if it's made available, why go to the bother of reworking it with a British or US cast?
"The case for [remakes] has become more limited," says Chen. "Take Squid Game. Could there be a remake of Squid Game? Conceivably, but I think many would argue it'd be pretty pointless." There's always going to be a case for remakes in situations where people don't have easy access to the original work, or in which a different cultural context is able to add significantly to the work at hand, he says, pointing to Martin Scorsese's reinterpretation of Hong Kong mob classic Infernal Affairs, 2006's The Departed as a good example. "That added significantly on to what was already there by putting it in the new cultural context of the Boston mafia. Where it becomes a different type of story by setting it a new place, I think there's still value there. But the situation in which it's useful and financially profitable to remake something is becoming more and more limited."
The jury is out on whether Squid Game will actually represent the beginning of the end for remakes. Curiously, Netflix currently has a Korean remake of Money Heist in production, while Tilda Swinton and Mark Ruffalo were recently in talks to star in a TV spin-off of Parasite, created for streaming service HBO Max, suggesting there's life in the US remake format yet. Train to Busan director Yeon told Time magazine: "My personal hope is that the new remake will not really refer to or think too much about being loyal to the original work… as the creator, if it was almost exactly interpreted compared to the original work, wouldn’t it be better to just watch the original Train to Busan?"
What is certain, however, is that the central theme in Squid Game will continue to be discussed in films and shows from around the world – whatever the language or country of creation. "Squid Game was about capitalism, the same way that a show like [Jesse Armstrong media mogul drama] Succession is about capitalism," observes Chen. "Both deal heavily with capitalism and the dangers thereof. In a world that's grappling with the pandemic, income inequality and healthcare issues have become magnified. There's a reason why those particular stories have really resonated with people. I'd say that the fact that they both deal with capitalism has been a huge factor in their popularity."
The ripples created by Squid Game's success will take some time to be felt but will be fascinating to observe. As Park Hae-soo's Sang-Woo declares during an intense battle in the show's final episode: "We've come too far to end this now." The same might be true of Squid Game (the show has been renewed for a second season) – and the influence it will have on film and TV in 2022 and beyond.</t>
  </si>
  <si>
    <t xml:space="preserve">The first South Korean film screened in Chinese mainland theaters after six years, 2020 comedy movie Oh! My Gran has been getting good word of mouth since its release on Friday, but has only earned 945,000 yuan ($147,400) as of Sunday afternoon. 
This poor performance shows that Chinese audiences still need time to adapt to the return of South Korean films and that South Korean filmmakers have a long way ahead before they can really benefit from the mainland movie market again.
The release of the film in Chinese mainland cinemas on Friday has been seen as a good start for renewed cultural exchanges between China and South Korea by industry insiders amid the 30th anniversary of the diplomatic ties between the two countries and the year of China-South Korea cultural exchanges in 2022.
But its performance at the box office has not been optimistic. Chinese film critics noted that if South Korean films want to achieve success in the mainland film market, they must overcome their biggest obstacle - themselves.
One of the main reasons is that South Korean movies are good at making terrifying films with suspenseful plots, but such films have a difficult time entering the Chinese mainland. 
However, those films that can gain approval for entry are mainly heart-warming films like Oh! My Gran. Yet these are the types of films that easily get trapped in conventional patterns and have a difficult time innovating. 
Chinese audiences also need more time to readapt to the narrative styles in South Korean movies as six years is not a short amount of time and can change many people's tastes.
The warm film about deep love among family members stars veteran South Korean actress Na Moon-hee and actors Lee Hee-jun and Choi Won-young. An aging granny with Alzheimer's disease who is cared for by her son Du-won and her granddaughter Bo-mi has nearly forgotten everything in her life but endeavors to remember her love for her son and granddaughter.
The 109-minute-long film has a 7.3/10 on Chinese media review platform Douban, which is not a bad mark compared to its mark of 6.1/10 on IMDb, the online database of information related to films.
However, the movie, which had only 5,665 screenings in the mainland for a screen share of 1.5 percent, looks like it won't even break the 1 million yuan mark in its opening weekend.
Oh! My Gran explains the saying "Tragedy's at the root of much comedy." It narrates a heavy story against the backdrop of a humorous atmosphere. As a husband, a father and a son, a middle-aged man has a wife who has run away from home, a little daughter and elderly mother with Alzheimer's disease. While he wants to flee away from reality for a while and have fun at bar, which is a dilemma many middle-aged people are experiencing, but then his daughter gets into an accident that puts her in a coma," reads one review on Douban.
According to Chinese film critics, while the movie was not a hit in South Korea either, it was selected to enter the mainland market since the affection in the film is able to touch the hearts of audiences and make them think about their family relationships and feelings.
The box office of the movie proves that South Korean movies still have a long way in the Chinese mainland after bidding farewell to the mainland film market six years ago, Shi Wenxue, a Chinese film critic, told the Global Times on Sunday.
"Those who are familiar with South Korean movies are not satisfied with a mediocre movie, and those who are not familiar with South Korean movies do not go to the cinema because they are not accustomed to watching the country's movies," Shi said, explaining the reasons behind the film's poor box office. </t>
  </si>
  <si>
    <t>In this lesson, students will learn about South Korean entertainment that has captured a global audience. Then they will write a review of a South Korean TV show, movie or song.
Lesson Overview
Featured Article: “From BTS to ‘Squid Game’: How South Korea Became a Cultural Juggernaut” by Choe Sang-Hun
For many years, South Korea’s movies, TV shows and music were mostly consumed by a South Korean audience. However, with K-pop stars, award-winning films such as “Parasite” and the Netflix drama “Squid Game,” South Korean culture is now known and appreciated by a global audience.
In this lesson, you will learn about the growing industry of South Korean TV shows, movies and music. Then you will watch or listen to a South Korean TV show, song or movie and write a review about it.
Warm-Up
Do you watch any TV shows or movies from South Korea? What about listening to South Korean music? If so, what do you like about it? What makes it unique or appealing to you?
If you’re not familiar with any TV shows, movies or music from South Korea, take a moment to watch one of the music videos and trailers mentioned in the article you’re about to read.
Blackpink, a K-pop band
“Parasite,” an Academy Award-winning film
“Squid Game,” a Netflix show
Why do you think what you just watched has appealed so strongly to a global audience? What specific elements of it resonated for you?
Questions for Writing and Discussion
Read the article, then answer the following questions:
1. What are some of the factors that have led to the change in how South Korean content is consumed and appreciated internationally?
2. How did South Korean creators start to develop new content? What kinds of content served as inspiration?
3. How have other countries in the region responded to recent South Korean popular culture?
4. What role do broadcast companies and censorship play in the kind of cultural content South Koreans are able to experience?
5. What are some of the qualities and characteristics that make South Korean TV shows and movies unique, according to those quoted here? Are you familiar with any of the TV shows, bands or movies mentioned in the article? If so, have you noticed any of these qualities?
6. The articles states that many of the issues explored in South Korean TV shows and movies “speak to common people” there. Are these issues relevant to a global audience? If so, which and how?
Going Further
Analyze a movie, TV show or song from South Korea. You could choose an example from the featured article or something else.
As you watch or listen to the selected content, take notes. You can write down quotations from the show or song, or write down feelings that come to mind as you listen to it. You can also consider some of the observations from the featured article as you watch or listen to your selected content. For example, are you able to find similarities between the South Korean TV show and anything else you’ve watched? Or are you able to pick up on themes such as activism, or do you notice a tone of combativeness?
After watching or listening, develop your own opinion about the TV show, movie or song. How do you feel about it? Is it something you would recommend to others? Why or why not?
Write your review, either recommending the TV show, movie or song to others, or advising them to avoid it. Whatever your opinion is, be sure it is clearly expressed in your review and supported with details from the TV show, movie or song.
If you would like to further develop this or any other review, consider submitting it to our Seventh Annual Student Review Contest. The contest is open from Nov. 10 to Dec. 15. Be sure to carefully read the rules before submitting.</t>
  </si>
  <si>
    <t>Executives are worried that public concerns over the variant could prove a major blow to holiday moviegoing, giving consumers another reason to stay home.
Just as the global film industry thought it was coming out of the pandemic, omicron may pull them back in.
On Nov. 26, the World Health Organization, led by Tedros Adhanom Ghebreyesus, warned that the risk posed by the new, heavily mutated variant of COVID-19, first discovered in southern Africa, was “very high.” Days later, more than 40 countries, including the United States, the U.K., the European Union and Australia imposed travel restrictions for those coming from southern African nations including South Africa, Botswana and Zimbabwe. The variant has since been detected in several nations, including the U.K., Canada, Germany, Hong Kong and Israel, as well as a case in the United States.
The news couldn’t come at a worse time for the global film industry, which after two years of shutdowns, cinema closures and box office collapse, had finally begun to recover. “The unfortunate thing about Omicron hitting now is that October was the first month where we’re incredibly close to average box office returns pre-pandemic,” says Rob Mitchell, a box office analyst at London-based Gower Street. The strong performance of No Time to Die, Dune and Venom: Let There Be Carnage, together with a resurgent Chinese theatrical market, meant the global box office for October was down just 7 percent from the three-year average for the month from 2017 to 2019.
The fear is that the new round of Omicron headlines will spook moviegoers, giving them another reason to stay home. At the moment, Hollywood studios are in a holding pattern, waiting to hear to what degree current vaccines protect against the new variant before making any decisions regarding their release calendars. If Omicron proves both virulent and vaccine-resistant, the impact could be felt throughout the industry, but cinemas and the theatrical business are likely to be on the front line.
“Producers have come through the first three COVID waves and know what to do to keep things moving,” one veteran producer notes, pointing to safety protocols implemented at the start of the pandemic that, for the most part, have allowed studios and independents to keep making movies even through this fall’s surge of infections caused by the Delta variant.
“Rapid testing is widely available, so production facilities can test everyone every day, making transmission pretty unlikely. I really don’t see a big impact over the near term,” notes Wedbush analyst Michael Pachter. “But if it turns out that Omicron is more deadly than thought and we are more defenseless, it will become a problem.”
A bigger, and more immediate, problem, is holiday releases. This year, box office hopes lie on the shoulders of one film: Sony’s Tom Holland starrer Spider-Man: No Way Home, which rolls out mid-December. The tentpole “could come away with the largest opening of the year, [and] consumer demand looks quite good as of right now,” notes MKM Partners analyst Eric Handler. “This film will then be followed by The King’s Man, The Matrix Resurrections and Sing 2, all of which should have decent appeal. Hollywood can’t afford a major disruption at this time given the relatively big budgets these films carry.”
With Sony’s marketing campaign in full swing, there’s no indication yet that the studio plans to shift Spider-Man’s release because of Omicron. “I certainly don’t mean to suggest like, ‘Oh, old hat, we’ve got it,’” says one top executive at a rival studio. “I’ve got all my fingers and toes crossed that [Omicron] doesn’t mean another series of shutdowns.”
But the situation outside the U.S. could force the studios’ hand. In what worryingly resembles conditions this time last year, countries across Europe are imposing new restrictions and lockdowns in an effort to stem this fourth wave of infections (most involving the Delta variant).
Austria’s nationwide lockdown began Nov. 22, with cinemas, restaurants and other public venues shuttering. On Nov. 24, the Slovak government declared a state of emergency and nationwide curfews. On Nov. 28, the Netherlands imposed a 5 p.m. to 5 a.m. curfew for most businesses, including theaters. Germany, Italy, France and Spain are all considering similar measures. A day later, South Korea, which is battling a similar infection surge, said it was shelving plans to further relax COVID-19 restrictions due to rising hospitalization rates and concerns over Omicron. Korea lifted restrictions on cinema opening hours at the start of November but theaters there are still battling consumer restraint about returning to public venues. Leading multiplex chains CJ CGV and Lotte Cinema have been running “vaccine pass” theaters for fully vaccinated moviegoers, where customers can sit side-by-side and eat concessions during screenings (otherwise social distancing rules continue to apply, limiting capacity).
“Every studio likely has its own international calculation: How many countries can we lose and still be able to do a theatrical release?” says Mitchell. “Lose Austria and the Netherlands, that’s probably OK. But if you add Germany, France, maybe the U.K., the calculation can change.”
The worst-case scenario would be a replay of fall 2020, when theater closures and declining box office in several territories led studios to postpone or cancel upcoming tentpoles, triggering a negative feedback loop. Mitchell points to MGM’s decision in October 2020 to delay the already-shelved Bond release No Time to Die by another year. The move directly led to exhibitor Cineworld shutting its doors — saying that without such tentpoles the cinema business was “unviable” — and sparked a flurry of other delays to major releases, including Sony’s Ghostbusters: Afterlife and Uncharted, Disney’s Black Widow and Universal’s Finch, starring Tom Hanks, the latter eventually landing on streamer Apple TV+.
As it has throughout the pandemic, the Chinese market could play an oversized role in studios’ calculations. The fact that the Keanu Reeves-led Matrix Resurrections and Spider-Man: No Way Home have both been approved for Chinese release could tip the scales in favor of the scheduled rollout, with a staggered bow, or postponement, for smaller territories.
Even if cinemas avoid the worst-case scenario, hopes are dwindling that October’s box office surge will carry through to the end of the year. Gower estimates global box office take, as of Nov. 27, at approximately $18.4 billion, 65 percent above figures at this stage last year but 51 percent below the three-year pre-pandemic average (from 2017 to 2019). Cinema closures in select territories and concerns over further lockdowns have already led Gower to adjust its year-end prognosis downward for worldwide box office from $21.6 billion (its mid-October estimate) to $21 billion. The box office in 2019, before the pandemic, was $42.5 billion.</t>
  </si>
  <si>
    <t>At the UN General Assembly, a group of world leaders thanked young people for their resilience during the COVID-19 pandemic. Over a million viewers tuned in, as the message resonated across the world.
These leaders were none other than BTS, the biggest boyband in the world. They’re merely one example of a uniquely Korean, yet unmistakably international, cultural industry. There’s Blackpink, the pop stars with the largest number of YouTube followers. There’s Squid Game, the most-watched show in Netflix’s history, with Hellbound—another Korean Netflix show—right behind it. There’s Parasite, the movie sensation that won the Academy Award for Best Picture.
And Korea’s influence is even more subtle than that: the Masked Singer, the hit U.S. TV show, is actually based on a Korean concept. 
Of course, Asian audiences have been consuming Korean culture for over two decades.  But why has it conquered the West now?
The answer is a combination of new technology and universal topics. Social media allows Korean culture to engage directly with global audiences without the need for interlocutors with blinkered views of what works. And slick production means that global audiences are interested in Korean culture over other, clunkier options.
But to understand why South Korean culture has taken over the world in 2021, we have to go back to the early 1990s.
South Korea had been a dictatorship until 1987, which meant limits on what artists could do. Some daring artists channeled creative energy to criticize the dictators that had brought economic growth, but also repression. Others were simply censored.
But in 1992, Seo Taiji and Boys debuted their first song “I Know.” Critics didn’t get it. The rowdy style, the socially conscious lyrics and the artists’ clothes were all too different from what was common at the time. But the general public did. Mixing the traditional Korean ballad with American influences such as rap or rock, the group had inaugurated what came to be known as K-pop.
Within a decade, the boyband H.O.T. was selling out their concerts in China, ‘The Queen of K-pop’ BoA was topping Japan’s Oricon music chart, and the romantic drama Winter Sonata was sweeping TV screens and stealing hearts across East Asia. By the mid-2000s, audiences in Latin America and the Middle East were starting to catch up.  The Chinese media labelled this Hallyu—The Korean Wave.
South Korea’s disadvantages as an economy actually helped grow its cultural industry. Its small market meant that artists and executives had to look overseas for bigger profits. Its relative technological backwardness in the early 1990s compared to Europe, Japan, or the U.S. led Korea’s government and society to embrace the “new”: Internet, mobile phones, and incipient social media. Its position as a small open country surrounded by larger powers encouraged the South Korean cultural industry to mix foreign influences with the country’s own.
By the 2000s, South Korea was competing with Japan to become the purveyor of Asian coolness. But South Korean culture couldn’t crack Western markets. Pop idols such as Rain and girl groups including Girls Generation crossed the Pacific, but radio stations refused to play their songs. Films including Oldboy or Thirst were receiving awards at prestigious festivals such as Cannes. Yet, large movie chains would shun South Korean films in favor of Hollywood action and superhero hits. Mainstream audiences in both sides of the Atlantic did not warm to South Korean acts.
From Asia to the rest of the world
In the 2010s, Korean popular culture took a leap forward. Executives sitting in their offices in Seoul had realized that it was nigh to impossible to crack traditional media outlets. So they shunned the intermediary, and decided to use new tools to go straight to the consumer.
K-pop artists and K-drama actors began to reach out to their fan bases via YouTube, Twitter, and other social media channels. In South Korea, fan bases expect their idols to be or appear approachable and talk to them directly. It turns out that the same is the case for fans around the globe. Before Western media executives could say BTS, the band was reaching a global audience via its social media channels. It was the same for other South Korean megastars.
But the success of South Korean culture has another crucial component: its focus on universal topics.
South Koreans are among the keenest travelers in the world. Millions of tourists go overseas every year. Hundreds of thousands of university students take courses from Los Angeles to Sydney. Many children spend at least part of their lives overseas, either trailing their expat parents or going to school in an English-speaking country to perfect their language skills. Once overseas, they realize that themes from mental health and inequality to love and break-ups are universal. Parasite director Bong Joon-ho, for example, has discussed how the wealth gap in South Korea mirrors that of other developed regions such as Europe. And South Korea has its own stories to tell to the world.
Critics may argue that South Korea’s government “manufactured” the success of the Korean wave, through funding and support for exports. But dozens of governments have similar policies, yet don’t see their cultural industries sweep the world the way South Korea’s has.
So to understand why South Korean culture continues to reach heights unimaginable a decade ago, look at its artists and the way they imagine new ideas. Talk to its industry executives, who grasped the importance of social media early on. Check the way South Korean society mirrors that of other developed countries. There you have a mix that has made South Korea Asia’s undisputed cultural powerhouse, and one of the biggest in the world.</t>
  </si>
  <si>
    <t>When South Korea’s “Parasite” won best picture at the 2020 Academy Awards, a woman called Miky Lee took to the stage to accept the accolade.
Lee, the movie’s executive producer, is part of the family behind CJ Group, a conglomerate with interests from food to entertainment. For more than two decades, it had invested in the country’s pop culture.
Now, as South Korean content explodes on the global scene, with television series “Squid Game” becoming a Netflix sensation, boy band BTS achieving worldwide stardom and “Parasite” claiming four Oscars, the Lees are adding to their bets.
CJ Group’s entertainment unit is considering buying a stake in SM Entertainment Co., a major K-pop production company and agency, according to a filing last month. It plans to spend more than $4 billion on content production over the next five years.
Like CJ Group, other large South Korean firms are making increasingly bigger investments in the business. The sector is becoming a growing component of the nation’s economy and offering strong stock returns.
Companies are “jumping into the industry,” said Park Ju-Gun, head of corporate research firm Leaders Index in Seoul. Entertainment is emerging as a new growth area, he said. 
Platforms such as YouTube and streaming services like Netflix have helped the surge in popularity of Korean content. The dystopian and satirical takes on social inequality in “Squid Game” and “Parasite” have resonated with global audiences, while K-pop bands such as BTS have dazzled fans with catchy music, good looks and complex choreography.
South Korean content exports increased 6.3% to $10.8 billion last year, according to a report by the trade ministry and the Korea Creative Content Agency, a government body overseeing the content industry. Cultural exports have surpassed other key areas, such as agricultural products, cosmetics and household appliances.
The nation’s companies have been taking advantage of the trend. 
Kakao Entertainment Corp., a subsidiary of the messaging giant Kakao Corp., gaming company Netmarble Corp. and Celltrion Entertainment Co., owned by biopharmaceutical firm Celltrion Inc.’s founder Seo Jung-jin, have all boosted investment in entertainment, buying talent management companies, producing movies and TV series, and working with artists such as BTS. 
The spread of Korean pop culture is also creating opportunities for stock investors. 
CJ ENM Co., the entertainment unit of CJ Group, has surged 19% this year, helped by the news it’s considering buying shares in SM Entertainment and by optimism over the growth potential of a local streaming platform in which it holds the largest stake. SM Entertainment itself has jumped 170%, while K-pop companies JYP Entertainment Corp. and YG Entertainment Inc., are up more than 38% each.
Hybe Co., the manager of BTS that counts Bang Jun-hyuk’s Netmarble as its second-biggest owner, has more than doubled as it acquired the U.S. media group behind Justin Bieber and Ariana Grande and said it’s teaming up with the country’s largest crypto exchange operator to sell non-fungible tokens related to BTS.
Despite the growth, the South Korean entertainment industry is still small relative to global peers. Revenue in the content market, which encompasses music, games and movies, stood at $61 billion in South Korea in 2019, compared with $874 billion in the U.S. and $351 billion in China, according to a January report by the Korea Creative Content Agency. CJ ENM’s market value is around $3 billion, far short of Netflix Inc.’s more than $300 billion.
CJ Group, now one of the leaders in South Korea’s entertainment industry, was started by Samsung founder Lee Byung-chull in 1953 as a sugar refiner. It separated from Samsung in 1993. Two years later, it ventured into entertainment when it invested $300 million to buy a stake in the U.S. movie studio then known as DreamWorks SKG.
Demand is centered on a select number of stars and pieces of content, the Korean Foundation for International Cultural Exchange, a non-profit organization under the country’s trade ministry, noted in an August report on Korean cultural trends. No new talent has entered the ranks of the top five most popular K-pop acts over the past three years, it said.
But for Leaders Index’s Park, the appeal of South Korean cultural products isn’t likely to wane anytime soon. He says companies from other industries will increasingly enter the business, helping create new content. Netflix, for its part, is making a similar bet. It plans to invest $500 million in South Korean content this year -- after spending $700 million in total in the years through 2020.
“The robust growth of the entertainment industry will continue,” Park said.</t>
  </si>
  <si>
    <t>The most rewarding experience when watching a film is to be blown away by the story and to feel attached to the characters. South Korea is an expert at accomplishing this. They arguably produce the highest quality films in the world. What makes their films so unique is their originality, complexity and ability to span a multitude of genres. 
With “Parasite’s” Oscar win for Best Picture at the 2020 Oscars, South Korean films have reached major streaming platforms and have finally started to gain the massive popularity they deserve in the United States. South Korean films are some of the most aesthetically pleasing, emotionally captivating and well-written films because you never know what you’re going to get and that’s what makes them so great. They are unpredictable, genre-bending and masterfully crafted. 
The film industry in the U.S. has taken a noticeable hit in quality in recent years due to a lack of originality, predictable storylines and an emphasis on using CGI instead of naturalistic and relatable stories. The movies that dominate the box office are usually part of a movie franchise or are based on previous material. Hopefully this trend changes soon because the plot, emotion and performances in popular U.S. movies are hitting an all-time low. To escape this downturn, U.S. cinema can look at South Korea to see how to consistently create high-quality films that resonate with all audiences.
Some might use subtitles as an excuse for why they choose not to watch international films. This is the biggest mistake anyone who enjoys watching movies can make. As Bong Joon-ho, the Oscar Award-winning director of “Parasite” stated, “Once you overcome the one-inch-tall barrier of subtitles, you will be introduced to so many more amazing films.”
If you are a horror fan, South Korea produces some of the scariest horror films of all time. They usually involve several plot-twists, plenty of gore and elements most U.S. horror films lack, including unpredictable jump scares, complex stories and emotional depth. “Train to Busan” follows a zombie outbreak in South Korea as people seek refuge on the trains to escape to safer areas. The power, ferocity and deadliness of the zombies in “Train to Busan” are utterly terrifying, comparable with the zombies in “28 Days Later” and “Dawn of the Dead.” The visually shocking zombie herds and fight scenes are unbeatable. If you want a comparison, just think of “World War Z” on steroids. 
If zombies aren’t your thing but you like a good supernatural and crime/thriller element, “The Wailing” is for you. “The Wailing” is about a mysterious illness that plagues a village. It involves demonic possessions, murder and a game of cat and mouse. The film provides a powerful look at the importance of faith, family and sanity.
If you’re more of a classic horror fan who appreciates a good monster movie, you should watch “The Host.” “The Host” is about a river monster and a father’s search with his family to find his missing daughter. It’s hard to categorize this film, as it has action scenes, comedic moments and, of course, horror. What you will quickly realize, however, is that the film is one hell of a ride. Lastly, if you think the U.S. makes good serial killer movies, wait until you’ve seen “I Saw the Devil,” probably the most realistic and gory horror film you will ever see. It follows a secret agent who is hunting down a serial killer. This film is not for the faint of heart. Nothing can prepare you for the violence as the murders and torture scenes are shown in great duration and detail. Other great South Korean horror films which can be found on Netflix are “#Alive,” “The Call” and “Forgotten.”
I would be remiss if I did not mention the two most well known and influential South Korean directors of all time, Bong Joon-Ho and Park Chan-wook. 
Bong Joon-Ho deserves the title as a master of suspense, a worthy successor to legendary director Alfred Hitchcock. He has also mastered the ability to blend genres, specifically comedy with crime and thriller, like his idol Martin Scorsese. He has quickly risen to the top of current filmmakers with his Oscar Award for Best Director for “Parasite.” Bong’s fame and critical acclaim are far past due. What makes him such an influential director is his ability to craft original and captivating stories. In “Memories of Murder,” a group of detectives try to identify and stop a serial killer after a series of rapes and murders takes over a town. “Okja” is a story about animal rights as a girl attempts to save her best friend, a gigantic pig-like animal, from being killed. Other great films by Bong Joon-Ho include “The Host,” as mentioned above, “Mother” and “Snowpiercer.”
Just like Scorsese, Bong has formed one of the best dynamic duos of directors and actors with legendary South Korean actor Song Kang-ho. Song has the charisma of Leonardo Dicaprio and the seriousness of Robert DeNiro. He has worked with Bong in “Parasite,” “Memories of Murder,” “The Host” and “Snowpiercer.” Song has perfected the ability to blend comedy with intensity in his roles and is regarded by many to be the greatest current South Korean actor. 
Park Chan-wook is a master at stylized and unexpected violence, writing complex screenplays, and creating quirky and unique characters. Anyone who likes the style of Quentin Tarantino will love his films. The “Handmaiden” is a beautifully shot, suspenseful romance film. It follows a South Korean woman who is hired as a handmaiden for a rich Japanese woman. What ensues is a thriller that has not one but two of the greatest plot twists in recent memory. Other great films by Park include but are not limited to “Sympathy for Mr. Vengeance” and “Oldboy.”
Give South Korean cinema a chance. It will open you up to so many original and high quality stories that the U.S. can only dream of making.</t>
  </si>
  <si>
    <t>Marvel movie “Eternals” enjoyed the biggest opening weekend of any film this year in South Korea. It came as some Korean cinemas moved towards near to normal operation.
“Eternals” earned $10.2 million between Friday and Sunday, and fully $14.3 million in its five opening days, according to data from Kobis, the box office tracking service operated by the Korean Film Council (Kofic).
Playing on 2,650 screens, “Eternals” accounted for 82.4% of the nationwide weekend box office. In terms of admissions, the film achieved 1.61 million ticket sales in five days.
The film’s powerhouse opening lifted the nationwide aggregate weekend box office to $13.1 million. That is the highest-scoring box office weekend in Korea this year.
In contrast “The Legend of Shang-Chi” opened with $4.76 million over the Chuseok holiday weekend. In July, “Black Widow” debuted with a similar screen count and earned $8.82 million over its opening weekend (and $12.1 million over its opening five days). The “Black Widow” weekend total was $11.0 million.
The Korean cinema industry had been subject to COVID-19 restrictions that included seating restrictions, bans on food and drink, and curfews that curtailed evening screenings.
Cinemas have responded by creating ‘vaccine pass theaters’ for patrons who can prove that they are fully vaccinated against COVID-19. Kofic has also reinstated its discount coupon scheme in order to bring audiences back into cinemas.
With a very high per capita rate of attendance, Korea had been the world’s fourth biggest box office market in pre-COVID times, ranking only behind North America, China and Japan. But nervous patrons stayed away in droves distributors of Korean movies, which rely heavily on theatrical box office for their returns, canceled or delayed the release of many local titles.
Following ticket sales of 227 million in 2019, the number of spectators plunged to 59.5 million in 2020. The total to date in 2021 is 47.6 million, according to Kobis.
Over the latest weekend “Dune” placed second with $1.18 million for a $9.01 million total since release on Oct. 20, 2021. “Venom: Let There Be Carnage” earned $421,000 in third place, for a cumulative of $17.4 million since debuting on Oct. 13.
Two films that opened in competition with “Eternals” did minuscule amounts of business. “Seberg” earned $50,500 in five days. “The United States vs Billie Holliday” took $36,000 over five days for tenth place.</t>
  </si>
  <si>
    <t>The South Korean film industry is one of the hottest markets in entertainment right now. Hallyu, as it is known, is being promoted everytime a blockbuster Korean film or series is released.
Since the release of Bong Joon-ho’s Academy award-winning film, ‘Parasite,’ South Korean film has been center stage for content consumption. The movie has shown audiences that Korean pop-culture has more to offer than K-Pop and soap operas.
A more accurate term for this Korean wave of pop culture has been coined as Hallyu. The turn of the 21st century has seen South Korea as a major exporter of pop culture and tourism. It is accurate to say that the South Korean film industry has increased the amplitude of Hallyu.
Hallyu is a Chinese term which, when literally defined, translates to “Korean wave.”
The steady rise in production and investment in the South Korean film industry is comparable to other international film markets. India, Spain, Turkey, and Latin America have had a similar rise in international film investments to South Korea.
The South Korean film industry’s international rise is following a similar path to the Indian film industry
India’s 2008 international blockbuster, Slumdog Millionaire, had a similar effect as Parasite. Over the same timespan, Netflix, Viacom, Amazon, and other companies have poured investments into the Indian film industry.
The result has been a catalog of Indian TV series and movies. The most successful titles from these investments include Delhi Crime (2019), Mirzapur (2018), Sacred Games (2018), Inside Edge (2017), and most recently, the Priyanka Chopra-produced film on Netflix, The White Tiger.
Over the past decade, South Korean film has produced several international award-winning films and blockbusters. Parasite (2019), Snowpiercer (2013), and Train to Busan (2016) have opened the floodgates for further investment in the South Korean film industry.
It seems like South Korean film is following suit to Indian films from the last decade.
The South Korean film industry’s momentum has been aided by the support of international platforms such as Netflix. Between 2015 and 2020, Netflix spent $700 million on South Korean films and TV series.
This investment has resulted in the opening of a new production base in South Korea that will include six stages at YCDSMC – Studio 139 in Yeoncheon County (which happens to be along a railroad line connecting to Seoul), and an additional three stages at Samsung Studio in Paju.
It seems like an international blockbuster is the film industry’s version of going viral. With an influx of capital and experience, South Korean film is on track for producing some of the best content.
The South Korean film industry is poised to continue booming
The South Korean film industry is certainly blossoming right now, and there’s no telling if it has even reached its apex.
Regardless, the talented workers in South Korea are earning international acclaim, and that should make us all happy.
We live in an increasingly globalized world, where other cultures can be ingested in an instant. The growing usage of Hallyu is just another example of this.
We live in an increasingly globalized world, where other cultures can be ingested in an instant. The growing usage of Hallyu is just another example of this.
If you want to see more of it on Netflix, you may already know that it’s not possible if you do not live in South Korea. It’s because Netflix has regional restrictions. Luckily, it is possible to bypass that. You can watch Korean Netflix in other countries  – you just need to get a VPN.
And we still can’t wait to see what the South Korean film industry churns out next.</t>
  </si>
  <si>
    <t>The South Korean media conglomerate whose entertainment arm produced the winner of the 2019 Oscar for best picture, “Parasite,” has acquired a majority stake in the scripted arm of Endeavor Content, a subsidiary of the entertainment company Endeavor Group.
Upon closure of the $775 million deal, which was announced late Thursday night, the South Korean conglomerate, CJ ENM, will own 80 percent of the business and the Endeavor Group 20 percent. The companies said they expected the deal to close in the first quarter of 2022.
The Wall Street Journal reported the news earlier.
“At the end of the day, CJ ENM strives to become a major global studio that encompasses content that appeals to a global audience — like this deal with Endeavor Content, we will continue to expand our presence in the global market,” Kang Ho-Sung, the conglomerate’s chief executive, said in a statement.
Endeavor is being forced to reduce its ownership stake in its scripted content business as a result of a settlement this year with the Writers Guild of America, whose writers went on strike to protest what they saw as a conflict of interest at agencies that owned both talent representation businesses and production companies.
Endeavor is not required to sell its unscripted assets and will maintain 100 percent ownership of that business.
Endeavor Content was formed in 2017 by Graham Taylor and Chris Rice. Today, it calls itself a global film and television studio, and it has produced such projects as “Nine Perfect Strangers,” a Hulu mini-series starring Nicole Kidman, and Maggie Gyllenhaal’s directorial debut, “The Lost Daughter.” It owns a minority stake in Bruna Papandrea’s production company, Made Up Stories, in addition to PictureStart and Media Res.
Mr. Taylor and Mr. Rice will remain co-chief executives of the new company.
CJ has been expanding its foothold in Hollywood in recent years. Miky Lee, the vice chair of CJ Entertainment, the Hollywood arm of CJ ENM, rose to the national stage when she accepted the best picture Oscar for “Parasite,” but she was an industry player before then, nudging CJ toward Hollywood in the 1990s with a stake in DreamWorks. Most recently, she invested $100 million in David Ellison’s Skydance Media and was elected vice chair of the board of the Academy Museum of Motion Pictures.
“Having known Miky Lee for more than 25 years, I’m confident that CJ ENM will be excellent stewards of the studio, accelerating and amplifying its projects on a global stage,” Ari Emanuel, the chief executive of Endeavor, said in a statement.</t>
  </si>
  <si>
    <t>Amid a national fascination with South Korean megahit “Squid Game,” a lawsuit filed today against Netflix (NASDAQ: NFLX) alleges that the streaming giant weaponized innovations in language-dubbing technology to illegally produce one of its most-watched titles. It is yet another in a string of lawsuits filed recently against Netflix focusing on its questionable business practices.
Filed in the U.S. District Court for Central District of California by entertainment company Hollywood Innovations Group (HIG), the lawsuit shines a harsh light on Netflix’s unscrupulous business practices and alleges it willfully violated the same copyright laws it routinely enforces against its own competitors. It also illustrates the power of new dubbing technologies to seamlessly adapt video content across dozens of languages. The technology helps expose broader audiences to global content, but Netflix has quickly found a way to leverage it to capture the lucrative and highly competitive Asian market.
Netflix co-CEO and Chief Content Officer Ted Sarandos has identified South Korea as a content hot spot for American film producers, believing it serves as a barometer of success for the broader Asian market, and the company has invested $500 million there this year alone. The lawsuit alleges that the lure of profits and opportunities to raise its profile as the leading outlet for Korean content motivated Netflix’s eagerness to exploit the movie in question despite violation of U.S. copyright laws.
Law firms Bay Advocacy PLLC and One LLP, on behalf of HIG, filed the lawsuit against Netflix and Korean producers Perspective Pictures, Zip Cinema, and Kakao Entertainment, which recently acquired Zip Cinema. It centers around a compelling and timely screenplay written by screenwriter Matt Naylor in 2018, well before the global COVID-19 pandemic struck in March 2020. Ironically, the story focuses on a young man’s struggle for survival and the resulting mayhem when he is forced to self-isolate during a global viral pandemic.
The complaint alleges that Naylor initially entered into an agreement with Zip Cinema and Perspective Pictures, granting them the right to produce only a single, feature-length, Korean-language motion picture based on his script. In addition to limiting Zip’s and Perspective’s rights to a single Korean-language movie, the agreement also expressly reserved to Naylor the right to make and distribute an English-language movie based on the script. Naylor later sold all rights, including but not limited to the rights to make movies based on the script in all non-Korean languages, to producer Rabih Aridi, who, in turn, transferred those rights to HIG. According to the lawsuit, HIG began producing “Alone,” an English-language film based on the script in 2019 with an A-list cast that included Donald Sutherland and Tyler Posey in starring roles. It had an October 2020 theatrical release, with additional plans to license the film to Netflix or another leading U.S. streaming service.
At the same time, Zip and Perspective exercised their rights in South Korea to produce a Korean-language movie called “#Saraitda.” The movie was a huge success in South Korea, enjoying the highest first-day viewership of any film since the start of the pandemic.
The film’s overseas success apparently piqued Netflix’s interest. The complaint alleges that, despite having a clear understanding that the rights to produce or distribute an English-language version of the film were excluded in their agreement, Zip Cinema and Perspective Pictures quickly colluded with Netflix to use advanced dubbing capabilities to put the film in English and numerous other languages and unlawfully release it under the title “#Alive” before HIG could release “Alone.” “#Alive” quickly became a box office smash for Netflix. Not surprisingly, given the actions of Netflix and its partners, “Alone” floundered.
“New dubbing innovations have made content from around the world more accessible than ever, creating a lucrative new market for streaming services and a frenzied scramble to mine content from abroad to bring to domestic audiences. But, as with any new Gold Rush, the lure of quick and easy profits can tempt those on the ground to violate established property rights,” said John Tehranian, a founding partner at One LLP. “As this suit alleges, Netflix positioned itself at the forefront of the new dubbing marketplace by innovating through infringement.”
The lawsuit asserts that Zip and Perspective colluded with Netflix, which used its new dubbing technology to distribute unlawfully dubbed versions of the movie, under the name “#Alive,” in the United States and dozens of other markets before HIG could release “Alone,” thereby earning tens of millions of dollars in profits. As the complaint explains, even after HIG put Netflix on notice that it was violating HIG’s copyright, Netflix continued exploiting its infringing release and knowingly decimated the commercial prospects for “Alone” in the process.
The Hollywood Reporter has noted that Netflix’s investment in new dubbing technologies has grown, on average, between 25% and 35% annually for the past few years. While dubbed titles are customary overseas, the U.S. market has largely found them undesirable. But Netflix has banked on advancements in this area for years, bulking up its dubbing capabilities to improve the quality of its dubbed titles. And subscribers are clearly taking notice, with English versions of films and shows like “Money Heist” and “Squid Game” turning into blockbusters.
By the time “Alone” premiered, audiences around the world had already streamed “#Alive” in English (and 30 other non-Korean languages), rendering “Alone” commercially unviable with a massive lost opportunity to monetize its rightful property. As a result, the illicit release of “#Alive” in English thoroughly undermined HIG’s ability to secure support for its film, costing the company millions of dollars in lost revenues at a time when the film’s subject matter would have resonated with global audiences during the COVID-19 pandemic.
“With ‘Alone,’ we spared no expense to ensure producing a quality film,” Aridi said. “We loved the script and hired an experienced director and A-list actors. We were pleased with the way everything went throughout the production and post-production processes, until of course, we realized that the rights to our script were clearly violated. More shocking was Netflix’s complete dismissal of what happened. It was like having something stolen from under our noses and seeing the thief laugh all the way to the bank.”
According to the lawsuit, Netflix garnered considerable profits and value from its unlawful distribution of “#Alive” in English and other languages and is believed to be in discussions for a forthcoming television series based on the movie. HIG seeks a portion of Netflix’s monthly subscriber revenue generated by its illegal conduct, as well as an order to permanently prohibit the three companies from copying, reproducing, exhibiting, displaying, promoting, advertising, distributing, or selling, or any other form of dealing or transaction in or exploitation of, any and all dubbed or subtitled versions of “#Alive,” as well as any and all other unauthorized derivative works.
The case is Hollywood Innovations Group, LLC v. Netflix, Inc., Zip Cinema Co., Ltd., Perspective Pictures Co., Ltd., and Kakao Entertainment Corp. A copy of the complaint is available upon request and the attorneys are available for media interviews.</t>
  </si>
  <si>
    <t xml:space="preserve">Korean culture has created buzz all around the globe with it’s music (Kpop), K-Dramas, and movies. Bong Joon-ho's dark comedy drama, Parasite (2019) had a significant hand in the same as it won the Academy Award for the Best Picture and it was a cultural breakthrough. With numerous accolades, 'Parasite' brought significant interest and curiosity among consumers and non-consumers of the Korean culture. It marked a watershed change in Korean cinema by getting international recognition and a new spotlight on it.
Going beyond the commercialised cinema
What were the elements that captured the audience's interest in Parasite? Was it just the daunting reality of our society that people can relate to, or the freshness of a new kind of cinema that moved beyond the commercialisation? All these reasons played an essential role in engaging the audience, not just with the film but the Korean culture, much like what happened with India and Indian culture when 'Jai Ho' won an Oscar. Like a national victory, the people of South Korea collectively celebrated this feat. The world, through this movie, was able to see and explore more of Korean cinema; its quality content was hidden before Parasite happened.
Paving the way for 'Real to Reel'
People who liked Parasite went on to explore movies similar to it, more Bong Joon-ho directorial ventures. This contributed and encouraged the movie makers to dive into the cinema where people can relate to the story. Parasite is a movie about “class warfare,” the rich and the poor, a life lived in the basement with bare minimum, and life lived in a mansion where one does not know what it is like to travel in a subway.
This is a story that people around the globe can relate to as it's their story or of someone they know. Inequality globally has been on the rise, millions are living in extreme poverty, the rich and the poor have become more distanced. In such a world, 'Parasite' gave independent filmmakers and artists who work on similar movie genres to keep making movies like that. Their desideratum of the global audience did increase with a surge in people choosing and going for films with a social reality/cause.
Future of Korean Cinema
Bong Joon-ho's filmography has always left the audiences in awe and broadened their perspective. The rich and the poor class gap and the class warfare, the hierarchy between the bourgeoisie and the proletariat can be felt and experienced globally as the gap between them widens.
Bong Joon-ho's movie gave a boost to the non-commercialised cinema. At the same time, they were bringing back the hope that non-English films will have a chance at being recognised on a global platform.
The streaming sites have now made available different, and all kinds of content from across the world at just a click away. Pandemic and the lockdown increased the usage of streaming sites with which people explored the unexplored, unraveled the path they never thought existed. These sites and subtitles/dubbing has put a stop to the perennial question of accessibility. As Boog Joon said while giving his golden globe acceptance speech for the best foreign film, “Once you overcome the one-inch tall barrier of subtitles, you will be introduced to so many more amazing films,” the pandemic gave Korean culture new audiences, new explorers who delve right into it, whether after Parasite, Crash Landing on You, or BTS (K-Pop boy band).
How much of this will help or has helped in stopping/reducing Asian hate crimes is debatable but it positively impacted movie lovers; it increased Korean cinema consumption globally while creating an interest in regional films and not the commercialised ones. In giving filmmakers a boost to go for movies, they believe in and challenge themselves by creating movies alike. From contributing to the Korean wave to becoming a part of cultural diplomacy, Parasite did it all, and how it has affected these aspects is not going anywhere anytime soon. </t>
  </si>
  <si>
    <t>One of the few joys during the COVID-19 pandemic lockdowns has been the ability to stream a seemingly endless list of wonderful films and TV shows. There is something to cater for every taste, from period dramas to cookery shows and documentaries.
The Middle East has long enjoyed a reputation for its rich and mesmerizing storytelling history. Now, the region is in great need of contemporary narratives that reflect the dreams, struggles and other stories of its communities.
The demand for entertainment in the region is booming. A recent study by PricewaterhouseCoopers forecast regional revenues to increase by 3 percent between 2019 and 2024, well above the 2 percent global estimate. The experts said that pandemic lockdowns accelerated the growing demand for digital entertainment by encouraging users to access an ever-expanding selection of streaming services and content. The report estimates that, by 2024, digital revenues will account for 46 percent of total entertainment revenues.
The current big digital-entertainment players in the region — MBC’s Shahid, the Dubai-based Starzplay Arabia, and Netflix — have all increased the amount of local content they offer after experiencing influxes of new subscribers and increases in viewing hours.
Indeed, the wider entertainment industry is creating exciting opportunities for the region. A number of cities are vying to be crowned entertainment destinations that can offer an expansive and imaginative range of activities for tourists and locals alike.
Saudi authorities recently announced their commitment to transforming the country into a world-class entertainment destination by investing a whopping $64 billion in the sector. Already, the Kingdom has lined up deals for a number of films to be produced entirely or partly in the country, including historical epic “Desert Warrior,” starring Anthony Mackie and Ben Kingsley, and action thriller “Kandahar,” starring Gerard Butler.
Film lovers are also in for a treat during the Red Sea International Film Festival, the first event of its kind in the Kingdom, which will showcase 138 films from 67 countries between Dec. 6 and 15.
In light of these exciting trends and events, regional governments can leverage the growing demand for film and TV productions. Enhancing funding for the production of original, creative and outstanding local content is key to positioning the region as a contender among global entertainment players. Identifying and supporting imaginative storytellers, actors, producers and technical talent is another pivotal ingredient for success.
There are many ways to cultivate emerging talent, such as arts education programs in schools, special content-creation workshops for teenagers, online training courses focusing on the origination of creative content, specialized academic programs at universities, story labs focusing on the development of marketable scripts, and project-based apprenticeships at established entertainment enterprises.
Equally important is investment in entertainment infrastructure, including world-class film studios and production facilities, film technology, cinemas and distribution networks. Upgrading digital infrastructure in the region is also critical, especially in rural areas, to ensure consumers can access digital entertainment content and scale geographical expansion to broader markets.
Offering funding, grants and subsidies to emerging film and TV enterprises and promising productions is another key to building repositories of authentic, creative content. It is also imperative to boost the marketing capacity for Arab film productions by funding delegations to attend global trade shows, film events and international festivals.
Furthermore, regional governments must introduce regulatory reforms that embrace the many nuances and emerging trends within the film industry, such as intellectual property rights, data privacy, the boundaries of artistic expression, piracy and labor policy.
Highlighting the diverse and magical filming locations in the region can be a unique selling point to attract global film production companies seeking memorable and exceptional settings for their scripts. Many of the locations around the world featured in popular productions inspire hordes of fans to flock to the places where they were filmed, out of a longing to see these backdrops for themselves and recreate the emotions and sense of wonder they experienced watching their favorite films or TV shows.
For example, the Harry Potter movie studio tour in London and the landscape of the Hobbiton set used in the “Lord of the Rings” and “The Hobbit” trilogies, in the Mighty Waikato region of New Zealand, are now world-famous tourist attractions.
An integrated and holistic ecosystem must therefore be established for the film industry to thrive. There is much to learn from the state of New York on this matter, considering it has become a thriving hub for film and TV production.
To attract productions, it offers tax credits, sales tax exemptions and grants to finance training and workforce diversity programs. An online location library boasts more than 32,000 images of key places that might be of interest to filmmakers searching for filming locations, including cityscapes, subways, historic properties, natural landscapes, industrial areas, castles and farms.
Talent cultivation is another factor integral to the state’s success in the sector, so it hosts a wide range of schools and other training facilities for filmmakers and actors. The renowned New York Film Academy, for example, offers a range of educational programs devoted to filmmaking, producing, cinematography, screenwriting and acting. It also organizes dedicated filmmaking and acting summer camps for children and teenagers.
Similarly, the Korean Film Council is a government agency tasked with bolstering the quality of Korean films and promoting them worldwide. The nation’s film industry is now a global player, so much so that Netflix announced this year a commitment to invest $500 million in just one year in films and TV shows produced in South Korea.
Regional governments must introduce regulatory reforms that embrace the many nuances and emerging trends within the film industry.
The council has implemented a number of important projects, including investment in original films and TV shows, support for local talents, the enhancement of distribution networks, the promotion of film festivals, investment in state-of-the-art audiovisual technologies and techniques, and the enactment of effective film policies that promote fair competition.
The council also established the Korean Academy of Film Arts, the country’s top educational film institution. It was founded in 1984 and its graduates now include more than 700 prominent film industry talents.
As authorities in the Middle East increasingly target the potential of the sector, the region’s foray into the global entertainment market will certainly be worth watching in the coming years.</t>
  </si>
  <si>
    <t>Nowadays ‘Hallyu’ or ‘Korean wave’ became so popular that even if you don’t know anything about South Korean songs, foods, drama or their overall culture, it won’t take too much time for you to get to know about it. Just ask some of your friends and you’ll definitely find someone who’s a crazy fan of K-pop, K-drama, or K-movies. South Korea being the global phenomenon is what ‘Hallyu’ is all about.
K-culture is in an all-time high demand, with series like ‘Squid Game’, Oscar-winning movies like ‘Parasite’, songs like ‘Gangnam Style’ and K-pop idols like BTS and BLACKPINK dominating entertainment across the whole world. Because of South Korea’s well-developed soft power, just like the entire world, ‘Hallyu’ arrived in Bangladesh as well. Now it is so popular here that you can find trendy clothing items from K-shows in various stores, find restaurants offering Korean BBQ, grilled beef bulgogi, and spicy kimchi ramen all around the country. Korean culture's popularity in this country indicates a change of perception among the younger generation who have embraced the Korean wave readily. And to grow your interests more in Korean culture, the Embassy of the Republic of Korea in Bangladesh is going to hold a ‘Korean Film and Tourism Festival’ for 3 days from 24 November to 26 November 2021 which will take place at the main auditorium of the National Museum of Bangladesh.
Due to the Covid-19 pandemic, the Korean Embassy in Dhaka couldn’t host the annual Korea Film Festival last year despite it being a centre of attention. But this year it will be more fun. The festival will be opening with the Oscar-winning movie “Parasite” by Bong Joon-Ho at 5pm on 24 November. It is a black comedy film about a poor family who schemes to become employed by a wealthy family with their unique qualities. 
On the second day on 25 November, “Kim Jiyoung, Born 1982” will be screened at 11am, a film about a woman in her mid-thirties who is living in a male-dominated, patriarchal Korean society, where females are defined by their fathers or husbands. 
On the same day at 3 pm a zombie apocalypse survival movie, “Alive” will be screened. On Friday 26 November, an animated film “Red Shoes and the Seven Dwarfs” will be shown at 11am. And, lastly, the festival will end by screening “Mal-Mo-E: The Secret Mission” at 3pm, a movie set in the 1940s when Koreans also fought for their language. Bangla subtitles will be added with the films too.
State Minister for Cultural Affairs KM Khalid will grace the occasion as the chief guest. There will be also K-pop performances by award-winning Bangladeshi youngsters. This “Korean Film Festival” is going on annually since 2014 but this time it won’t be the same. Other than watching these amazing films, fans will also get many other surprises as this year it’s also a tourism festival. Visitors to the tourism festival will get to enjoy various live activities like VR tours of some tourist places of Korea, Korean folk games, Hanbok wearing, Dalgona Candy making which became really popular after the release of ‘Squid game’, instant photoshoots, and also giveaway of promotional items. There will also be a Korea Corner at the museum with Korean products on display.
South Korean ambassador Lee Jang-Keun told Prothom Alo English online that while selecting all five films they tried to have a good combination of various genres of Korean movies ranging from comedy and drama to crime and action, and all of them will represent Korea's history, society, and aspects of modern Korean culture.
We can also highlight the striking similarity between Bangladesh and Korea in terms of defending their own language, which is a common ground in their respective histories of independence. Just like we observe International Mother Language Day on 21 February, South Koreans also celebrate the Korean language and writing system on Hangul Day on 9 October. This is indicated in the movie “Mal-Mo-E: The Secret Mission” which will be showcased on the last day of the “Korean Film and Tourism Festival”.
When asked if they are planning to hold this festival anywhere else in the future, as many people won’t be able to enjoy this festival for living outside of Dhaka, Ambassador Lee Jang-Keun said, “We are well aware of such aspirations from other parts of Bangladesh and we plan to present similar events in other cities such as Chattogram in the future. Hopefully from next year.” He also said “We are pleased to see the growing influence of so-called Korean soft power through K-culture. I believe that the K-culture phenomenon is disseminating messages of hope to people around the world. We plan to interact with K-movie lovers of Bangladesh in various ways. In particular through a number of Korean culture associations and groups as well as individuals in Bangladesh to encourage them.”
Ambassador Lee Jang-Keun invited everyone by saying, “We are doing our best in promoting South Korea and will continue to do our best to the end. We have all been under stress from the prolonged unprecedented corona pandemic. Please come, join, enjoy and find the messages that the Korean creators are trying to send out through the films.”
The film festival is open to all and is free of charge. We hope you will come to enjoy it too.</t>
  </si>
  <si>
    <t>South Korea's movie industry was expected to catapult to new heights this year on the back of the Oscar win by the hit family satire "Parasite" in February, but it has instead found itself in difficulties due to the coronavirus pandemic.
The number of moviegoers in the country this year is expected to fall 70 percent from 2019 as restrictions were imposed on in-person movie showings and people refrained from going to theaters to stem the virus' spread.
"Cheers turn to screams," a local newspaper quipped to describe the dramatic change in the landscape.
Data from the Korean Film Council, a government-affiliated movie promotion committee, show roughly 60 million people have viewed movies at theaters so far this year, a sharp decrease from the roughly 230 million who did so in 2019. The figure is also the lowest since 2004, the earliest year for which comparable data are available.
Box office revenue is expected to fall this year by roughly the same percentage as the theatergoer numbers.
The dismal performance is blamed on restrictions imposed on the number of theater seats made available and limits placed on late-night showings.
Concerned about catching the virus, many people also appear to be avoiding spending extended periods of time confined in close proximity theater spaces.
Health experts have advised people to avoid "three Cs" -- confined spaces, crowded places and close-contact settings -- to limit exposure to the virus.
The pandemic has led a major multiplex operator in the country to announce plans to slash the number of its theaters by 30 percent over a three-year period.
As the pandemic gathered its pace this year, the filming of a new movie featuring Song Kang Ho, who played the father of a poor family in Parasite, was suspended.
The movie industry as a whole has been dealt a serious blow as studios pushed back release dates for movie after movie.
The Korean Film Council has set up a group tasked with identifying issues for the movie industry in the pandemic and coming up with possible solutions.
The group plans to compile a policy report, possibly in March, after soliciting opinions from producers, distributors, marketers and investors.</t>
  </si>
  <si>
    <t>From the outside, South Korea looks like one of the production bright spots of this past pandemic year. The Korean Wave, or global appetite for its entertainment content, from films and TV dramas to pop music, has gathered momentum while the country’s rapid test and trace-led response in early 2020 helped it avoid full lockdowns, although social distancing restrictions have been in place.
The situation on the ground for the film industry presents a more complex picture. Productions have continued to shoot with safety protocols, but a lack of commercial titles at cinemas, social distancing measures and movie-goer reluctance saw the box office fall by almost 74% in 2020, according to the Korean Film Council (KOFIC).  
The trend continued into 2021 with theatres reporting just 707,000 admissions during the traditionally busy Lunar New Year holiday season (this year falling February 11-14) — a seventh of the total for the holiday period in 2020.  
Distributors are reluctant to launch major titles theatrically and there is a backlog of films, which is affecting investment in new projects. “There are more than 80 Korean films waiting for release,” says producer Jay Choi, the former Warner Bros executive who recently co-founded production banner Anthology Studios and is KOFIC vice-chairperson.  
“The large investor-distributors we all know don’t need to pick up new films. They are looking for projects that aim for release in the second half of 2022. But will the theatrical market be stable again by then? We are developing projects with that in mind,” he adds.
Sales agents report they are seeing fewer mid-budget films being packaged in the pandemic. “When it comes to investment, mid-sized budget films are disappearing,” says Danny Lee, head of international business at sales company Contents Panda. “Investors are getting more conservative and they are looking for safe bets with top directors and casting, or an edgy, targeted concept for low-budget films that will make their money back in ancillary if not theatrical. Films with less than KW1bn ($907,000) budget can be more viable than mid-sized budget ones.”  
At the same time, Netflix has made a big push into the territory during the pandemic. The streaming giant snapped up Berlinale 2020 title Time To Hunt and sci-fi film Space Sweepers for high-profile pivots from theatrical to streaming launches. 
In February, it announced it is investing $500m in Korean films and TV series in 2021, with the slate including two new original features, BDSM romance Moral Sense and action film Carter, from The Villainess director Jung Byung-gil, as well as the recently wrapped series Hellbound, from Train To Busan director Yeon Sang-ho. 
Feature film producers such as Choi are now moving into drama series production. “Netflix and OTT companies have a great need for K-drama and other Korean content,” he says. “So film producers like us get requests to use our networks to make drama series. The market is not good but it’s a chance for us to expand.”  
In a not unrelated move, Anthology Studios, which Choi co-founded with Parasite star Song Kang-ho and director Kim Jee-woon, has been acquired by major local cable broadcaster-affiliate JTBC Studios.  
Other traditionally feature film-focused producers are also considering the drama route.  “From the point of view of production companies like ours, of course we want to make theatrical commercial films, but the situation doesn’t seem like it will get better in a short period of time,” says Hamm Jin, director of film production at Studio&amp;New.  
“In the past year or so, we have continued to develop the projects we had already started on, but with the caveat that later on, we could decide whether the film would go to cinemas or OTT,” she adds. “But in the case of projects at a very early stage of development, we are considering changing a two-hour theatrical film into a two-season TV series, depending on the subject matter.”  
Challenges
Hit-making director and producer couple Ryoo Seung-wan and Kang Hye-jung at Filmmaker R&amp;K, best known internationally for action-packed pictures Veteran and The Battleship Island, continue to believe in the potential of feature films. The pair are in the final stages of developing a thriller inspired by female divers. Provisionally titled Smuggling, it is set in the world of haenyeo — or ‘sea women’ — of Korea’s Jeju Island, who traditionally dive without breathing equipment for seaweed and shellfish. The film will revolve around two haenyeo who are caught up in a smuggling ring in the 1970s.  
Kang suggests development has become an even more critical stage during the Covid-19 pandemic. “Not that we haven’t always made films for theatrical release, but we’re now developing this with an even greater focus on making the sort of film people want to pay to see in a cinema,” she says.  
She notes that the surge in drama production has resulted in a further challenge for film producers. “You can tell how active TV and internet drama series production has become from how hard it is to schedule cast and crew these days. So we’re taking the time to focus on the script, to find ways to minimise expenditure at script stage.”   
Projects that were planning to shoot overseas have been shelved for the time being. Travel bans and cost-inducing mandatory quarantines, sometimes on both sides of a plane trip, have made them virtually impossible. Director Jang Kunjae, whose award-winning A Midsummer’s Fantasia was co-produced by Naomi Kawase, was planning to shoot his next film in New Zealand but has had to put that on hold. 
The film was adapted from the novel Because I Hate Korea, in which a young woman moves to Australia to get away from the predictable life she would have led in her home country. The director chose to make it a road movie set in New Zealand “because it signified the protagonist getting as far South from Korea as she could, the location tax incentives are better, and because our film commissions have a good relationship with theirs and I was told we were set to be the first Korean feature film to shoot on location there.”
“It’s a project that needs to shoot more than 30% on location in New Zealand. The script was completed, the main casting was done, and we had funding. We had prepared for everything but a pandemic. Now, to go shoot in New Zealand, the quarantine would cost about KW4m ($3,350) per person,” says Jang. 
Independent filmmaker Park Jung-bum, director of award-winning films Alive and Height Of The Wave, has found the pandemic creating other delays in his productions.  
His company Secondwind Film co-produced Japanese director Ishii Yuya’s latest film The Asian Angel, starring Sosuke Ikematsu, Joe Odagiri and Moon Choi, shot in Korea last April. With funding from the Korean Film Council and the Gangwon Art &amp; Culture Foundation, the post-production was originally supposed to be done in Korea with the director on hand, but got delayed when the pandemic prevented him from coming. 
“It should have been completed in one or two months, but in the end it took eight months with the director sending comments in documents and over video calls and us eventually shipping him DCPs twice,” he says. The film has just world premiered as the closing film of Japan’s Osaka Asian Film Festival on March 14.  
Park is also working on the script for a film he will direct, the working titled Everything I Want To Do, about a poet that falls in love with a factory worker. 
“I have been lucky to get production support and film festival funding [for my other films] but I am also thinking of cutting down the budget as I edit this script, downsizing some scenes, and I’ll be searching for overseas pitching programmes for this and two other projects I’m participating on as scriptwriter,” he says.  
Hope? 
Against this challenging backdrop, there are glimmers of hope. The government lifted the curfew for cinemas after the Lunar New Year holiday and the country also began its mass vaccination drive on February 26.  
Hwang Jae Hyeon, communications team leader and analyst at CJ CGV, Korea’s leading multiplex chain, is cautiously optimistic. 
”The government is aiming for herd immunity to be established in November with vaccinations but even before then, if the number of cases stops increasing and we get strong titles to release, people could start coming back to the cinemas,” he says.</t>
  </si>
  <si>
    <t>SEOUL, Feb. 18 (Yonhap) -- Kim Eun-hee, 41, is a casual moviegoer who would normally go to theaters once or twice a month to hang out with friends on weekends.
But last year, she never once went to the cinema, partly out of fears of possibly being infected with the novel coronavirus in a closed and confined public environment.
"I've been staying at home every weekend for about a year, and movie theaters are one of the first places that I stopped going," she said. "Instead, Netflix provides enough films and shows to help me forget my habitual experiences at theaters. I'm watching more movies than I did before."
Kim's case clearly represents the current dilemma that the South Korean film industry faces and what appears to be growingly ominous future that industry insiders are afraid of.
By Kim Boram
SEOUL, Feb. 18 (Yonhap) -- Kim Eun-hee, 41, is a casual moviegoer who would normally go to theaters once or twice a month to hang out with friends on weekends.
But last year, she never once went to the cinema, partly out of fears of possibly being infected with the novel coronavirus in a closed and confined public environment.
"I've been staying at home every weekend for about a year, and movie theaters are one of the first places that I stopped going," she said. "Instead, Netflix provides enough films and shows to help me forget my habitual experiences at theaters. I'm watching more movies than I did before."
Kim's case clearly represents the current dilemma that the South Korean film industry faces and what appears to be growingly ominous future that industry insiders are afraid of.
In this file photo taken on Dec. 19, 2020, a movie theater in South Korea's southeastern port city of Busan is seen almost vacant. (Yonhap)
hide caption
previousnext1 of 5
As casual movie fans such as Kim increasingly abandoned cinemas last year, South Korea's box office saw a whopping 73.7 percent on-year plunge in terms of the number of moviegoers, from 226.7 million for 2019 to 59.5 million in 2020, according to the Korean Film Council (KOFIC).
The industry's total revenue in 2020 also plummeted 73.3 percent to 510.4 billion won (US$460.6 million) from 1.9 trillion won the previous year
Instead, people have increasingly rushed to streaming services like Netflix. The U.S. company saw its monthly unique visitors in South Korea surge 64.2 percent between January and November of last year, seeing substantial growth in users during the course of the pandemic.
Wavve, a content streaming service launched by South Korea's terrestrial broadcasters, including KBS, posted a 22 percent gain in monthly active users last year, while subscribers to No. 3 Tving, owned by entertainment giant CJ Group, also jumped 59 percent on-year.
Experts point out that this trend is actually not a fad attributed solely to the pandemic. A big shift in the platform industry has been sweeping the entertainment industry for years and the COVID-19 pandemic just fueled that pace in 2020.
"The film industry is based on its own platform of cinema, and it is consequently affected by the shift in platform to a great degree," said a recent KOFIC report on the state of the film industry released last December. "The COVID-19 pandemic has accelerated the trend."
Netflix, in particular, rose to be a new dominant trendsetter in the South Korean entertainment industry in 2020, just three years after it made a splash by financing director Bong Joon-ho's 2017 adventure film "Okja."
The American streaming giant, which has funneled nearly 800 billion won into Korean projects, especially TV series, since its Korean market debut in 2015, has been initiating bold projects in the virus-hit film production industry in the country.
It bought the distribution rights of five Korean films, including "Time To Hunt," "Call" and "Space Sweepers," and has released them on its platform without theatrical runs since last year.
Furthermore, some industry pessimists forecast that the pandemic-induced contactless trend could potentially lead to the dismantling of the traditionally close-knit industry ties between filmmakers, distributors and theaters and usher in an era of a direct, binary relationship between film producers and Netflix.
"Society has been already moving toward zero-contact settings," Prof. Jeong Min-ah from Sungkyul University wrote in her latest industry analysis paper. "We are at a crossroads of the trend that the mainstream way of watching movies will be replaced amid the disappearance of theaters and the emergence of new platforms."
Some culture critics predict that the film industry may no longer see theaters packed with film buffs, couples and families during weekends.
In reality, theaters nowadays are increasingly seen as intimate, boutique venues for hardcore movie fans or old cinephiles who are willing to enjoy delicate, award-winning titles or art house films.
"The younger generation got familiar with watching content through smartphones on the couch or bed. They don't agree that films have to be seen in a dark theater without interruptions," culture critic Kim Seong-soo said. "Many doubt that they would come to theaters and pay for a film to watch on an uncomfortable seat even after the pandemic."
But he said theaters can still be compatible with new platforms by targeting a niche market for people who want special experiences that smartphone content cannot offer.
For example, the global sensation "Harry Potter" series has been re-released on the big screen in a "4DX" version that offers moviegoers an augmented viewing experience, including moving seats, wind, water, lights and scents.
The 4DX-enhanced version of "Harry Potter and The Goblet of Fire," re-released on Feb. 10 this year, ranked fifth on South Korean box office last weekend, despite its limited screenings.
"Theaters have bigger screens with exceptional sound quality compared to mobile phones or TV sets at home," said Hwang Jae-hyun, a representative at CJ CGV, South Korea's leading multiplex chain.
"And we are trying to create cozy and comfortable environments by widening spaces and putting more cushions to help people feel at home."</t>
  </si>
  <si>
    <t>In South Korea, the 25th Bucheon International Fantastic Film Festival (Bifan) held a half-day forum (July 9) to discuss how the local film industry should move forward in the post-coronavirus era.
Festival director Shin Chul opened the forum with the question of how to define cinema these days: “With the rapid changes of recent times, you ask is Space Sweepers [which was produced for theatrical release, but went direct to Netflix after the pandemic forced its postponement and dips at the box office] a film? Is Kingdom [a Netflix original series with high production values] a film?”
Touching on how films and broadcasting were traditionally separate in South Korea with minimal crossover between production staff and crew before the pandemic, Shin continued, “In the past couple years, it seems to have completely changed. We now see film production crew members going to work on drama series and we stand and watch films shooting where it doesn’t look much different from shooting a drama. So it’s time we redefine the concept of cinema.”
He added that the past 22 years since South Korea started promoting cinema through government initiatives “have produced tremendous results”, but that now “we have to move beyond that to another stage.”
Also participating in the forum was veteran producer and chairman of the Gyeonggi Film Commission, Lee Eun, who said of the Korean film industry: “We need to resolve monopoly, oligopoly, and polarisation, as well as communicate and exchange with the whole world.
“In Korea, 2019 was a peak boom, with the country ranking about number four [in film market size worldwide], but the biased structure was more extreme than ever, with the flip side of quantitative growth at its greatest in terms of leaning towards big-budget productions.”
Lee posited that having five films at the box office get more than 10 million admissions apiece in 2019 was “in fact, not healthy”, nor was having “cinema chains that own 98%” of the market. The lack of small-and-medium-size distributors to compete alongside CJ, Lotte, Megabox, Showbox, New and Acemaker movieworks was also problematic for the local industry, he argued, resulting in a lack of support for independent arthouse films whether international or local.
“At the same time, we watched the Netflix phenomenon make a complete soft landing in the Korean market during the coronavirus era, and last year mostly watched the local OTT market expanding as we asked ourselves what the future of films would become and whether cinemas would be able to continue to exist,” he said.
His take on the Korean Film Council’s mediation of a radical deal between exhibitors, broadcasters and distributors for two films – big-budget productions Escape From Mogadishu and Sinkhole, both of which had been pushed back during the pandemic – was that it was “preferential treatment” aiming to invigorate the market, but that even that move was being called into question because of a new, recent rise in Covid-19 cases in the country.
“We have the Korean Film Council and the Ministry of Culture, Sports and Tourism, but in reality there is an absence of will to create policy that promotes people’s enjoyment of culture,” Lee said, leaning into the view that cinema should be treated like “an object of exchange and not of trade”.
Lee and others on the panel cited the example of France and called for stronger holdback windows, maximum screening caps, and tax collection from IPTV and OTT service providers that would go back into local productions.</t>
  </si>
  <si>
    <t xml:space="preserve">South Korean multiplex operators suffered huge losses in the third quarter amid the protracted COVID-19 pandemic, but their bottomline is expected to improve thanks to the nationwide move to return to normalcy, financial data showed Wednesday.
CJ CGV, the No. 1 multiplex operator under the wing of entertainment giant CJ Group, said its operating loss reached 77.5 billion won ($65.7 million) over the July-September period, narrowing from an operating deficit of 96.8 billion won a year ago.
Its sales inched up 4.4 percent on-year to 162.1 billion won for the third quarter from 155.2 billion won thanks to increased ticket sales of homegrown summer hits like "Escape from Mogadishu" and "Sinkhole."
Lotte Cultureworks, which runs Lotte Cinema, saw its third-quarter operating loss decrease 27 percent to 32 billion won from a loss of 44 billion won a year earlier.
It posted 79 billion won in sales over the cited period, up 16.5 percent from 66 billion a year earlier.
J Contentree, which owns Megabox, also remained in the red in the three month period, logging an operating loss of 16.1 billion won, slightly widening from an operating deficit of 15.1 billion won.
Its third-quarter revenue climbed 4.3 percent on-year to 30.8 billion won from 29.4 billion won.
Insiders said the local cinema chains' weak balance sheet was affected by a resurgence in the number of daily COVID-19 infections and the tightened social distancing restrictions, such as nighttime curfews, since the beginning of 2021.
The number of moviegoers reached 20.3 million over the three months through September, cut by more than a third from 61.4 million people in the pre-pandemic year of 2019.
But they noted the government-led "living with COVID-19" policy will help the cinema industry stay afloat from the fourth quarter, along with releases of some big-name Hollywood blockbusters, like "Eternals" and "Spider-Man: No Way Home."
"We will move swiftly to keep up with the government policy and deal with the normalization of the market," Min-hoi Heo, CEO of CJ CGV, said in a statement
Earlier, the local health authorities announced plans to go ahead with the "living with COVID-19" scheme from the first day of November, phasing out coronavirus restrictions, such as nighttime curfews on cafes and theaters and a ban on eating snacks in theaters.
To attract more people to movie theaters, the state-run Korean Film Council (KOFIC) has started issuing discounted cinema tickets worth 6,000 won from last week. </t>
  </si>
  <si>
    <t>A Historic Win and Its Effects on Western Culture
With director Bong Joon-Ho’s Parasite winning a plethora of awards (four Oscars and a historic Best Picture win as a foreign film), a huge spotlight has been cast on South Korean cinema for Western audiences.
Parasite shocked viewers at the 92nd Academy Awards, winning the Oscar for International Feature Film, Best Original Screenplay, Best Director, and Best Picture, even eliciting a controversial response from President Donald Trump. As expected, Bong Joon-Ho’s latest film has piqued Western interest in South Korean cinema. The following is a brief history of the country’s rise in filmmaking, as well as a list of recommended South Korean features for those who loved Parasite.
South Korean Cinema – A Tumultuous Past
Korean cinema has undergone many changes. Unsurprisingly, due to the region’s complicated past, Korean films have become known for their exploration of politics and social class issues. As stated by Darcy Paquet from his essay “A Short History of Korean Film,” who worked as a subtitle translator for Parasite, since its beginning, Korean cinema “…has been hampered by Japanese colonization, national division, civil war, authoritative military governments, strict censorship, and highly restrictive, distorting film regulations.” He further elaborates how it wasn’t until the 1990s that Korean cinema began to finally “…enjoy a supportive government, a stable economic environment, and a sensible film policy.”
As the South Korean government began to move past its political and economic hardships, censorships, and instability, going from “…extreme military rule to democratization and industrialization in the 20th century,” the South Korean film industry began to experience a creative boom. Influential directors such as Bong Joon-Ho (director of Parasite, Okja, Snowpiercer, The Host), Hong Sang-soo (director of Hotel by the River), and Park Chan-wook (who directed The Handmaiden) notably revitalized Korea’s cinema. These directors, among others, provided a unique blend of genres in their films that gradually gained notoriety in the West, leading to a successful transition to the U.S. market.
Films Worth Watching After ‘Parasite’
For many, Parasite served as an introduction to South Korean cinema. The following is a shortlist of some of the more popular, and easily accessible, South Korean films:
Burning
Director Chang-dong Lee’s Burning is a slow burn that’s worth the journey. Its unique story is a profound exploration of wealth, social class differences (specifically in South Korea), the innate human desire for purpose and meaning, and the complicated nature of love. Beautifully shot and written, combined with engaging characters played by Ah-In Yoo, Steven Yeun (of The Walking Dead fame), and Jong-seo Jun make this a rewarding watch for fans of cerebral and layered storytelling. Available to stream on Netflix.
Snowpiercer
A Bong Joon-Ho action-driven sci-fi drama, Snowpiercer is an easy recommendation for fans of imaginative storytelling. The film features dazzling fight scenes, a unique setting and premise, and strong performances from notable actors such as Chris Evans, Ed Harris, Tilda Swinton, and Kang-ho Song. Based on the French graphic novel Le Transperceneige, Snowpiercer reimagines the typical “disaster movie,” providing an intriguing premise and setting that immediately pulls the audience in, in addition to its stellar acting and directing. Available to stream on Netflix.
Train to Busan
Director Sang-ho Yeon’s zombie-themed survival drama is an action-packed film full of impressive action sequences, eye-popping visuals, and a surprisingly emotional ending. Despite an admittedly oversaturated market of zombie movies, Train to Busan nevertheless makes a worthy entry into the crowded genre, rivaling such films as 28 Days Later in both emotional impact and scares.
The Host
Bong Joon Ho’s The Host is the film that arguably put modern South Korean cinema on the map in the U.S. The Host is another action-packed, dramatic film featuring a mysterious monster that emerges from the depths of Seoul’s Han River, terrorizing everything in its wake. Although the special effects admittedly haven’t aged particularly well, some do consider it one of the defining monster movies of the 21st century, making it a great recommendation for fans of the genre. Available to stream on Hulu.
The Housemaid (1960)
Ki-young Kim’s The Housemaid is a well-crafted melodrama that’s part of the revered “The Criterion Collection” of films. Providing engaging commentary on themes such as the dichotomy of social classes, love, infidelity, and family dysfunction, Kim’s film is an “engrossing tale of class warfare and familial disintegration” that continues to influence South Korean filmmakers to this day. For cinephiles and fans of Parasite’s deep exploration of family structure and social class differences, The Housemaid is a must-watch.
Don’t Let the Subtitles Scare You
Many foreign films, including Parasite, require viewers to read subtitles in addition to simply watching the screen. While it feels like some Western audiences are put off by such reading, as it’s often misinterpreted as too “highbrow” by some, or simply too much work, this otherwise small hindrance is well worth the admittance fee. The bottom line is that most of these films do require attentive viewing. They’re intended not only to entertain, but to challenge the viewer as well, whether it comes to analyzing social injustices, experiencing a foreign landscape, or simply connecting to the human spirit. The beauty of these characteristics often found in South Korean films, is that they have the power to transcend language, as a result, making subtitled text ideally a nonissue for most audiences. While the best examples of South Korean films do require a kind of “active participation” from its viewers, fans of great cinema are guaranteed to be rewarded for their time.
For even further exploration of Korean cinema, check out The Criterion Channel’s “New Korean Cinema,” a collection of twelve genre classics and exclusive interviews from some of South Korea’s top directors.</t>
  </si>
  <si>
    <t>Korean films have made their mark on the global cinema landscape with several historic award wins and nominations across the Oscars, Golden Globes and BAFTAs.
Here, we look at some of the most captivating and compelling Korean films to explore on your journey through more than 100 years of Korean cinema.
Parasite
South Korean director Bong Joon-ho's dark comedy thriller follows the events that unfold as the Kims, a poor family living in a semi-basement house, begin working for the wealthy Park family under various different guises.
Following several dramatic and comic twists, the story takes a dark turn as the Kims find themselves caught between a web of lies and a point of no return.
Parasite won four of the six categories for which it was nominated at the 2020 Academy Awards.
It was also the first foreign film to win Best Picture in the history of the Oscars, and the first non-English work to win the Screen Actors Guild Award for Outstanding Performance by a Cast in Motion Picture. The film also bagged two of the four BAFTA Awards for which it was nominated.
Minari
This moving story of a Korean-American family who relocate to a farm in Arkansas in the 1980s was inspired by Korean-American director Lee Isaac Chung's own rural upbringing on a farm within the state.
The film carries a quiet strength and intensity in the silent— and at times explosive—exchanges between Jacob (played by Steven Yeun, The Walking Dead) and his wife Monica (Han Ye-ri) in the face of several challenges.
The film's many accolades include an Academy Award win by Youn Yuh-jung, who became the first Korean to win an Oscar, for her supporting role as the grandmother in Minari. She also won a BAFTA and a Screen Actors Guild (SAG) Award for the role.
The movie earned several other Oscar nominations (including a Best Actor nomination for Yeun, the first Asian American to be nominated in the category) and won the Golden Globe Award for Best Picture - Foreign Language.
Oldboy
This mystery thriller is one of the most well-known works by acclaimed South Korean director Park Chan-wook. It received a Hollywood remake in 2013 directed by Spike Lee and Samuel L. Jackson and Josh Brolin.
Based on a Japanese graphic novel titled Old Boy by Garon Tsuchhiya, the film unravels the story of Oh Dae-su (played by Choi Min-shik, a veteran South Korean actor) who wakes up in a prison that looks like a hotel room. Oh embarks on a quest for answers as he attempts to discover who and what got him there in this ultimate revenge drama.
The film won the Grand Prix award at the 2004 Cannes Film Festival and received much praise from director Quentin Tarantino who served as the head jury that year.
The Handmaiden
This enticing erotic drama from Oldboy director Park Chan-wook is a dark tale of deception, betrayal and desire that unravels between Count Fujiwara, Japanese heiress Hideko, her maid Sook-hee and Hideko's uncle Kouzuki.
Inspired by the book Fingersmith by Welsh writer Sarah Waters, Park swaps the novel's Victorian England setting for Korea in the 1930s during the Japanese occupation era. The film takes viewers through a labyrinth of twists as the characters dance around a bed of lies.
The Handmaiden won the 2018 BAFTA for Best Foreign Language Film and was selected to compete for the top prize—the Palme d'Or award—at the 2016 Cannes Film Festival.
Burning
This masterful psychological thriller from South Korean director Lee Chang-dong is inspired by "Barn Burning," a short story from the book The Elephant Vanishes by Japanese author Haruki Murakami.
Jong-su (played by Yoo Ah-in) finds himself plagued by doubt and suspicion after encountering Ben, an enigmatic character with a mysterious charm (played by Minari's Steven Yeun).
Dotted by several eerie moments of melancholy stillness, every scene feels like you are at the edge of something, with delicate lighting transitions by Hong Kyung-pyo, the cinematographer for Parasite and two other films by Bong (Snowpiercer and Mother).
Burning screened at the 2018 Cannes Film Festival, where it won the FIPRESCI International Critics' Prize and was in the running for the Palme d'Or award.
Mother
This murder mystery from Parasite director Bong begins with the sudden death of a young girl, which is blamed on a seemingly innocent man (played by Korean actor Won Bin) who happened to be at the scene of the crime.
The story follows the desperate attempts of a mother (played by Kim Hye-ja, another veteran of the Korean film industry) determined to clear her son's name.
The haunting tale explores the extremes of a mother's primal love as she faces shocking truths and chaotic turmoil in her obsessive quest to track down the true killer.
The film premiered at the 2009 Cannes Film Festival, where it was nominated for the Un Certain Regard award.
Train to Busan
This zombie action thriller from South Korean director Yeon Sang-ho—who is "redefining the future of Korean films"—follows a mysterious outbreak that turns people into zombies as a father and his young daughter travel on a train.
The film's highly-charged, time bomb-ticking feel takes shape within its first few minutes, with viewers immediately thrust into the thick of the apocalyptic chaos.
Zombie-fighting blood and gore aside, this is ultimately a story about humanity—who we are and what we become in the face of great crisis, loss and tragedy.
Train to Busan premiered at the 2016 Cannes Film Festival, while its standalone sequel Peninsula was among the films of the Official Selection of the 2020 Cannes Film Festival.
Escape from Mogadishu
This engrossing drama from South Korean director Ryoo Seung-wan is set in the Somali capital of Mogadishu. The film is based on real events that happened in 1991 amid the civil war in Somalia when the South and North Korean embassies were battling for United Nations membership.
The rivaling embassies form an unlikely united front "solely in order to come out alive from this war field," in the words of South Korean ambassador Han Shin-sung (the real-life character played by Korean actor Kim Yoon-seok).
The movie takes viewers on an emotional, heart-pounding ride, from narrow escapes to touching moments between the North and South Korean embassy workers.
Its star-studded cast also features Zo In-sung (known from several K-dramas and Korean films), veteran Korean actor Huh Joon-ho from the Netflix K-drama series Kingdom and Koo Kyo-hwan from Kingdom's "Ashin of the North."
Joint Security Area
Those who enjoy Escape from Mogadishu may also want to explore Joint Security Area, which also examines relations between North and South Korea. The film by Oldboy director Park Chan-wook is set in the DMZ, the demilitarized zone at the border.
The film looks at the complex relationship between the two nations beyond a political level, as a group of soldiers from both countries on border duties form a genuine friendship, but find their loyalties tested in an unexpected turn of events.
Among the film's lead roles is Lee Byung-hun, one of South Korea's veteran actors who has featured in Hollywood's The Magnificent Seven and G.I. Joe film series.
A Taxi Driver
This historical drama by South Korean director Jang Hoon is based on the real-life story of Jürgen Hinzpeter, a German journalist played by Thomas Kretschmann from films including Captain America: The Winter Soldier and Avengers: Age of Ultron.
Hinzpeter reported on the May 1980 Gwangju Uprising—a movement against the martial law government in place in South Korea at the time—with the help of a taxi driver (played by Parasite's Song Kang-ho in the film).
The emotional retelling of this pivotal moment in South Korean history traces the taxi driver's attempts to get Hinzpeter—and the footage he recorded of the uprising—safely out of the country.
The movie was selected by the Korean Film Council as the South Korean entry for the Best Foreign Language Film category for the 90th Academy Awards in 2018.
Time to Hunt
This gritty crime thriller from South Korean director Yoon Sung-hyun is set in a dystopian world of poverty following a financial crisis.
The film sees a group of friends, including Parasite's Choi Woo-shik, step into a brutal "world outside the law" where heart-stopping drama ensues as they run from more than just their destitute lives.
Providing a soothing end to this pulsating thriller, the movie's hypnotic ending track—"스쳐가 (Passing By) (prod. Primary)" from South Korean artist ron—will keep you listening until the end of the credits.
Time to Hunt was the first Korean film to be featured as a special gala screening at the 70th Berlin International Film Festival in 2020.</t>
  </si>
  <si>
    <t>Being unable to walk into theaters freely in the non-face-to-face era has changed moviegoers’ behavior and boosted streaming platforms such as Netflix and Watcha. But for many, the big screen in a cinema is still the ideal choice.
According to movie industry reports on June 26, CGV and Lotte Cinema recently opened drive-in theaters in Incheon and Busan -- the first in South Korea to be operated by large multiplex theater chains with branches throughout the country.
The most obvious advantage of a drive-in theater is being able to enjoy movies with friends and family -- on a big screen with full sound -- without coming into contact with the general public.
The CGV Drive-In Square One theater, which opened June 25 in Yeonsu-gu, Incheon, can accommodate some 100 vehicles. Between July and November last year, CGV temporarily operated a drive-in theater in Gwacheon’s Seoul Land. But the Incheon branch is permanent, it said.
At Seoul Land, 51 percent of the drive-in theater’s spaces were filled on average, a CGV official told a domestic media outlet. Given those numbers, the company decided to open a permanent drive-in.
Another advantage of the drive-in experience is direct access to the outdoors. Next to the Square One drive-in theater there is a stream called Seunggicheon, with a walking trail where visitors can spend time before and after movies.
Delivery services are also provided, with pick-up stands where visitors can order popcorn and other snacks that they can eat in their cars -- unlike today’s indoor movie theaters, which only allow beverages and prohibit solid food. 
Lotte Cinema’s “Drive Osiria” opened June 10 at the Osiria Tourism Complex in Busan’s Gijang-gun.
It is the largest drive-in in Busan, Ulsan, and North and South Gyeongsang provinces, screening movies twice a day both on weekdays and weekends, with room for more than 300 vehicles.
The screen is also one of the largest, measuring 25 by 13 meters. A Lotte Cinema official told media, “We expect the theater to generate synergy with the Osiria Tourism Complex, the Lotte Adventure theme park opening in August, and also the Lotte Premium outlet located nearby.”
In the two weeks since it opened, some 2,500 vehicles have visited the theater. Assuming there were two people in each vehicle, 5,000 customers have watched movies there.
Meanwhile, according to data gathered by the Korean Film Council, movie theater attendance recorded 59.52 million people last year -- a 74 percent drop from 2019, leading to a 73 percent decrease in total revenue.
CGV, Lotte Cinema and Megabox had to close some of their branches because of financial struggles, and later they adapted by increasing ticket costs and screening fewer films.
The industry sees drive-in theaters as both a way out of the COVID-19 struggles and an experiment in new opportunities for theaters to better meet the public’s changing preferences.</t>
  </si>
  <si>
    <t>More minorities are showing up in mainstream U.S. entertainment, from films and TV to music, as audiences demand stories that reflect the world’s diversity, showing that inclusion is good business, industry executives said.
“Our industry has caught up with reality. The majority of the world is actually Asian,” said Bing Chen, president of Gold House, a nonprofit collective that promotes Asian Pacific Islander voices, on a panel at  the  Reuters Next conference broadcast on Thursday. 
“Audiences are craving things they’ve never seen, never heard of.”
“Shang-Chi and the Legend of the Ten Rings,” the first Marvel movie to star an Asian superhero, surpassed $400 million at the box office less than two months after its mid-August release. “The Eternals,” which opened in November, features a diverse cast including Marvel Studios’ first deaf superhero and the first gay kiss in the Marvel Cinematic Universe.
The proliferation of audience data debunks much of Hollywood’s conventional wisdom that had devalued women and other minorities, said Liz Jenkins, chief operating officer of Hello Sunshine, the women-led media company cofounded by actor Reese Witherspoon.
“American audiences will watch stuff with subtitles. It’s not just about ticking a box for DE&amp;I (Diversity, Equity and Inclusion), about being the right thing to do. It’s really being great business.”
Global megahit “Squid Game,” which debuted in September, helped Netflix Inc win more new customers than expected to the world’s largest streaming service. “Hellbound,” another South Korean series, followed with a global debut at No. 1 on Netflix in November.
Chen credits decades of work by executives like CJ Group Vice Chairwoman Miky Lee, an early DreamWorks investor who was a lead producer and funder of “Parasite.” The South Korean feature was the first non-English-language film to win the Oscar for best picture. Through her CJ E&amp;M company, Lee helped propel K-pop idols such as BTS to the world stage.
“This is about minorities founding different companies and trying to reshape what media looks like,” Chen said. “It’s about incumbents who’ve always been doing twice as much to get half as far. It’s just good that we’ve finally arrived.”
Hello Sunshine, founded in 2016 to put women at the center of stories, was sold for $900 million to a firm backed by private-equity giant Blackstone Inc in August.
UNFAIR EXPECTATIONS
Change largely begins with the gatekeepers, Jenkins said.
“Who is selecting the content that gets made? Are they greenlighting that content and ensuring appropriate representation?”
To help decision-makers tap minority talent, filmmaker Ava DuVernay early this year created ARRAY Crew, a personnel database of women, people of color and other under-represented groups for Hollywood’s below-the-line crew members.
“We’ve taken a really great step in the right direction. But we have to constantly be evaluating bias in this new structure and how to refine it,” Jenkins said.
The paucity of minority-led content has led to unfair expectations for Asian, Latino and Black-led films, said Chen, who started a campaign to boost the box office for the debut of “Crazy Rich Asians” in 2018. Gold House has since formed partnerships to buy out opening weekends at theaters for films with diverse casts.
“We have this damning expectation that minority artists have to be commercially sustainable, critically acclaimed, and culturally imperative all at once,” Chen said. “But if you flip it, it’s actually an excellent opportunity for any financer, studio, network, streaming platform to hit all audiences at once.”</t>
  </si>
  <si>
    <t>“There is nothing impossible in South Korean movies. They deal with all topics and cross the genre border. This artistic boldness was the key to success,” said David Tredler, chief programmer of the 16th Paris Korean Film Festival that opened on Tuesday. “This is the strength of Korean movies, from the movies such as ‘Parasite’ and ‘Minari,’ which won international critical acclaim, to Netflix’s megahit series ‘Squid Game,’” said Mr. Tredler.
Having taken place for 16 years, the Paris Korean Film Festival has served an essential role in promoting South Korean films not only in France but entire Europe. Mr. Tredler has worked at the festival since 2011, taking in charge of nominating Korean films to be introduced in France and creating French subtitles.
This reporter met with Mr. Tredler at Publicis Cinémas located in Champs-Élysées, Paris, where the film festival took place. “I still vividly remember 10 years ago,” said Mr. Tredler. Born in 1981 in Paris, Mr. Tredler majored library and information science and worked in media industry. He was pleasantly surprised when he first saw South Korean films at the Paris Korean Film Festival he first visited as an audience in 2011. Mr. Tredler immediately went to see a staff at the site and asked if he could work at the film festival, and that was the start of him joining in the film festival as a programmer.
As Korean films garner more global praise, more and more French people visits the festival to see not only blockbuster movies but also independent movies and even classic films. Mr. Tredler pointed out “Obaltan (1961),” starred by Choi Mu-ryong and Moon Jeong-sook, as the most impressive Korean movie.
Mr. Tredler emphasized that Korean films must not be complacent about its success. “Korea should not rely on famous directors,” he said. “It is necessary to lay the groundwork for younger generation to create new movies, so that artistic boldness, which is the strength of Korean films, is inherited and augmented.”The 2021 Paris Korean Film Festival will run until next Tuesday, and a total of 46 movies, including 18 full-length films and 28 short films, will be screened.</t>
  </si>
  <si>
    <t>Compared with the U.S. or European countries, South Korea’s infection and death toll from COVID-19 was small. But the disease has had an outsize impact transforming the entertainment industry.
Film producers and distributors are currently seeing some light at the end of the tunnel, and are busily repopulating the late summer distribution calendar. But the virus has hastened the systemic shift to a more digital future.
In pre-COVID times, film-mad fans meant Korea had one of the world’s highest per-capita cinema attendance rates and the mid-sized country the world’s fourth-largest box office. And after “Parasite” and Korean-language, U.S.-made “Minari” scored at Oscars and resonated with audiences worldwide, there has been renewed interest in Korean movies, at levels not seen since the naughties.
At first, Korea seemed to be handling the pandemic well, through isolation and testing, and in summer 2020, cinemas were able to welcome back major commercial movies. “#Alive,” “Steel Rain II: Summit,” “Deliver Us From Evil” and the “Train to Busan” sequel “Peninsula” achieved grosses between $12 million and $34 million. “Tenet” earned $16.3 million.
But the return to the old normal was short-lived. With new waves of infection and subsequent restrictions on daily life, Korean cinemas were shunned by the public after the Chuseok holidays in late September, and audiences don’t look to return in big numbers any time soon.
Research firm S&amp;P Global Market showed that Korea was the only major market in East Asia not to see a box office recovery between January and April 2021, compared with the same four months of 2020, when the first waves of the virus were peaking.
Nationwide, aggregate weekend box office was stuck in a $2.5 million- $4 million range from October 2020 till May 2021. June saw something of a resurgence, with three weekends out of four achieving more than $6 million.
Cinema operators have been badly hurt by the downturn. The three major chains lost $877 million in 2020 (CJ-CGV, $672 million; Lotte Cultureworks $145 million; J Contentree, owner of Megabox, $60 million), according to published reports, and have permanently shuttered many venues. Two of them, CJ-CGV and Lotte may be nursing further pain as they both have significant overseas operations — including Vietnam and COVID-ravaged Indonesia, where theaters have remained closed for months.
As the pain for exhibitors has deepened, the chains have increased ticket prices on two occasions and also turned to alternate content, such as live-streamed stage presentations, concerts and even aids to meditation.
Pain in the production sector has not been so prolonged. Films shooting predominantly overseas, such as Megabox’s “Bogota,” which endured a hiatus of 10 months, were the hardest hit.
Others persevered, despite the complications of adopting COVID protocols. These including TV series “Dramaworld” and Busan-set car chase movie “Hard Hit,” which made use of empty streets and the country’s optimal healthcare system.  After the peak of the second wave of the virus, many other productions resumed.
But cinema audiences stayed away and theatrical distributors became more cautious. Many film releases were postponed or rescheduled. Others were abandoned as rights holders chose to sell to streamers instead.
Major films including Berlin 2020 title “Time to Hunt,” as well as “Space Sweepers” and “Night in Paradise” gave up theatrical release plans and went to Netflix instead. In April this year, sci-fi comedy actioner “Seobok” debuted simultaneously in theaters and on the CJ ENM-owned streamer Tving.
Thanks to the popularity of K-pop and Korean TV dramas, the shift to digital is likely to become a long-term trend. It is where the money and the talent are already moving.
Korean consumers, used to blisteringly fast internet speeds, have historically been early adopters — digital terrestrial TV and IPTV are good examples. Recently they have been spoiled for choice — and reasons to stay at home — by intense competition between streaming companies.
Netflix, which once gave “Parasite” director Bong Joon Ho a $50 million budget and the artistic licence to make “Okja,” has engineered a strategic pivot when it became a significant purveyor of Korean content, rather than simply a platform for imported shows. It has now taken long-term leases on two studios near Seoul and has committed itself to spending close to $500 million on Korean content this calendar year.
In its early phase, Netflix licensed local shows from Korean producers and broadcasters. But by investing in original shows to which it controls rights, it has been able to drive up subscribers and achieve profitability in Korea. It disclosed 3.8 million paying subscribers at the end of 2020, and consultancy Media Partners Asia forecast that it will finish the current year with 5.7 million.
Netflix also reports that its Korean shows are among the most watched among overseas.
The high production values and exportability of original Korean content has not been lost on other streamers in Korea or abroad. Hong Kong-based platform Viu built its multi-territory appeal with a roster of Korean shows that it initially acquired. Now it is moving into Korean originals. So too is China’s iQiyi as it tries to cultivate audiences in Southeast Asia. (It is not clear if iQiyi’s Korean originals can be shown in mainland China, which maintains frosty diplomatic relations with its smaller neighbor.)
Not to be outdone, the powerful CJ ENM group recently responded by announcing that it will plow KRW5 trillion ($4.48 billion) into Korean content over the next five years. Much of this will go into building Tving as a rival to Netflix, but other shows will be hatched by CJ’s affiliate production powerhouse Studio Dragon.
CJ these days pitches Korea as a global content production hub. It is making shows for HBO Max in Latin America and added recent pacts with Skydance Media in the U.S. and with Japan’s Tokyo Broadcasting System. It also making four Mandarin-language series through deals in Hong Kong and Singapore.
Disney Plus, HBO Max and Apple TV Plus are all expected to launch in Korea by year end, joining the fray with established local streamers Waave (backed by broadcasters and SK Telecom), Coupang Play (backed by e-commerce leader Coupang) and VC-backed Watcha.
All are expected to need a local content component. Disney Plus set the ball rolling, recently announcing a five-year content pact with Studio &amp; New, an affiliate of indie studio Next Entertainment World.
Such is the strength of demand for K-drama and K-pop that the Korean companies are gaining the whip hand and becoming the dealmakers.
Drama producer and commercial broadcaster JTBC recently acquired Wiip, the U.S. indie studio behind HBO hit “Mare of Easttown” and Apple’s “Dickinson.” Korean internet giant Naver recently acquired online story developer Wattpad in a $600 million deal and will now merge that company with its online comics firm Webtoon.
And HYBE (previously known as Big Hit Entertainment), the management firm behind pop sensation BTS, recently swallowed Scooter Braun’s Ithaca Holdings in $1 billion deal that gives it access to Justin Bieber, Ariana Grande and the Big Machine Label Group.
The industrialization of Korean entertainment may be anathema to the characters portrayed in “Parasite,” or “Burning,” but in the quarter century of Korean film’s modern era, big business has never been far away.</t>
  </si>
  <si>
    <t>In 2019, South Korean cinema finally broke through the long-standing cultural barriers of international unawareness and critical disregard with the release of Bong Joon-ho’s revolutionary masterpiece ‘Parasite’. Debuting at the Cannes Film Festival and winning the esteemed Palme d’Or, waves of exceptional reactions and general hype turned skeptical eyes to the latest from the South Korean director of English-langauage hits like ‘Snowpiercer’ (2013) and Netflix’s ‘Okja’ (2017). The glowing reactions only continued to grow, eventually culminating in the winning of six Academy Awards including Best International Feature, Best Director, Best Original Screenplay, and a historic win for Best Picture, as well as a global theatrical return of roughly $266 million making it the highest-grossing film in the nation’s history.
With comparisons to the likes of ‘Citizen Kane’ (1941) and ‘The Godfather’ (1972) for their shared ability to pull off both technical excellence and soul-shattering storytelling, ‘Parasite’ represented a clear turning point for the recognition of international cinema going forward. But it also holds the power to invite audiences wowed by its style and spirit to begin a journey backward to uncover the treasure trove of extraordinarily unique films the peninsula has produced over its relatively short cinematic history.
The Pitch-Black Provocateur, Park Chan-wook – ‘Joint Security Area’, ‘Oldboy’, and ‘The Handmaiden’
Few filmmakers have been able to carve out as large a place for themselves amongst modern audiences while creating consistently perverse and prickly content as South Korean director Park Chan-wook. After two little-seen and under-funded directorial ventures, Park exploded onto the international scene with his 2000 political thriller ‘Joint Security Area’, easily his most mainstream accessible work, the film centers on an international investigation surrounding a deadly shooting at the heavily militarized border between North and South Korea near the DMZ. ‘Joint Security Area’ served as a telling metaphor for the rapidly regressing relationship between the two conjoined nations, using the vessels of a North Korean sergeant played by a young Song Kang-ho and South Korean sergeant played by Lee Byung-hun as symbols for their nations and the potential they may have once shared to exist as equals rather than enemies.
Arguably the best-known work of director Park Chan-wook came three years later in the form of the unhinged action mystery ‘Oldboy’ (2003). Originating from a Japanese manga, the film retained much of the erratic pacing and outlandish story beats from the comic, setting them against the highrise skyline of South Korea. The second installment in Park’s unofficially-titled ‘Vengeance’ trilogy alongside ‘Sympathy for Mr. Vengeance’ (2002) and ‘Lady Vengeance’ (2005), the film follows the seemingly random abduction of Oh Dae-su, played absolutely unhinged by the exceptional Choi Min-sik, and his fifteen-year imprisonment in a strange cell.
Upon his unexpected release, Oh Dae-su sets out on a warpath to hunt down those who are responsible for his captivity and to find out the reason why. The story is chock-full of plentiful pulp, brutal action, and mind-bending twists sure to leave most audience members with the most satisfying of grimaces. When he was President of the Jury at the 2004 Cannes Film Festival, Quentin Tarantino, an avid fan and vocal supporter, lobbied for the film to win the Palme d’Or. While it ultimately lost out to Michael Moore’s ‘Fahrenheit 9/11’, it did take home the second-best prize, the Grand Prix.
While later trying his hand at an English-language feature with 2013’s ‘Stoker’ starring Nicole Kidman, Park would find his greatest success since ‘Oldboy’ in his masterful erotic thriller ‘The Handmaiden’ (2016). The film is set during Japanese colonial rule and follows three separate viewpoints on the same story from the perspective of its various central characters. It is in part the story of a con job turned romance between a sheepish handmaiden played by Kim Tae-ri and her mistress portrayed by Kim Min-hee, but as the story unfolds so to do the various deceptions and alliances that complicate the narrative and often purposefully uproot the audience’s understanding. The film is easily Park’s largest in scale and offers the viewer several different emotional journeys across its runtime sure to lead to confused bewilderment and shouts of joy.
The Modern Master of Cinema, Bong Joon-ho – ‘Memories of Murder’, ‘Mother’, and ‘Parasite’
Not one name has been more associated with the cinema of South Korea than the aforementioned Bong Joon-ho. After graduating from the Korean Academy of Film Arts and compiling a few short stints on various film productions, Bong premiered his first feature film, an offbeat satire about neighborly dognapping, ‘Barking Dogs Never Bite’ (2000). While far from a success domestically, the film earned enough for Bong to begin work on his far grander sophomore venture, ‘Memories of Murder’ (2003). The film was adapted from a 1996 stage play by Kim Kwang-rim entitled ‘Come to See Me’ by Bong and ‘Sea Fog’ (2013) director Shim Sung-bo, proving a much louder release and growing in estimation to become held as one of the best films of the 2000s by the end of the decade.
The film was based partially on the actual investigation of South Korea’s first serial murders and follows two detectives portrayed by frequent Bong contributor Song Kang-ho and Kim Sang-kyung who become obsessed with solving the seemingly unsolvable. Featuring blisteringly effective direction, stunning cinematography of the Korean farmlands, and an intricately effective screenplay, ‘Memories of Murder’ set Bong on the path to becoming a filmmaking superstar.
After making a daring pivot with 2006’s aquatic monster movie ‘The Host’, Bong returned to the realm of serious filmmaking with ‘Mother’ (2009). A rather simple tale about a mother’s unflappably ferocious love for her son, the film is often cited as Bong’s quietest and most internal works. It manifests many additional layers on to its premise with the revelation that the mother, played to near perfection by Kim Hye-ja, must defend her son after he is accused and convicted in the case of a brutal murder that took place in their town. The film is unafraid to explore the deepest depths of motherhood and what it means to love unconditionally, offering a bleak yet beautiful character study afforded ample time to breathe.
Of course, any dissection of Bong’s immense body of work is not complete without sufficiently venerating his magnum opus, ‘Parasite’. Few films have ever exuded more exacted poise and perfected wit than are on display in Bong’s ‘Parasite’, a ruthless social thriller that gleefully tears down the notions of wealth disparity, class warfare, and late-stage capitalism. The story of two families, both making up the parasitic entities of the film’s title, the destitute Kim’s resigned to a crowded semi-basement apartment and the wealthy Park’s who live in a palatial mansion at the top of the city. Slowly but surely the Kim’s begin to invade the lives of the Park’s, pretending to be tutors and maids to infiltrate the seemingly idyllic life of those at the top of the food chain, but this is only the beginning for both families as they embark on a kaleidoscopic descent into sociopolitical madness and mayhem.
The actors portraying the Kim’s instantly weaseled their way into audiences’ hearts as lovable leeches, particularly Song Kang-ho’s patriarch Ki-taek and Park So-dam’s daughter Ki-jung. Altogether, the film represented something far larger than itself, putting its ear to the pulse of many millions struggling under the weight of class immobility and has only grown stronger as a cultural touchstone for the harsh realities of the 21st century in the year and a half since its release. As Bong soulfully expressed in his acceptance speech at the Golden Globes, “Once you overcome the one-inch-tall barrier of subtitles, you will be introduced to so many more amazing films.” Never was that more true than in exploring the director’s own filmography as well as embarking on a road trip through the exceptional cinema of South Korea.</t>
  </si>
  <si>
    <t>The Korean Film Council (KOFIC) has announced a $17.8m (KW19.95bn) stimulus package to support the local film industry during the ongoing Covid-19 pandemic.
The government-funded support and promotion agency’s first wave of calls for submissions will see $7.37m earmarked for special film programmes at cinemas to aid exhibitors and distributors, after a fall of almost 74% in admissions last year as a result of the virus crisis.
Continuing a similar programme launched last year, $3.14m is allocated for production of new media moving images, intended to support film production staff and crew through difficulties during the pandemic.
Emergency support of $520,000 will fund training - also a continuation of a similar programme in 2020 – to help temporarily unemployed film staff and crew retrain and expand their skills.
In addition, $583,000 has been allocated for Korean film project development, in a bid to invigorate creative activities curtailed by the pandemic.
Alongside this first wave of support, KOFIC is also looking to provide $5.4m to medium and small cinemas as well as independent and arthouse film specialty cinemas to hold special film programmes.
It is also looking to allocate around $890,000 for contagion safety measures on film shoots and in cinemas. These last two programmes are under discussion with related industry professionals with a call for submissions due out in May.
“We looked at what kind of programmes the film industry needs this year in rapid response to Covid-19 and organized this as special budget outside of our regular budget,” said Wongyu Choi, executive director of KOFIC’s planning and management division. “We are continuing with programmes that had a good response last year and have new ones for this year as well.”
In March 2020, KOFIC announced an emergency $15.26m in Covid-19 response funds and added a further $11.9m in late June. These roughly covered the same ground as the planned allocation for this year, with the addition of a cinema ticket support programme to bring in cinema-goers. However, local box office admissions still fell by almost 74% in 2020.</t>
  </si>
  <si>
    <t>After watching Lee Joon-ik’s “Book of Fish” along with only a couple of other moviegoers at Dongdaemun Megabox in Seoul on Tuesday, Culture, Sports and Tourism Minister Hwang Hee promised to support the local film industry, which is suffering financially due to COVID-19.
“This film is directed by a renowned movie director, who made films ‘The King and the Clown’ and ‘The Throne,’ but there are not many in the audience. This weighs on me,” Hwang said. “The Culture Ministry will do its best to create an environment in which movie lovers can come back to theaters more actively.”
According to the film council, as of Tuesday 184,743 people had watched “Book of Fish” since it opened March 31.
Before watching the film, Hwang met with multiplex chain operator Megabox CEO Kim Jin-sun and discussed the future of local theaters.
“The movie distribution environment has been changing drastically in recent years. However, the theater experience is still meaningful and important,” Hwang said.
Hwang added that he expected theaters to become a space for new experiences through the application of new technologies.
During his visit to the theater, Hwang also talked about his plans to support the expansion of South Korean content into the Chinese market.
“I think that by sharing movies and dramas, people of the two counties can eventually reach a common ground,” Hwang said.
Hwang then discussed his plans to visit China soon, this year being the year of Korea-China cultural exchange.
“In May or June, I would like to go to China to talk about tourism as well as movies and dramas,” he said, adding that preparations were already underway.
Hwang recently had a meeting at the Chinese Embassy and briefly talked about exporting movies and dramas, he said.
Details concerning Hwang’s visit to China have not been decided, according to the Culture Ministry on Wednesday.
“As far as we know, the minister is currently making contact through diverse channels to have a meeting,” a Culture Ministry official said.
In response to Hwang’s proposed visit to China, Megabox CEO Kim asked for support in finding ways to export more Korean movies not only to China but also to Southeast Asian countries.
Meanwhile, the total number of people who watched movies in theaters during the first quarter of this year totaled 8.15 million, a 67 percent drop compared with the same period last year, according to KOFIC.
The top three movies in terms of audience numbers in the first quarter of this year were Disney-Pixar’s “Soul,” Japan’s animation “Demon Slayer: Kimetsu no Yaiba the Movie: Mugen Train” and American film “Minari,” which drew around 4.5 million viewers in total, according to KOFIC’s box office data. In contrast, in the first quarter of 2020 over 4.75 million moviegoers watched “The Man Standing Next.”</t>
  </si>
  <si>
    <t>South Korea’s government has unveiled a series of measures designed to boost the country’s influential but coronavirus-battered film industry.
Central to the policy plan is a decision to exempt major cinema chains from paying into South Korea’s movie development fund. Under local law, large movie theater chains usually are required to pay 3 percent of all ticket sales to the Korean Film Council’s movie development fund, which is used to support the local industry’s development in various ways. The fund typically generates about $45 million in contributions per year. The new exemption will apply retroactively from February.
The policy response was unveiled in Seoul by South Korea’s Deputy Prime Minister and Finance Minister Hong Nam-ki. He said the government was originally envisioning allowing only delayed payments into the development fund, but decided an exemption was required after further countenancing the depth of the damage caused by the coronavirus.
After Bong Joon Ho’s historic Oscar wins for Parasite in February, 2020 was expected to be a celebratory year of growing global relevance for the Korean film industry. But the coronavirus pandemic, which hit Korea hard in February, has put a damper on such hopes. The Korean Film Council reported Wednesday that box office in March totaled just $12.3 million (15.15 billion won), down from $103.0 million (126.56 billion won) last year.
The government also unveiled several measures to support production and distribution companies. It will subsidize a portion of the marketing costs for 20 selected movies that were forced to postpone or cancel their release plans during the first quarter because of the coronavirus epidemic. The production companies behind 20 selected movies that were forced to halt shooting because of the crisis also will receive funds to help them resume production, according to the finance minister’s announcement. At the level of the individual, the government said that 400 industry professionals who lost their jobs or haven’t been able to find freelance gigs because of the crisis will be eligible for free vocational training.
The policy plans drew a decidedly mixed response from industry observers. Korean news agency Yonhap ran a story Thursday questioning whether the measures “are effective and realistic enough for theaters and filmmakers to get over the crisis.”
Independent movie theaters and art house cinemas with less than 1 billion won ($814,000) in annual sales already were exempted from the fund and don’t seem to be getting any aid from the government’s proposals. It also has been pointed out that most Korean production professionals who have been made idle by the coronavirus shutdown of film shoots are already skilled technicians — most simply need jobs or temporary financial support, not vocational training.
The Korean Film Council is preparing an additional set of support plans for the film industry, which are expected to be unveiled soon.</t>
  </si>
  <si>
    <t>When the Seoul Cinema was established in 1979 it had only one screen. Built-in and named after the South Korean capital city of Seoul, the cinema quickly became a staple to not only the Korean film circuit but to the entire community. In 1978, Korean production company Hapdong Film acquired a small theater, Segi Theater. The production and distribution company pumped funds into the business and, like a flower coming to blossom, the theater transformed before the community’s eyes.
Adding eight floors and 12 screens, The Seoul Cinema would become Korea’s first Multiplex. The cinema would eventually go on to become the home of several film festivals, Mise-En-Scene Short Film Festival and Seoul Eco Film Festival, amongst others, and would welcome hundreds of thousands of movie-goers, annually. The Seoul Cinema was hampered quite dramatically due to the pandemic, seeing its business decrease more than 75%, placing a massive financial burden on the already struggling entity. In South Korea, similarly to America, chain-megaplexes are becoming standard. We have AMC, whereas CGV and Megabox reign supreme there. As chain theaters become the norm, small, independent theaters will continue to be squeezed out worldwide, and this fact is only accelerated due to the intense burden that was 2020.
The Seoul Cinema – The Storied Korean Life in Cinema
To even the most moderate movie-goers South Korea has an identifiable and illustrious history within cinema. The 1950s and ’60s were considered the “Golden Age” of Korean Cinema as works like ‘The Housemaid’ (1960) rocked Western audiences upon discovery more than 40 years after its release. Jean Michel-Frodon, Editor-in-Chief of Cahiers du Cinema stated, “…a marvelous feeling—marvelous not just because one finds in writer-director Kim Ki-young a truly extraordinary image-maker, but in his film such an utterly unpredictable work.” while describing the western introduction to the film in the year 2003. By the 2000s Korean cinema had become a worldwide powerhouse touting directorial names the likes of Bong Joon-ho, Park Chan-wook, Lee Chang-dong, and Hong Sang-soo. These four directors alone would be responsible for worldwide cult fan bases for awe-inspiring titles like ‘Burning’, ‘On the Beach at Night Alone’, ‘The Handmaiden’, ‘Oldboy’, and, as decided by Letterboxd, the best movie ever made, ‘Parasite.’
This new era, the Korean New Wave, of cinema is comparable to only the most elite movements and eras in film history; The Korean New Wave stands shoulder to shoulder with Italian Neorealism, The Hollywood Golden Age, and New Hollywood of the 1970s. Writer Matt Kim penned an essay titled, “The Korean New Wave and the Anxieties of South Korean Cinema” in which he states,
The best art typically reflects the anxieties of the society that bore it. In other countries, the only thing reflecting those worries is in art, and it can be argued that no class on modern Korean history is complete without understanding the films of the Korean New Wave. They offer some of the best rebukes to a government that has sometimes used Cold War-style politics despite being a striving Democratic Country. Turns out South Korean Cinema is often a battleground between the Government and Filmmakers — and how to best represent society to their citizens and the world.
It is this very sense of identity, intelligence and understanding of the medium that makes Korean cinema the indomitable force that it is. But as we begin to see the cracks in the foundation that built the art form to what it is today is a very worrisome augur for the future of Korean, and worldwide, cinema.
Troubling Numbers
The financial movie theater statistics worldwide have been rather horrifying and the numbers pertaining to the Eastern Asian nation of South Korea have been more troubling than most. According to Statistica, there are 610 individual movie theaters within the capital province of Seoul, in the year 2020, Seoul saw 81 theaters shutter their windows. More than 13% of all Seoul movie theaters closed business permanently in Seoul just last year, alone. Seoul hasn’t seen many theaters close their doors in more than 12 years, which, unsurprisingly, followed several years of economic turmoil in the country.
Theaters have been lambasted by the effects of the pandemic. Obviously, any kind of social gathering was essentially illegal making it next to impossible for a business model that depends on filling a large room with people. Movie theaters worldwide watched their revenues decrease by more than 75% annually and were left swimming upstream for an innovative way to right the ship. In 2019, 1,222,144,224 (yes, one BILLION) movie tickets were sold. In 2020, less than ¼ of a billion, 223,880,995, exactly, through the entire calendar year.
That is a decline of nearly 400%, an absolutely horrifying statistic for any entrepreneurial mind. What is most sad, and indicative of the world, at large, is that the people most widely affected by the harsh reality of the previous year are the independent and privately owned. Lucky for AMC, they are a publicly-traded company and could issue stock in their company to raise money quickly, whereas, for a private company, there is no surefire way to come up with cash when need be. This results in disproportionate statistics where the majority of closings come from the private sector.
A Sad Day in Korea
It is a sad day anywhere in the world when an artistic landmark such as The Seoul Cinema closes. This closure signifies the world’s rapid acceptance of the corporate entity and disregard for what has been a staple to the community and economy for decades. There will most certainly be economic, social, and artistic ramifications for the closing of The Seoul Cinema as there are always ramifications for any unjust result. These consequences are unknown at present, but will reveal themselves eventually and have stark and unrealized consequences. The closing of The Seoul Cinema marks the end of a storied business that helped, entertained, and supported countless. Truly, a sad day in Korea, and here, with me.</t>
  </si>
  <si>
    <t>Korean Cultural Center New York (KCCNY) and the Korean Film Council (KOFIC), branches of the Ministry of Culture, Sports and Tourism (MCST) of the Republic of Korea is pleased to present THE ACTOR IS PRESENT, an unprecedented exhibition featuring photographs of 200 Korean actors representative of the past, present, and future of Korean films, including YOUN Yuhjung (Minari, The Housemaid), CHO Yeojung (Parasite), and LEE Byunghun (Masquerade, A Bittersweet Life). Renowned Korean photographers KIM Jungman and AHN Sungjin, who have shaped the contemporary photography industry of Korea, have participated in this major campaign to capture the iconic images of the actors. The exhibition is on view at the Gallery Korea at the Korean Cultural Center New York from September 8th to October 6th, 2021.
THE ACTOR IS PRESENT is a part of a greater campaign, Korean Actors 200, launched by the Korean Film Council to create a growing archive of Korean actors through writings, photos, and videos and to provide access to these materials to a global audience. Such a campaign is an unparalleled record for Korean film history.
First launched in 2020 during the global pause in the global film industry due to the COVID-19 pandemic, the campaign was a direct response to the rising interest in Korean actors, but a lack of archival materials to adequately introduce Korean actors to the world. The campaign, available for all to view online, drew explosive responses from Korean film fans all over the world, affirming that Korean films are center stage in shaping the global cultural landscape in the 21st century.
"A concurrent exhibition held in New York City and Seoul is a powerful signifier of the impact that Korean film is having on the global stage," said JO Yun Jeung, Executive Director of the Korean Cultural Center New York. "The range of actors presented here represents not only their caliber, but the achievements that Korean film has made for over a century."
"We expect that this campaign will increase the level of recognition Korean actors are enjoying abroad and also support those who aim to gain further international opportunities," KIM Young-jin, Chairperson of the Korean Film Council added. "This is just another starting line for the future of Korean films."
About the Exhibition
Korean film is global. A new chapter in the 100-year history of Korean cinema has opened, catalyzed by Director BONG Joonho's Parasite win of the Palme d'Or at the 2019 Cannes Film Festival, followed by four awards, including the Academy Award for Best Picture in February 2020. In April 2021, YOUN Yuhjung became the first Korean female actor to win awards at more than 40 international film festivals, including Best Supporting Actress at the U.S. Academy Awards. These splendid achievements are by no means a singular event; news about Korean actors' achievements at overseas film festivals continues to be heard. These triumphs are the fruit of the history that Korean films have built over the past 102 years and a signal that foretells a significant wave of change in the global film industry in the 21st century.
In order to further maximize the impact of the Korean film industry following this unprecedented global interest, the Korean Cultural Center New York together with the Korean Film Council is proud to present THE ACTOR IS PRESENT, the first global exhibition of its kind. This exhibition is a bold declaration that each Korean actor is here and present. Through a single photo, celebrated photographers KIM Jungman and AHN Sungjin have captured the soul and essence of each actor, each image becoming a movie in itself.
The exhibition and special moving trailers will be available to view fully online: www.koreanculture.org. Visitation to the Gallery Korea is by online reservation only; timed tickets available.
THE ACTOR IS PRESENT is accompanied by a limited-edition catalog including photographs of the exhibition collection as well as added special photographs of each participating actor, selected by the artists themselves.
In accordance with the New York State guidelines, the Korean Cultural Center New York has implemented protocols to enhance safety for all staff and guests. We may ask for proof of vaccination prior to your in-person visit.
About the Photographers
KIM Jungman / Studio Velvet Underground
KIM Jungman was born in Cheolwon, Gangwon-do, South Korea in 1954. In 1972, he entered the National School of Decorative Arts (École Nationale des Arts Décoratifs) in Nice, France and majored in Western painting. It was there that he became fascinated by photography, which was a new art genre in France at that time. He debuted as a photographer in 1975 with a solo exhibition at Atelier Jean Pierre Soardi in Nice, France. In 1976, he was selected as the youngest exhibitor in 80 Photos of the Day in France and also won the Young Artist Award at the 1977 ARLES International Photo Festival. Since then, KIM Jungman's bold and unconventional photographs have galvanized both the fashion world and the art circles.
After returning to Korea in 1979, he continued his passionate work beyond the genres of photography, figure photography, and fashion photography. As a result, he is considered a unique photographer who has marked a new era in Korean movie posters. Film posters for works such as A Bittersweet Life (2005), directed by KIM Jee-woon and starring LEE Byunghun, and The Host (2006), directed by BONG Joonho and starring SONG Kangho, were born out of KIM Jungman's camera. He has captured more than 1,000 Korean film stars.
Although he has stopped commercial activities and focused on his artwork since 2006, KIM Jungman has enthusiastically participated in the filming of the Korean Actors 200 campaign as he connected with the mission to declare that "the actor presented here will touch the whole world."
AHN Seongjin / Agency TEO
AHN Seongjin was born in Seoul in 1967. In 1987, he entered the Department of Theater and Film at Chung-Ang University, but after graduation, he fell into the world of photography. AHN studied photography as the first pupil of photographer KIM Jungman, who headed the new wave in the Korean photography industry. After debuting in 1992, AHN Seongjin has built his reputation as leading the Korean commercial photography world.
AHN is known as a photographer who deeply understands the intent of the original content that the artist wants to convey and is able to capture the depth of a full story in a single photo. Starting with shooting the album jackets of representative Korean musicians of the 1990s, AHN has shot hundreds of posters of films and plays, including more than 500 album jackets. Famed actor Bae Yongjoon who headed the K-drama wave, and musician Psy, who caused the global K-pop sensation, also worked with AHN Seongjin to build their visual concepts.
As a film major and photographer who witnessed the Korean Film Renaissance in the 2000s, AHN Seongjin will enable the Korean actors to discover their 'new personas' through his lens.
Korean Cultural Center New York
Inaugurated in 1979, the Korean Cultural Center New York is a branch of the Ministry of Culture, Sports and Tourism (MCST) of the Republic of Korea. KCCNY works to promote cultural arts exchange and stimulate interest in Korean culture through various opportunities including exhibitions, concerts, film festivals, and educational programs. www.koreanculture.org
Korean Film Council
The Korean Film Council (KOFIC) is a public institution established to improve the quality of Korean films and promote them and the film industry, a role entrusted by the Ministry of Culture, Sports and Tourism (MCST) of the Republic of Korea. www.koreanfilm.or.kr</t>
  </si>
  <si>
    <t>Amid the protracted novel coronavirus pandemic, local theaters are complaining of the strict "screen quota" system that mandates them to fill part of their screening time with domestic flicks.
The Korean film market had been in a deep slump since the COVID-19 hit the country early last year, suffering a 70 percent plunge in the number of moviegoers.
In 2021, however, Hollywood movies like "F9," "Cruella" and "Black Widow" led a turnaround of the situation while few Korean films contributed to the upside trend. Over the first six months of the year, only two homegrown movies made the top 10 in the local box office.
Local multiplex operators claimed it is hard to comply with the strict screen quota rules that require them to fill their screening time with domestic films for at least 73 days in a calendar year.
They said they have to depend on popular foreign films to bring people back to theaters, while major Korean distributors put off release schedules of their big-budget projects amid the protracted pandemic.
"As of now, I think it is hard to meet the standard because there have been too few Korean hits," an official from a Korean multiplex company said, asking for anonymity. "In particular, the market share of Korean movies in May and June is very low."
The South Korean box office saw a 45.6 percent on-quarter jump in the number of moviegoers for the second quarter, according to data by the Korean Film Council (KOFIC).
But Korean films accounted for only 22 percent of the total audience of 11.9 million in the April-June period, with 18.3 percent for May and 14.2 percent for June.
South Korea's screen quota system was initiated decades ago to protect local films from big-budget Hollywood flicks. The 73-day quota was fixed in 2006, down from the previous 146 days.
Since then, however, theaters had not experienced difficulties in meeting the level as homegrown titles steadily recorded around 50 percent of the box office annually since the KOFIC started to compile box office data in 2004.
Last year, when local theaters saw more than a 70 percent plunge in the number of moviegoers due to the pandemic, Korean films took up a record 68 percent of the total audience, as few Hollywood blockbusters hit screens.
"We hadn't experienced trouble with this issue as Korean films did well," the multiplex official said. "But this year is exceptional due to COVID-19. The KOFIC should seek ways to make some exceptions to the quota system."
Moreover, a recent surge in the number of daily COVID-19 infections might drag down the possibility of theaters' compliance with the 73-day quota.
As South Korea implemented the highest distancing level this week, all movie theaters must have one empty seat between two accompanying people and close at 10 p.m.
Big-name Korean blockbusters like the action film "Escape from Mogadishu" and the crime drama "Hostage: Missing Celebrity" are scheduled to be released in August, but their commercial success is in question if the fourth wave continues until next month.</t>
  </si>
  <si>
    <t>Hard hit by the coronavirus pandemic, the Korean film industry, which celebrated its centenary with Bong Joon-ho’s history-making Academy awards for “Parasite” earlier this year, has been in an unprecedented crisis since February.
Since the South Korean government adopted tough social distancing measures in late February, when the coronavirus was at its peak, cinema business has been largely affected due to local audiences’ growing fear of physical contact with strangers, including cinema staff and other audience members.
Major Korean films that were set for theatrical release in March and April had to push their schedules. Cinemas tried to fill up their screening slots with re-runs, which have lower marketing costs. Films that delayed their release include “Time to Hunt,” which premiered in Berlinale right before the coronavirus crisis; Lee Chung-hyun’s feature debut “Call”; novelist-turned-director Son Won-pyung’s thriller “Intruder”; and mother-daughter drama “Innocence.”
Not being able to release films in physical cinemas, independent companies turned to new things in order to stay afloat. Little Big Pictures, the local distributor behind “Time to Hunt,” decided to give up on the film’s theatrical release and licensed it directly to Netflix instead.
In response to the film industry’s demand for a rescue measure, the Korean government distributed discount vouchers for movie tickets through Korean Film Council, as part of its $3.8 million (KRW 17 billion) fund to support the coronavirus-hit film industry. Even if the project seems to be helping out the box office, it is also facing criticisms that attracting audiences to theaters is against the general social distancing policy.
In the private sector, cinema operators have adopted new technologies that help minimize activities that cause physical contacts in theaters.
“At our Yongsan branch, we changed the entrance route so that it is a must for all our audiences to go through a desk to have their body temperature checked, with their masks on, before entering screening rooms,” says CJ CGV’s strategy support director Cho Sung-jin.
With such combined efforts to establish a “new normal,” mainstream films started returning to theaters in early June, and the box office is recovering, though very slowly.
However, tentpole films that had been targeting the summer season are still hesitating setting 2020 dates. Distributor Merry Christmas’ sci-fi drama “Space Sweepers,” CJ Entertainment’s musical drama “Hero” and Lotte Cultureworks’ drama “Mogadishu” are all postponed until the second half of the year with no specific dates set.
Circumstances are worse for big-budget feature film productions that are set overseas, either entirely or partly. Many of them had to interrupt and cancel productions due to travel bans that followed the World Health Organization’s pandemic declaration in March. Some of the country’s biggest financier-distributors such as CJ Entertainment, Showbox, and Megabox had to cancel or delay filming of such films as Vietnam-set “The Roundup,” Morocco-set “Kidnapping” and “Bogota,” which is almost entirely set in Colombia, respectively.
Some of them have started filming segments that can be shot without going overseas, while some of them had to cancel production indefinitely. Starring pan-Asian star Song Joong-ki (“The Battleship Island”), “Bogota” was the only Korean feature film production that was in the middle of filming on a foreign location when the travel ban was implemented. The team had to stop production and return to Korea in April.
“We were initially planning to resume filming in Colombia in the coming summer. But since the coronavirus is still rampant in South America, we decided to wait until next year,” says a spokesperson from the film’s distributor Megabox. “It is impossible to predict when the current situation will get better, and therefore to keep the stars and staff in such an unclear circumstance.”
With productions stopped or cancelled, film crews, most of whom are freelancers, are in reduced circumstances.
“According to Korean Film Council’s report, the number of film productions has reduced by almost 50% [since the early phase of coronavirus], because many of them have been canceled and delayed. That means cast and staff are put between jobs,” says director Kang Yun-sung, who helmed 2017 hit “The Outlaws.” “I had also been preparing to start production of a new film [“Hip Daddy”] in March, but had to halt the product because of the virus situation. Many of my staff have no income and are having financial difficulties.”
TV and digital content is moving ahead. The majority of them are set in Korea, sets are adopting safety measures and have adopted kits including masks, hand sanitizers and temperature checks.
In May, the Korean Film Council set up a special committee for safety management on film sets and cinemas that includes health and medical experts. The committee is planning to dispatch safety management crew to all film sets.</t>
  </si>
  <si>
    <t xml:space="preserve">Everyone, even President Donald Trump, seems to be talking about South Korean cinema after Palme d’Or-recipient Bong Joon-ho took home four Oscars for his film “Parasite,” including the best picture Oscar — the first non-English language film to do so in the history of the Academy Awards. 
That isn’t to say that Korean movies are new, even to Americans. South Korean cinema has arguably been prominent in the West and in the United States for at least two decades.
Barbara Demick, journalist and former Beijing bureau chief of the Los Angeles Times, said in a 2005 article from The Los Angeles Times that “Hollywood considers South Korea to be one of its more lucrative foreign markets,” and “South Koreans typically have a major presence at the American Film Market.”
While “Parasite” brought global attention to the South Korean film industry, movies like 2003 Grand Pix-recipient “Oldboy," directed by Park Chan-wook, and “Burning,” directed by Lee Chang-dong, which won 101 accolades, have also gained substantial attention in the West. 
Korean films are often best known for their themes of revenge, politics and class issues. South Korea also has a long history of political and economic instability and governmental corruption, as it went from extreme military rule to democratization and industrialization in the 20th century, which has been particularly harmful to the working class.
Korean cinema began with Do-san Kim’s “Righteous Revenge” on Oct. 27, 1919. This day is now recognized and celebrated as Korean Film Day. However, the Korean film industry didn’t really take off until the late 1940s after their liberation from Japan in 1945 with movies that depicted and celebrated Korean independence, according to Lee Gyu-lee’s article from The Korea Times.
Shortly after, the then-growing film industry was affected by the Korean War, in which active combat lasted from 1950 to 1953. A total of 14 films were produced during those three years, which have since been lost as the country split into two separate nations. 
After the Korean War came to a cease-fire, the South Korean government support and foreign aid helped revive the film industry, which led to South Korea's "Golden Age of Cinema." From the mid-1950s to the 1970s, these films consisted mostly of melodramas that often explored class issues. 
Kim Ki-young’s “The Housemaid” follows the story of a woman who is hired by an upper-class family to be their servant. It's a prominent example of the Golden Age of Cinema and is considered by many film critics to be one of the greatest films made in South Korea. The film also reflects political issues relevant to its time.
“The Housemaid” was produced in a time period of “development driven by dictatorship,” in which “[laborers] became an expendable human resource in the industrialization process,” according to Ahn Minhwa’s article from Asianfilms.org.
Filmmakers during this time were subject to censorship and faced getting blacklisted or imprisonment if their work wasn’t loyal to the government, such as film producer and director Shin Sang-ok, who was blacklisted by the South Korean government and then kidnapped by the North Korean government in 1978.
The Golden Age came to an end in the 1970s under Yusin System, also known as the Fourth Republic of Korea, in which South Koreans were under the authoritarian rule of President Park Chung-hee. Censorship laws and governmental control of South Korean media posed a problem for filmmakers and audiences alike. After Chung-hee was assassinated, heavy censorship laws continued under the authoritarian rule of President Chun Doo-hwan.
As South Korea began to industrialize rapidly, governmental control of the media and film industry began to relax in the 1980s. The film industry slowly recovered and began to see international recognition. However, the industry suffered again during the International Monetary Fund (IMF) crisis in 1997 when its global stock markets had a sudden drop. Despite the quickly growing economy, South Korea suffers due to military crises related to North Korea, according to an article from Hankyoreh. 
Following the IMF crisis and the persistence of young filmmakers, we are now currently in the “New Korean Cinema” wave. Larger-budget productions and international coproductions now dominate the South Korean film industry and continue to perform strongly, according to Darcy Paquet’s book “New Korean Cinema: Breaking the Waves.”
One of the first huge South Korean blockbusters was Kang Je-gyu’s film “Shiri” (1999), which follows the story of a North Korean spy in Seoul, South Korea. Other notable examples include “My Sassy Girl” (Kwak Jae-yong, 2001), “Taegukgi” (Je-gyu, 2004), “The Host” (Joon-ho, 2006), “Train to Busan” (Yeon Sang-ho, 2016) and, of course, “Parasite.”
Hollywood continues to dominate the global film market, but with the success of “Parasite” in the United States, more films from South Korea and foreign films as a whole may find similar success. </t>
  </si>
  <si>
    <t>Korean movies have been increasingly drawing interest from global production studios and streaming platforms for local adaptations amid the rising presence of Korean content in the world's show business.
"The Villainess," directed by Jeong Byeong-gil, is set to be adapted for television by Amazon Studios, according to Next Entertainment World (NEW), the movie's Korean distributor. Amazon Studios is behind hit TV series "The Wilds" through its Amazon Prime Video service and Oscar-winning film "Manchester by the Sea" (2016).
Skybound Entertainment, which has produced "The Walking Dead" series, will team up with director Jeong and "Star Trek Beyond" (2016) writer Doug Jung to develop a small screen remake of the movie, which premiered at the Cannes Film Festival in 2017.
"The Villainess" features the life of a trained female assassin who was born to kill. She starts a new life after finishing an undercover mission but discovers dark secrets about her past.
NEW also said it has signed a deal for a Spanish-language remake of its hit comedy "Miracle in Cell No. 7" (2013) with local production company Rock and Ruz, co-founded by Miguel Ruz, a producer on hit Netflix sci-fi series "Black Mirror."
"Miracle" is based on a true story about the love between a mentally-ill father and his daughter from prison. The film attracted 12.8 million people and grossed 91.4 billion won ($78 million) on release in Korean theaters.
Bong Joon-ho's masterpiece "Parasite" (2019) will be made into a TV series on US premium cable channel HBO.
CJ ENM said Bong and Adam McKay will participate in the project as executive producers to create a new TV series in the same universe as the feature film.
Bong's 2013 sci-fi thriller "Snowpiercer" has already broken out with US audiences as a TV series, which was recently renewed for a fourth season.The company will also join hands with Universal Pictures to remake the hit Korean comedy "Extreme Job" (2019) for its US edition.
"Extreme Job," directed by Lee Byoung-heon, revolves around a team of goofy anti-drug cops who open a fried chicken restaurant to stake out an organized drug crime ring.
It is the highest-grossing movie of all time in South Korea with 140 billion won ($120.8 million), raking in 16.3 million admissions.
In addition to those commercially and critically recognized shows, global producers have also turned their eyes to lesser-known Korean flicks.
Ari Aster of the horror "Midsommar" (2019) will partner with CJ ENM to produce the Hollywood edition of the sci-fi cult movie "Save the Green Planet!" (2003), directed by Jang Joon-hwan.
Jang's directorial debut revolves around an eccentric guy who believes aliens from Andromeda are about to attack Earth and he is the only one who can prevent it.
The movie did not make it big at the local box office but earned critical acclaim for its creativity and black comedy wit.
The 2018 horror film "Gonjiam: Haunted Asylum" will be also remade by Los Angeles-based Black Box Management.</t>
  </si>
  <si>
    <t>bout a year ago, few South Koreans likely imagined they would see their compatriots receive awards at the Oscars, one of the world's most prestigious cinema award shows, for two years in a row.
But it really happened in 2020 and 2021.
At the 93rd Academy Awards held both at Union Station and Dolby Theatre in Los Angeles on Sunday (U.S. time), veteran actress Youn Yuh-jung became the first South Korean actress to ever win an acting Oscar in her country's 102-year cinema history.
She captured the best supporting actress title for her role as the grandmother in the immigration film "Minari," written and directed by Korean American Lee Isaac Chung.
She also became the second Asian actress to win the best supporting actress title after Japanese actress Miyoshi Umeki from 1957's "Sayonara."
Moreover, the 73-year-old thespian is the third-oldest actress to win in the category in the 93-year history of the Academy Awards, following Peggy Ashcroft, who was 77 years old when she was honored for "A Passage to India" in 1985, and Josephine Hull, 74, for "Harvey" in 1951.
Even in the run-up to the Oscars, Youn's every step has been unprecedented.
For her turn as the untraditional, foulmouthed grandmother in "Minari," a project made by Korean Americans including director Chung and actor Steven Yeun, she has attracted acclaim and critics' awards, including one from the Los Angeles Film Critics Association.
At the U.S. Screen Actors Guild (SAG) Awards on April 4, she was named the winner of Outstanding Performance By a Female Actor in a Supporting Role, becoming the first South Korean actor to win the individual acting category in the awards given by Hollywood actors.
Last year, the cast of the Oscar-winning "Parasite" clinched SAG's top prize, Outstanding Performance by a Cast, or best ensemble, but none of the actors were even nominated in other acting categories.
At this year's British Academy of Film and Television Arts (BAFTA) awards, Youn also became the first Koran actor to take home the best supporting actress prize. "Parasite" got BAFTA's best foreign-language film prize last year.
Before Youn, auteur Bong Joon-ho made history at last year's Academy Awards for his critically acclaimed black comedy "Parasite."
His film crashed through the "one-inch barrier" of subtitles by winning four Oscars: best picture, best director, best original screenplay and best international feature film.
Bong's seventh feature film made history as the first foreign-language film to win the Oscar's grand prize in the event's history.
And "Parasite" became the first Asian-made movie to hoist multiple Oscar trophies.
It is also the second subtitled movie to capture the best directing and best international feature film prizes at the same time, following Alfonso Cuaron's "Roma" the previous year.
Moreover, Bong is the second Asian director to win the Academy's best directing award, after Taiwan's Ang Lee for "Brokeback Mountain" (2005) and "Life of Pi" (2012), and is the first Asian writer to be awarded best original screenplay for his non-English script.
Bong also attended this year's Academy Awards as a presenter.</t>
  </si>
  <si>
    <t>Korean television dramas get a lot of attention for their highly addictive, cliffhanger-laden, soapy plot lines, but South Korea's film industry, which began to flourish after the end of Japanese colonial rule in 1945, has long enjoyed a more critically-esteemed reputation (film buffs, see: 1961's Obaltan and 1960's The Housemaid, still considered two of the best Korean films ever made).
Korean auteurs have been known for taking risks and defying genres. They produce thrilling arthouse films, but also big budget action movies and endearing comedies, and there are as many fantastic revenge tales as there are heartbreaking stories of love, family, and redemption.
Last year, Parasite, Bong Joon-ho's brilliant, searing comedy-thriller that became the first South Korean film to win the Palme d'Or at Cannes and then, the first non-English language film to take home the Best Picture Oscar (not to mention it's one of just three films to have won both of these prizes), further cemented the industry's international prestige. This year, the Korean-American film everyone will be talking about will undoubtedly be Minari, which is out in theaters now (virtual screening tickets can be purchased here) and on VOD later this month.
Below, we've rounded up a small sampling of notable movies to stream now to get better acquainted with the Korean Wave. (Note: classics that aren't available to rent, such as My Sassy Girl and Oldboy weren't included in the list).</t>
  </si>
  <si>
    <t>The South Korean film industry is expected to see its total revenue fall to a record low this year due to the fallout from the novel coronavirus pandemic.
The Korean Film Council (KOFIC) said Monday that the 2020 revenue from movie theaters, online video sales and overseas sales will reach an estimated 913.2 billion won (US$837.3 million), down 63.6 percent from a year earlier.
It will be the lowest amount since KOFIC started to compile the official box office data in 2004, when the South Korean film industry posted 1.5 trillion won in total revenue.
Since dropping to 1.2 trillion won in 2009 in the aftermath of the global financial crisis, the figure topped the 2 trillion won mark for the first time in 2014 and rose to an all-time high of 2.5 trillion won last year.
KOFIC said the outbreak of COVID-19 has weighed heavily on the film industry throughout 2020, as the nationwide social distancing campaign has kept people from coming to theaters and limited film productions.
By category, the revenue of local movie theaters is forecast to tumble 73.3 percent on-year to 510 billion won for 2020 from 1.9 trillion won the previous year.
The April box office, in particular, totaled 7.5 billion won, marking the lowest monthly figure in history as the country was struggling with the first wave of the pandemic.
Overseas sales will likely reach 39.4 billion won, down 54.2 percent from a year ago, while sales in the digital video market are projected to contract 28.6 percent on-year to 363.5 billion won.
The coronavirus pandemic has also affected 135 film productions and releases over the year, with the damage valued at 32.9 billion won.</t>
  </si>
  <si>
    <t>In the month of October, Prabhas announced his upcoming film, Spirit, with director Sandeep Reddy Vanga. Spirit marks  Young Rebel star Prabhas’s 25th film in his career, which will be  produced on a massive scale by Bhushan Kumar of T-Series. Prabhas is presently shooting for director Prashanth Neel’s Salaar  he has already wrapped up the shoot of his part for Om Raut’s Adipurush.
According to reports, Prabhas will be seen in a never seen before avatar in Spirit. Now, for the last couple of days, a crazy speculation regarding Spirit’  heroine has been going viral on social media. The buzz is that South Korean actress Song Hye Kyo will be playing a lead role opposite Prabhas in Sandeep Reddy  Vanga’ directorial venture Spirit.  She is popular among Indian K-drama fans through TV series Full House, My Heart and All in All etc.
But now the reports are coming that  the markers of Spirit have not approached Song Hye Kyo for their movie  starring Prabhas.  Recently there was also a strong buzz in the film industry that Kareena Kapoor  will be seen in Spirit but she will play the negative role.
Meanwhile  Prabhas will soon be seen in Radha Krishna Kumar’ magnum opus, the period romance Radhe Shyam with Pooja Hegde as his co-star.</t>
  </si>
  <si>
    <t xml:space="preserve">South Korean multiplex operators have braced for a long-awaited comeback of the audience to movie theaters as a gradual return to normalcy from the COVID-19 pandemic started Monday.
The local health authorities earlier announced plans to go ahead with the "living with COVID-19" scheme from the first day of November, phasing out coronavirus restrictions such as nighttime curfews on cafes, restaurants, theaters and other multiuse facilities.
Leading multiplex chains CJ CGV and Lotte Cinema said they are running "vaccine pass" theaters for fully vaccinated people, where they do not have to sit at a certain distance and can have popcorn and sodas while viewing films.
Visitors are required to present a vaccination certificate or negative test result to theater officials before entering such theaters, according to companies.
"We have 20-30 percent of vaccine pass cinemas out of total screens, starting to operate from today," said an official from CGV. "It is a meaningful step that cinemas are on their way to normal."
Late-night movie sessions that start at 10 p.m. and end after midnight also resumed, as there are no restrictions on business hours of movie theaters.
"The late-night screenings were popular during holidays before the COVID-19 pandemic," said the CGV official. "We expect the resumption of nighttime cinemas will bring many movie fans who want to see films after work hours back to theaters."
Against this backdrop, the state-run Korean Film Council (KOFIC) is issuing discounted cinema tickets worth 6,000 won ($5.11) from Monday as part of the government-led consumption boosting plans.
The coupons are available at 521 theaters nationwide, including at major multiplex chains such as CGV, Lotte Cinema and Megabox as well as at small arthouse theaters.
"We hope the discount programs will entice South Korean audiences to return to cinemas, which have struggled with a sharp drop in ticket sales since the COVID-19 outbreak," KOFIC said in a release.
The film industry was regarded as one of the biggest losers of the protracted pandemic, as it saw the total number of moviegoers in the country plunge 75 percent on-year to a record low of 59.5 million in 2020 from 226.7 million.
The downside trend continued in 2021, with 45.5 million people coming to theaters over the first 10 months of the year. </t>
  </si>
  <si>
    <t xml:space="preserve">Lee Tae-won, a renowned South Korean movie producer, died Sunday after his health waned following an accidental fall last year, according to his aides. He was 83.
Lee died in the afternoon at Yonsei University's Severance Hospital in Seoul, where he has been under treatment following the accident in May last year. His memorial altar is expected to be set up at the same hospital.
Lee first started his career as a movie producer with a film, entitled "A long affection," in 1959. But his maiden production did not fare well.
He returned to the film industry in 1973 when he started running a theater in Uijeongbu, on the outskirts of Seoul. In 1984, Lee acquired a film production company, giving rise to unique Korean movies such as "Come, Come, Come Upward" (1989) and "Seopyonje" (1993).
In the 2000s, Lee also carried on his successful career in the industry, producing such iconic movies as "Chihwaseon" (2002) and "Raging Years" (2004). </t>
  </si>
  <si>
    <t xml:space="preserve">More and more South Korean film producers and investors have been participating in multinational film projects in recent years, backed by the country's reputation as a rising powerhouse in the global cinema scene.
The upcoming horror film "The Medium" is a collaboration of South Korea and Thailand, drawing attention for the teamwork of horror masters of the two countries -- Na Hong-jin of "The Wailing" (2016) and Banjong Pisanthanakun of "Shutter" (2004).
Na, who wrote the original story of the show, led the Korean-Thai project as a producer, along with Korean production studio Northern Cross and distributor Showbox.
He asked Pisanthanakun to take the helm of the movie in Thailand, with local cast members including actors Narilya Gulmongkolpech and Sawanee Utoomma.
CJ ENM, the entertainment unit of South Korean conglomerate CJ Group, is producing the drama film "Broker" (working title), which is now in post production, with Japanese auteur Hirokazu Kore-eda.
It is the first time that the Japanese director, who won Cannes' Palme d'Or for "Shoplifters" in 2018, has taken the helm of a Korean-language project financed and produced by Korean firms.
Many Korean silver screen actors, including Song Kang-ho, Kang Dong-won and Bae Doo-na, star in the film.
In addition, Kazakh-Russian filmmaker Timur Bekmambetov participated in the production of the Korean romantic comedy "Longdi" by Korean studio 12 Journey.
Bekmambetov has directed and produced a number of hit movies, including the action thriller "Wanted" (2008) and the mystery thriller "Searching" (2018).
It is not new for Korean filmmakers, especially prominent directors, to participate in big-budget film projects led by American and British film studios.
Cannes-winning Bong Joon-ho directed the adventure movie "Okja" (2017), which was produced by Plan B Entertainment in the United States and presented by Netflix.
Star director Kim Jee-woon made his US debut with the action thriller "The Last Stand" (2013) after getting a call from Hollywood. Kim gained worldwide recognition after the actioner "The Good, The Bad, The Weird" (2008) and the thriller "I Saw the Devil" (2010).
But in recent years, an increasing number of Korean filmmakers are playing a leading role in developing and producing film projects, recruiting foreign directors and actors.
Korean cinema has entered its heyday and has drawn global attention for recent cinematic achievements, like the Oscar and Palme d'Or winning "Parasite" and Youn Yuh-jung of "Minari," who became the first South Korean to win an acting Oscar. </t>
  </si>
  <si>
    <t>The South Korean movie industry has been thriving lately, churning out more and more uniquely interesting movies that have caught the eye of the world at large. But that’s what the world seems to think. South Korea has been producing amazing movies for the longest time, the world just hasn’t caught up to it yet.
Here are some you’ve probably never heard of and should get to watching as soon as possible. Don’t let the subtitles hold you back, you won’t even be bothered by it after a while.
There you go. Some of the top 21st century South Korean movies to date. Most of their best work comes from thrillers, horror and psychological genres, their directors and actors have a great knack for those. Here are some honourable mentions that you should watch when you’re done with the above: Mother, Memories of Murder, Secret Sunshine and Pieta.</t>
  </si>
  <si>
    <t>Close to 3 out of 4 women in the movie industry said they have experienced sexual violence or harassment, according to a survey conducted by the Center for Gender Equality in Korean Film.
Findings of the survey aimed at gauging the prevalence of sexual harassment and sexual violence in the Korean film industry were released during an online event held Monday marking the third anniversary of the center that was launched in March 2018 by the Korean Film Council and Women in Film Korea.
The survey of 834 people in the Korean movie industry, which included actors, directors, camera crew and makeup artists among others, was conducted from May to September last year. The survey organizer said it interviewed 41 people in the industry as well.
In the survey, 58.3 percent of the respondents said they have experienced some type of sexual violence or harassment, an increase of 12.2 percentage points from 46.1 percent in 2017.
Among the female workers surveyed, 74.6 percent answered that they had experienced sexual violence or harassment, while 37.9 percent of the male respondents said they have such experiences.
Those working in film directing (68.2 percent) reported the highest percentage of sexual violence and harassment, followed by those in art and props related jobs (61.5 percent) and in the makeup and costume sector (60.0 percent), according to the survey.
More than half of those working in film production (59.1 percent) said they had such encounters, as did those working in film distribution and marketing (57.4 percent), simultaneous recording (52.9 percent) and post-production (52.3 percent).
The survey also asked about the types of harassment or violence they experienced.
The most common was sexual comments about their appearances (28.8 percent), followed by hearing lewd jokes (15 percent).
The reported incidents most often took place during “hoesik,” after-hours dinner and drinking meetings (48.3 percent), followed by those on movie sets or at filming locations (22.7 percent) and business meetings (13.3 percent).
About half of the victims, or 51 percent, said that they did not do anything in response after being harassed and 39.3 percent told their friends and colleagues.
Only 8.7 percent of the victims actually reported the incident to their boss or supervisor.</t>
  </si>
  <si>
    <t>The COVID-19 pandemic has taken a toll on South Korea’s film industry - one of the world’s most vibrant. And with growing concern over continuing outbreaks, it’s uncertain when audiences will feel safe enough to return to movie theaters.
Most South Korean cinemas never shut their doors during the pandemic even though box office sales have plummeted.
In May, over 1.5 million movie tickets were sold nationwide, down from nearly 17 million in January, according to the Korea Film Council. It was an improvement over April’s numbers, which dropped to a record low of 970,000 tickets.
Jason Bechervaise, who lectures on Korean cinema at Soongsil Cyber University in Seoul says the country’s film industry is “facing its biggest crisis” because of the coronavirus.
It’s a setback for an industry that gained global recognition when the dark comedy “Parasite” prevailed at the Academy Awards ceremony in February, becoming the first non-English language movie to take home the Oscar for Best Picture.
But, compared to film industries in Hollywood, China or Europe, South Korea’s is in a better position to bounce back, Bechervaise says.
“The industry has slowed down but hasn’t ground to a halt like it has in other countries,” Bechervaise says. “It’s resilient and cinemas are still open and as (COVID-19) cases decline, hopefully people will feel more confident about going to see films again.”
South Korea was one of the first nations to flatten the curve of the disease, which health officials attribute to rapid testing and technology-based contact tracing.
But, in recent weeks the country has experienced an uptick in new infections, bringing the total number of cases to at least 12,121, the Korea Centers for Disease Control and Prevention reported Monday.
Faced with these rising numbers and what health experts warn could be a second wave of infections later this year, there’s scant expectation that box office revenue will return to pre-pandemic levels soon.
'Un-tact cinema'
Now, one of South Korea’s largest cinema chains is trying to make movie-fans feel more comfortable about coming back to the theater by limiting contact between guests and staff as much as possible.
CJ-CGV has launched what it calls an “un-tact cinema” at one of its branches in Seoul where the popcorn, hot dogs and soft drinks have been relocated into vending machines and other snack bar orders are placed on kiosks and are delivered through a hands-free box.
Ticket takers have been replaced by two roving robots that provide showtime and other theatre information on their touch-screen torsos.
“It's more hygienic than being face to face, so guests can feel safer and it's just a more cool and interesting place,” says Lee Seung-soo, a CJ CGV official.
Lee says his company had been considering rolling-out some of these automated features even before the coronavirus compelled businesses to adopt social or physical distancing policies. But the urgency of preventing disease transmission between customers pushed-up the unveiling of the “un-tact cinema.”
He explains that in addition, CJ-CGV regularly disinfects all its facilities, and rows of theatre seats are left empty to provide more space between audience members.
He adds that employees will not lose their jobs due to automation and will instead be transferred to other positions.
“This un-tact cinema at this branch is just a test for now,” says Lee. “Based on how this program goes, we will decide whether to introduce these services to other locations."
Lotte Cinemas, another multiplex operator, has also introduced contact-free features at some of its venues according to media reports.
For some South Korean film buffs though, automated cinemas still might not provide the desired protection from COVID-19 carrying strangers.
Drive-in theaters
Some are instead seeing the big screen from inside the safety of their own cars.
Park Jae-ho, whose family runs Seoul’s only drive in movie theatre says when the pandemic began, ticket sales soared.
“Normally, business isn’t so good, but once the coronavirus hit, sales went up by 30-percent,” he says.
But like all cinemas in South Korea, Park’s drive in has mainly screened re-releases, because film production companies have pushed back opening dates for many new movies.
“Ticket sales are getting back to normal,” Park says. “Customers won’t come if they can’t watch new films.”
Lim Yoo-na and her boyfriend Kim Jeong-hak recently attended a screening of 2016’s La La Land at the Seoul drive in. The couple says they used to catch a movie up to three times a week before the pandemic.
“It feels safer inside a car than at a theatre right now,” Lim, a 28-year old baker, says.
Kim says he’s not sure when they will be able to resume their normal dating routine.
“We are going to wait until the pandemic is over before we start returning to movie theaters,” the 35-year old web designer says. “And there would also have to be some new films to watch before we’d go back.”</t>
  </si>
  <si>
    <t>The South Korean film industry faces an unprecedented crisis with COVID-19, but at a forum earlier this month some industry representatives argued that the pandemic only amplified a preexisting problem.
The forum, held at the National Assembly on Aug. 7, was hosted by Rep. Lim O-kyeong and organized by the Korean Film Council. It was the first such opportunity for movie industry personnel to speak with legislators about the issues the industry faces and discuss possible solutions.
Barunson Entertainment &amp; Arts Corp. CEO Kwak Sin-ae, who produced the Oscar-winning “Parasite,” was among those who spoke at the forum. Others included director Min Kyu-dong and actor Kim Yeo-jin.
During the limited time the participants were given to speak, the dire financial situation of the movie industry emerged as the central problem.
Addressing the lack of funding for the film industry, experts pointed to the perception that movies are a form of leisure rather than a necessity.
“There are still lots of people, some even here, that think, ‘Everyone is about to starve, who cares about movies?’” said Choi Jung-hwa, head of the Producers Guild of Korea.
“Although people watch movies in their leisure time, from an industry perspective, it is not a leisure industry. It needs to be viewed as a productive content industry.”
According to a report from the Export-Import Bank of Korea, Korean cultural content exports amounted to $7.5 billion in 2019 and generated ripple effects that brought 40.2 trillion won ($33.95 billion) into the national economy. This figure includes revenue from merchandise and tourism.
The widespread view that the film industry is a frill is why the Ministry of Economy and Finance won’t allow KOFIC to proceed with direct funding plans, according to Choi.
“We felt that we are not up to the level of countries like France and Sweden in systematic structure in the culture area,” said Kim Young-jin, vice chairman of KOFIC. “I was most surprised to find out while working on the COVID-19 emergency response team that there is nothing KOFIC can do without the ministry’s approval.”
Funding for films is routinely denied even when KOFIC proposes detailed funding plans to the ministry, Kim said.
Another problem that COVID-19 has intensified is that new producers and actors are experiencing financial difficulties because opportunities are scarce.
Government support to counteract the impact of COVID-19 centers on movie theaters and entertainment agencies, but individuals involved in making movies are rarely eligible for funding.
“Since the financial situation of production is challenging, the industry is shutting down creative projects and only producing the most standard and obvious movies,” said producer Kwak. “If only experienced directors can make movies, talented rookie directors and screenwriters will lose opportunities to debut.”
Kwak said the best strength of Korean films is that they provide both entertainment value and artistic value. But that too is threatened by the COVID-19 crisis, she fears.
Director Min Kyu-dong and actor Kim Yeo-jin offered similar takes on the crisis in Korea’s film industry.
Even before the pandemic, they said, actors and directors who were just starting out or who relied on bit parts barely earned a living and had to take on multiple jobs. Without a set minimum wage, their incomes fluctuate, often reaching zero in a given month.
“Many people say we are experiencing a crisis because of COVID-19, but for movie directors not much has changed because we were already in a crisis situation,” said Min.
Min proposed guaranteeing royalty rights for film directors so they would earn a percentage when their movies were shown on any platform. The industry norm is for directors to be paid only in “incentives” upon a film’s release, not for every subsequent screening.
Kim said she hoped a system is put in place to help new actors financially.
Just 10 years ago, there used to be a genre of Korean drama that dealt with Korean history and featured many actors in supporting roles, but the genre is almost nonexistent today, Kim said.
“The first actors to be cut from work are female supporting actors in their 30s and 40s,” she said. “I wish young actors who are just starting out didn’t have to worry about getting by day by day and hope that they can harbor lasting dreams and careers.”
Many movie industry insiders said the success of “Parasite” will remain a one-time victory if the industry continues to have these financial problems, which COVID-19 has made worse.</t>
  </si>
  <si>
    <t>When Bong Joon-ho won numerous Oscars earlier this year for Parasite, it was a milestone for world cinema. The South Korean comedy-thriller about a family of hustlers was the first non-English language film in the awards’ 92-year history to take home Best Picture, a left-field surprise for many award season pundits. With Parasite’s American success, South Korean cinema was hailed as finally breaking into the western mainstream — something that had been gathering momentum for years with films like Snowpiercer, Train to Busan, Okja, Oldboy, The Handmaiden, Burning and The Good, the Bad and the Weird all being warmly received by Anglo-American audiences. 
Most art house cinema-goers in English-speaking countries can probably name a handful of South Korean filmmakers — Bong Joon-ho, Park Chan-wook, Lee Chang-dong, Na Hong-jin and Hong Sangsoo all have had varying levels of success in the western world — but I imagine even the most self-proclaimed film buff would struggle to name more than a single female filmmaker from South Korea. 
But while Korea’s female filmmakers have yet to break into the western market, that doesn’t mean there aren’t numerous women directing in the country. “In the independent sector, female directors are very active in making drama films and documentaries,” says Lim Sun-ae, who has just released her debut film, An Old Lady, which is currently playing at the London Korean Film Festival. “But the number of women directors is much lower than of men, so without thinking [people] resign themselves to the idea that it’s really difficult for women to start out as commercial film directors.”
Based on a true story, Lim’s film is about a 69-year-old woman who, after being raped by her physical therapist, struggles to get anyone to believe her. While recent American films responding to the #MeToo movement — The Assistant by Kitty Green and Promising Young Woman by Emerald Fennell — have been about young, middle-class protagonists, Lim wanted to focus on the many sexual assault cases where the victim is elderly. “There have been a lot of films dealing with sexual violence, yet not where the victims are elderly women,” she explains. “I was interested in stories yet untold — in this case, the elderly women sitting in a ‘blind spot’ amongst sexual violence crimes. The issue of sexual violence opened the door to the story, but what I really wanted to talk about was the prejudiced and discriminatory gaze through which our society looks upon the elderly.” 
Another film that looks at sexual violence at the London Korean Film Festival is Kim Mi-jo’s Gull. Similar to An Old Lady, Kim’s film is a character study about O-bok, a middle-aged, working-class woman who is assaulted while drinking with her fish-market colleagues. Like Lim, Kim was inspired by the same incident when a woman in her 60s was raped by a nurse. In reality, that woman committed suicide, but Kim wanted to not only “depict reality but, at the same time, an alternative response to [it].” In Gull, O-bok slowly recovers from her assault which Kim calls a “fantasy element” to the film. “If this happened in real life she would leave the market and choose a life in seclusion. That would be more probable within Korean society.”
The South Korean film industry is currently undergoing what many are calling a “female film new wave” with more and more women working behind the scenes and moving into the director’s seat. “There are a lot of other women directors around me who within the space of two to three years of releasing a film, have signed the contract for their next one and are writing the script,” says Lim. “I don’t think it’s a fleeting phenomenon — it comes from firmly implanted roots. In twenty or thirty years’ time, I believe they might even surpass the men in numbers.” While some female filmmakers, like Lim and Kim, are directly tackling attitudes around gender inequality in their work, this new wave of female directors are making films about a wide range of subjects — just like their male peers. Yoon Ga-eun’s divorce drama The House of Us, Yim Soon-rye’s millennial comedy Little Forest and Lee Hyeon-joo’s lesbian romance Our Love Story are recent stand-out examples of the diversity of this new wave.  
In 2017, South Korean film auteur Kim Ki-duk was accused of assault by an anonymous actor, and the next year accused of sexual misconduct by three more women. These allegations led to an outcry that parallels Hollywood’s #MeToo movement and a more frank discussion about gender inequality in the industry. “It is now obligatory to undergo training on sexual harassment and sexual violence prevention before commencing filming, and sensitivity to gender issues on set has definitely improved,” explains Lim. Recent works like the book Kim Ji-Young, Born 1982 have sparked more open conversations about sexual inequality and gendered violence in South Korean society, but Kim Mi-jo thinks there’s still a long way to go. “Prejudice against victims of sexual violence still lingers around,” she told Variety. “Seeing the woman as a contributor in sexual assault, or a bias that older women can’t be a target of sex crimes — these are typical examples.”
But Lim and Kim are just two of the many filmmakers pushing back against these internalised beliefs with deep roots in Korean society. And, as more women are given a seat at the table to make their films, attitudes are changing, albeit slowly. As Lim says: “We can’t just wait for people to change their attitudes — it is only when we bring these issues to the public eye, enforce measures, and propose new legislation that people’s attitudes finally begin to change.” Not only is this new wave of Korean female filmmakers helping to change society, they’re also enriching the Korean film industry with their art, and cinema, across the world, is all the better for it.</t>
  </si>
  <si>
    <t>After the historic win of the 2019 film Parasite at the Oscars in 2020, K-drama has become a new, current interest to watch. Further evidence? The latest popularity of Netflix’s Squid Game. Elliana discusses the possibility of whether South Korea could be seen as Hollywood’s biggest competitor yet. 
South Korean TV dramas and films have recently been gaining global recognition. The occurrence of this genre appearing on screens have seen an escalated amount of viewers worldwide. The genre actually began in the early 60’s, but it wasn’t until the 2000’s that the growth of online video services provided the opportunity for K-dramas to reach a wider audience.
THE FANDOM CULTURE IN KOREA IS IMMENSE- WITH FANS WORLDWIDE
K-Drama itself has the potential to become something much larger. Due to K-Pop, the fandom culture in Korea is immense- with fans worldwide. Often K-Pop fans will delve into watching K-dramas, as K-Pop idols may also feature in these dramas as actors. An example is the 2016-2017 TV series Hwarang: The Poet Warrior Youth, (also on Netflix). It featured several talented K-Pop stars, such as band member BTS, V, SHINee’s Min Ho and Park Hyung Sik from ZE:A, which put the series  at the top of the TV popularity index.
Entertainment producer Alicia Rancilio mentions: “Netflix is investing $500 million to produce Korean content”. It may be that more K-dramas can be expected, or even another season of Squid Game.
What makes these shows so binge worthy is not only the storyline, but the Korean culture, lifestyle, and entertainment which have raised the country’s profile. Along with the famous faces seen on screen, their popularity increases as they branch out in the industry, either as an actor, singer or model. Korean model, Cha-Eun-Woo, debuted as an actor but is also part of the boyband group ASTRO. Squid Game’s HoYean Jung is a model and now rising actress. The entertainment industry in Korea is becoming increasingly popular everyday, as more stars are beginning to be recognised internationally.
Mainstream media has contributed largely to the success of the entertainment industry in South Korea. I have noticed the influence of this on people outside Korea, such as how the clothes styled by young teenagers to adults today are Korean inspired. K-Dramas are an influential source of this, as well as simply the social media account of the celebrity.
A fan of K-Drama, @downbadriri, took to Twitter to discuss the irony of many unacknowledged shows and tweeted: “asian media hardly get the proper attention they deserve, and when they do, ++”.  Recently, 26 Korean words are reported to be added to the Oxford English Dictionary (OED). Tourism has also risen, with countries from Asia like Japan, China, and the Philippines visiting Korea to see famous filming locations.
VIEWERS CAN RELATE TO THE STORY AND ENJOY IT, DESPITE LANGUAGE AND LOCATION BARRIERS
K-Dramas tend to show a unique form of drama, and, whether it be critiquing society or a witty romance story, viewers can relate to the story and enjoy it, despite language and location barriers. After the huge sensations of K-Dramas, such as Crash Landing on You (2019), or films like Train to Busan (2016), there is a likelihood for more content like this to be produced, to appeal to a global audience in the coming future. Korean producers could then be expected to take on a global mindset when creating the next huge success piece.</t>
  </si>
  <si>
    <t>The international success of Parasite, the black comedy thriller by Bong Joon-ho, has been rather spectacular. It started with a slew of early season awards, including the prestigious Palme d'Or (by unanimous vote) at Cannes. It has now won Best Motion Picture – Foreign Language at the Golden Globes, multiple nominations at the Baftas, and six Oscar nominations, including in some of the most distinguished categories (film, director and screen play).
If it wins an Oscar, it would be the first Korean film to do so and a testament to the rising popularity and success of the Korean film industry internationally.
The estimated export value of the Korean film industry in 2018 was US$41.6 million (£32 million). South Korea is the fifth leading film market by gross box office revenue after the US, China, Japan and the UK.
Rooted in the 90s
South Korea has come a long way since the damaging effects of Japanese occupation (1910 to 1945) and the Korean War, which ended with a ceasefire agreement in 1953. Experiencing monumental growth between 1960 and 1990, the country became one of the Four Asian Tigers and is now the continent’s fourth largest economy.
In the late 80s, as Korea emerged from a period of censorship, restrictions that had previously limited the influx of foreign films were lifted. This led to an increased appetite for Hollywood blockbusters and a decline in Korean cinema. To protect the country’s arts industries and counter the effects of the Asian economic crisis of the late 90s, the government mounted several policies with a strong focus on promoting Korean culture abroad.
Central to this was the Framework Act on the Promotion of Cultural Industries in 1999, which said:
The purpose of this Act is to lay the groundwork for the development of cultural industries and enhance the competitiveness thereof, thereby contributing to the improvement of the quality of national cultural life and development of the national economy, by providing for matters necessary for supporting and fostering cultural industries.
As a result, South Korean culture has grown globally in recent years. K-pop, K-drama, K-beauty, and K-cuisine have all found new international audiences, initially in China and later in wider Asia and the west.
The “Korean New Wave”, the international fascination with Korean entertainment and film industry, began in the 1990s. This phenomenon, known as Hallyu, centres around the work of directors Park Chan-wook (Oldboy, Lady Vengeance, The Handmaiden), Bong Joon-ho (Memories of Murder, Host, Okja and Parasite) and Kim Jee-woon (A Tale of Two Sisters and I saw the Devil).
Distinctly Korean
Korean cinema is deeply embedded in the Korean experience, eschewing Hollywoodisation and producing an oeuvre that makes a Korean film distinctive to international audiences. Korean society has a reverence for tradition and at once extraordinarily modern, and its cinema embodies these qualities proudly.
Korean cinema has become known for often exploring the dark side of human experience. The films can be unsettling, often mixing dark humour with elements of extreme violence, sumptuous cinematography and high production values. Many of them feature passionate revenge stories (Oldboy, 2003, or I Saw The Devil, 2010), captivating crime investigations (Memories of Murder, 2004), or unusual friendships (Joint Security Area, 2000, or The Handmaiden, 2016).
Not shying away from controversial topics or challenging its audience, Korean films dare to tread in places western films are sometimes scared of. It is not surprising, then, that they have attracted the attention of a wider public and the admiration of filmmakers such as Quentin Tarantino – who has compared Joon-ho to Steven Spielberg in his prime.
Parasite has amassed a box office revenue of US$137 million (£105 million) globally, and is set to rake in more with this slew of awards and nominations. Exceeding everybody’s expectations, this subversive anti-capitalist film is winning over both critics and audiences. So much so, there is already a rumoured HBO series spin-off in the works.
Parasite’s accomplishments come off the back of Joon-ho’s previous critical success with the 2017 ecological fantasy Okja, Park Chan-wook’s 2018 film Handmaiden (the first Korean film to be nominated for and win a Bafta) and Lee Chang-dong’s 2018 film Burning (the first Korean film to make it to shortlist for best foreign film at the Oscars). If this momentum is anything to go by, the “Korean Wave” is only set to get bigger.</t>
  </si>
  <si>
    <t>For Oh Seok Geun, who was newly appointed as Busan International Film Festival’s director of the Asian Contents &amp; Film Market (ACFM), this year’s market is an opportunity to reflect on Busan’s identity and prepare for a post-COVID market.
“There are three key functions of a film market — networking, sales and project market,” says Oh, a former chairman of the Korean Film Council, the country’s main film body. “The first two functions are important, but we want to expand on the project market as a way to engage with films that have not been invited to Busan’s official screenings and stay integrated with the film festival. That’s a slightly different approach from other markets like Cannes and Hong Kong FILMART that are very independent from the festival and business-focused.”
Busan’s embrace of the industry’s diversifying platforms is another sign that the festival is seeking for a expand its identity, which was heavily focused on the arthouse genre.
In 2019, the market changed its name from the original Asian Film Market to ACFM, to expand trading content distributed on TV, OTT and other platforms, and include non-traditional film-market mediums such as novels and webtoons, or digital comics that are hugely popular in Asia. The market also launched the Asia Contents Awards (ACA) which recognizes outstanding TV and OTT dramas across Asia. This year’s festival, which opens on October 6th with Im Sang-soo’s Heaven: To the Land of Happiness, added a new program called On Screen which showcases new drama series on OTT platforms such as Netflix’s Hellbound, a fantasy thriller from director Yeon Sang-ho, and Forbidden, HBO ASIA’s original series co-directed by Thailand’s Anucha Boonyawatana and Josh Kim, a Korean-American director.
“It’s true that Busan once prided itself of being ‘a conservative cinemaphile,’ clinging onto the classic notion of cinema and distancing itself from other forms of contents such as TV dramas,” Oh says. “But during the pandemic, the film industry underwent a period of confusion with dramatic changes happening to how contents are being created and distributed.”
The ACFM, which opens on October 11th and marks its 16th edition, is largely keeping its online format from last year, while also holding onsite business meetings for domestic participants. Despite being a virtual event and changing its name, ACFM achieved moderate success last year, attracting 205 companies from worldwide and trading 833 contents, a slight increase from the previous year. The organizers are expecting a better turnout this year.
“ACFM is a good market if you are launching a new film or have a line-up that releases in the latter part of the year, since it is participated by many film programmers and key buyers from around the world,” says a local distributor. “It’s unfortunate that we’re going to have another online market, but it uses convenient tools that are effective in introducing new works on sale and provides good networking opportunities with buyers and programmers.”
The organizers are generally optimistic about the organic growth of ACFM and its role as a gateway to Asian content. Corporate giants including Disney, Apple and Netflix have flocked in to Busan in recent years to buy license rights of the original works, and used the market as a networking platform with Asian filmmakers and artists. Delivery Man, a new drama series by Netflix which is scheduled for a release next year, was a recipient of Busan’s E-IP Pitching Award from 2018. Entertainment Intellectual Property (E-IP) Market, which expanded its previous concept of “Book to Film” that matched publishers with film producers, now bring original works published on multiple platforms including radio scripts, digital comics and even video games.
While the current focus of ACFM is mainly on films from Korea, Japan and Taiwan, the market organizers are hoping to expand the territory and include films from Southeast Asia, the largest buyer market of Korean content, and even China, who has expressed interest in Korean IP.
“There is a fierce battle over entertainment IP,” says Daniel Kim, ACFM’s general manager. “There is a high demand for curated contents, especially among small and medium-sized companies, as more streaming services are picking up a majority of good local films.”
ACFM is largely divided into project and sales market. Asia Project Market, which is largely seen as ACFM’s main program, introduces new feature film projects by emerging and established directors and connects them with global film investors, producers, distributors and coproduction partners. This year, APM selected 25 film projects out of 429 submissions, the largest since APM launched. It highlights a strong line up of female directors, including director Kamila Andini’s Before, Now &amp; Then, Zoe Sua Cho’s upcoming collaboration with Nepali-American director Nani Sahra Walker in The Silence of Birds and a directorial debut of Nguyen Phan Linh Dan, the first female Vietnamese cinematographer If Wood could cry, it would cry Blood. Seven projects by emerging Korean directors were also selected including Christmas Carol by Kim Sungsoo, Where Would You Like to Go by Kim Hee-Jung and Hallucination by Lee Choonghyun,
“Our market should not only focus on buying and selling ready-made products, but also play a role in finding guardians for films by discovering hidden gems and films with potentials,” says Huh Moon-young, the newly appointed director of Busan International Film Festival, hinting at the role of Asia Project Market. “ACFM will play a role of the latter as much as the former.”
This year’s market also hosts online conference and forums about the post-Covid industry prospects with panelists made up of experts in Korean contents industry. There will also be expert panels by the heads of global film markets, discussing ways to strengthen business through partnership and exploring the role of a film market for filmmakers and artists.
“Last year, when South Korean government unveiled a rescue plan for the film industry, sales and marketing companies were excluded,” says Oh who was Korean Film Council’s chairman at the time of the announcement. “It was an inevitable decision, because many film professionals were facing the risk of survival. I’m just grateful that companies are able to participate in this turbulent period. During the market, I want to send my gratitude and encouragement to every one of them.”
***
Is Toronto Ready for The  Hellbound?
Yeon Sang-ho, the mastermind behind global zombie hit Train  to  Busan, brings his latest genre outing to TIFF. 
In the new Netflix original series The Hellbound, people are told the exact time of their death and dragged to hell by grim reapers. Set in the city of Seoul, South Korea, the story depicts a society in the throes of chaos, with the victims struggling to survive, as a local cult group called The New Truth tempts people to believe that the occult-like events are part of a divine plan.
The confusion and fear surrounding a mysterious event is nothing new for director Yeon Sang-ho, whose previous film, 2016’s Train to Busan, about a zombie outbreak that takes place on a high-speed train, was largely viewed as a social metaphor for the class divide in a highly conformist Korean society. The film struck a chord, drawing more than 11 million theatergoers in South Korea and grossing more than $92 million globally.
“Hellbound is a work about supernatural occurrence,” says Yeon, who adds that he grew up watching videos of Hong Kong action flicks and Japanese animation. “But it also delves into my views on various phenomenon in a Korean society and how we struggle to cope with these events.”
Yeon’s new work, the first three episodes of which will premiere in the Toronto International Film Festival’s Primetime section, was also invited to Busan International Film Festival’s On Screen section, the festival’s new program featuring new drama series on OTT platforms. “I was at TIFF with my earlier film The Fake [2013] and there were a lot of deep, interesting questions during the Q&amp;A,” he recalls. “I hope the work evokes a lot of discussions.”
Yeon’s latest effort is based on a popular digital comic of the same title and one of Yeon’s earlier short films from 2003. In the Netflix series, he collaborated with his close friend and a popular comic artist Choi Gyu-seok, who co-wrote the script.
“We’re such good friends, and the main motive behind the collaboration was to spend more time together as we work on the same project,” Yeon says. “We also share common interests in depicting stories about social phenomenon. The process of collaboration, however, was trickier than we had imagined. He was very attentive to details, and we learned our perspective was quite different.”
Hellbound is Yeon’s first drama series, but already there is increased interest in the original comic among the market insiders. Futabasha, a Japanese webtoon publisher, purchased Japan’s publication rights, and Dark Horse Comics, the U.S. publisher of Hellboy, took on the work’s worldwide distribution in English.
While Yeon believes that platforms like Netflix offer a valuable opportunity to reach a global audience, he is aware of the inherent risks of how storytelling on such a large scale can create cultural challenges.
Says Yeon: “Since it will be released to global audiences, I wanted to make sure that there aren’t any settings or expressions in the drama series that might be offensive to some audiences from other cultures.”</t>
  </si>
  <si>
    <t>It seems safe to say that South Korea is quickly taking over the entertainment industry. With the rise of K-pop, K-dramas gaining popularity on streaming platforms, and Korean films winning major international awards, what’s next? So if you’re just dipping your toes into the world of international cinema or are already in deep with Korea’s entertainment exports, you might be looking for some great Korean movies to stream.
With recent international hits like Train to Busan, The Handmaiden, and Parasite, to name a few, Korea has proven itself a force to be reckoned with when it comes to movies. The country keeps churning out hits, and while Korean creators clearly have a knack for specific genres like psychological thrillers and zombie films, there are many fantastic Korean movies of all genres. So if you are looking for a film to watch while browsing Netflix, check out 15 great Korean movies that the streaming platform has on offer.</t>
  </si>
  <si>
    <t>South Korea’s film industry is watching carefully as zombie thriller #Alive raises hopes that the local box office is turning a corner in the pandemic, heading into the summer high season.
The film is the first to pass the 1 million admissions mark since February when Covid-19 began dissuading audiences from going to cinemas.
Starring Yu Ah-in (Burning) and Park Shin-hye (The Royal Tailor), #Alive was released by Lotte Cultureworks nationwide June 24 on 1,662 screens (with a peak 1,882 screens on Saturday).
As of July 1, it brought in 1,194,983 admissions and $8.27m, according to the Korean Film Council (KOFIC). The film’s production budget is estimated at $6.14m (KW7.4bn), according to production/investment company Spackman Entertainment Group.
“We believe that the opening performance of #Alive is a test case that shows audiences are returning to theatres despite Covid-19, and we believe there is pent-up demand for movie consumers. As the weekend daily number of moviegoers exceed 400,000 in Korea, we do see there is a hope for a revival of the theatrical film business. Theatres provide audiences with a more dynamic experience due to better visual and sound effects compared to home TV screens,” says Kay Na, president of Spackman Entertainment Group.
“You could say the box office is taking a stretch of sorts although it’s not perfect,” says Hwang Jaehyeon, an analyst and PR team leader at CJ CGV, the country’s leading multiplex chain, also speaking to Screen.
“June box office is down about 84% compared to last year. In May, it was down 92%, so the width of decrease is getting smaller. We’re hoping as the traditional summer high season of late July and early August approaches, box office will spread its wings wider. We’re hoping Peninsula will be a sort of bridge to going back to normal,” he adds, referring to Yeon Sang-ho’s highly anticipated Train To Busan follow-up.
Starring Gang Dong-won and Lee Jung-hyun, the big-budget zombie thriller, which has pre-sold to a total of 185 countries, is set for local release on July 15 by NEW.
In addition, Warner Bros Korea yesterday announced Christopher Nolan’s Tenet will open in local cinemas August 12. Disney’s live-action Mulan is also reportedly looking at an August release.
Along with Peninsula, two other films are considered to be in the local film summer trifecta – CJ Entertainment’s crime action drama Deliver Us From Evil, which is expected to open in August, and Lotte Cultureworks’ political action thriller Steel Rain 2: Summit, which just announced it will open July 29.
“Last year, about 21 million people nationwide went to the cinema in July, but this year, we are hoping for less than 50% of that at about 10 million,” says Hwang. “We’re being cautious but #Alive does give us hope.”
Safety measures
As of July 1, South Korea recorded a total of 12,757 confirmed cases of Covid-19 (of which 51 were added in the past day) with a total 282 deaths since January 3, according to the Central Disease Control Headquarters.
The country has never had a full lockdown and as experts note, although certain cinemas were shut down (and later reopened) after infected people were traced to having visited them, none have been identified as infection vectors in the spread of the novel coronavirus.
“Preventative measures on the part of cinemas are important, but so are audiences’ preventative efforts such as wearing masks, refraining from eating, and individual hygiene,” said Tak Sangwoo, research professor at Seoul National University’s Institute of Health &amp; Environment and a former epidemiology investigator at the Centers for Disease Control and Prevention (CDC) in the US, speaking on a KOFIC committee for safety management in the pandemic.
In South Korea, it is de rigueur for customers to take temperature checks, wear masks and make contact information available in case of the need to trace infections. Theatre operators provide hand sanitiser, distance between seats, disinfect the facilities and put anti-bacterial film over buttons in elevators. A limited number of multiplexes have also put into place zero-contact measures, which were actually being developed before the pandemic as a way to streamline customer services.
But one thing stands out in the safety of local cinemas, which Xangdean Jung, CEO of arthouse cinema Artnine and distributor Atnine, notes: highly regulated heating, ventilation, and air conditioning (HVAC) systems.
“I think it’s different in Korea from the US or Europe in that to get authorisation to run a cinema or performance hall in a sealed space, you have to have follow very strict HVAC system regulations. It’s not just about heating and air conditioning, but tremendously reinforced guidelines for control of air flow and ventilation of outside and inside air. Korean cinemas have much safer systems than restaurants or cafes. That’s the reason why we’ve not had to shut down during the pandemic – even if infected people have visited cinemas, no one has gotten infected at a cinema. Everyone wears masks and is facing forward,” says Jung.
“We can freely control the air flow from outside with a motor. All the other cinemas have these systems, too, and they’re good – HEPA filters for fine dust pollution, and air control to stop fires and more. Korean cinemas all get tested for air quality twice a year and the standards are on par with hospitals. We should be promoting this fact more,” he adds.
Looking for alternative screening methods, Artnine, which has a café/restaurant and terrace with an overhanging roof, is also installing a large LED screen for outdoor screenings.
“The government is talking about drive-in theatres as an alternative in the pandemic, but there is a legal responsibility when you have a car engine idling for more than three cycles. It’s not like in the ’90s when cars only had FM radio – now we have GPS navigation systems, rear-view cameras and a lot of electric usage,” he says, pointing out the pollution and energy waste factors.
“That’s why we are also preparing an outdoor rooftop LED screen – because it’s not projected, but like a TV, you can show films outdoors in the daytime as well as at night and since we have a roof, it’s also possible in the rain. CJ CGV and Lotte World tower each have one LED screen apiece and it’s gotten more affordable,” he explains.
Jung, who is also festival director of the DMZ International Documentary Film Festival (DMZ Docs) and chairman of the Association of Korean Buyers &amp; Distributors of Foreign Films (KBDF), says he is planning a Ten Years of Cannes retrospective with association members [who hold local rights to many Cannes titles]. It is set to start at the end of July on the LED screen which is being installed at Artnine this weekend.
“If it goes well, the Busan International Film Festival might be able to do the same. The Busan Cinema Center also has a roof over its outdoor screen, but because they use a projector, they so far have only been able to have night-time screenings. If they put in an LED screen, they could have daytime screenings, too, and get in more audiences even with distancing between seats,” he adds.
Like many others in the pandemic, Jung says he has been hard-pressed to keep his business going, but that has spurred him to come up with innovations and take matters into his own hands.
“We used to have about 130,000 admissions a year, so more than 10,000 admissions a month, but these days it’s embarrassing since only about 20 people come a day. But we can’t close because it would be a betrayal to our audiences. When we closed for [originally scheduled] renovations recently, we took the opportunity to install UV filter lighting in the hall. It’s supposed to kill germs after 10 seconds and we leave it on when we leave for the night,” he says.
He adds he thinks he might be the only theatre-owner in the world to have sprayed disinfectant in his cinemas himself to save money.
“It costs KW1.5m ($1,246) a day to have it done, so I started a movement with other theatres to just buy the disinfectant equipment. It costs about KW500,000 ($415) and the disinfectant liquid costs KW20,000 ($16.62). I’ve used it myself at Artnine. We used it at the DMZ Docs and lent it out to the Pyeongchang International Peace Film Festival and the Seoul Independent Documentary Film Festival and are going to lend it to the upcoming Jeongdongjin Independent Film Festival and Bucheon International Fantastic Film Festival, too,” he says, noting he wished KOFIC would be taking care of this sort of service instead of him having to lead the effort.
The government-funded organisation that supports and promotes the local film industry has previously helped with some disinfecting services and provided hand sanitiser to cinemas. Most recently it spent $7.48m (KW9bn) on funding movie ticket discount coupons worth KW6,000 ($4.98) each, a move that has been seen to help stimulate audiences going back to theatres along with releases such as #Alive since last month.
Although South Korea has been handling the pandemic relatively well, local industry professionals working internationally also worry about the situation in other countries.
“I’ve sent about 12,000 masks to overseas film industry friends and acquaintances so far. Because we can’t have them dying. We all have to make it out of this together alright,” says Jung.
CJ CGV, which has cinemas in the US, China, Vietnam, Turkey and Myanmar has seen most of its cinemas shut down, with the exception of Vietnam starting up again recently.
“Looking at the cases overseas really makes you realise how much of an effort Koreans are making in our everyday lives to deal with this pandemic. It’s because everyone has been actively participating and continues to do so voluntarily that we are able to enjoy our cultural lives and I think cinemas can provide some of the stress release and healing that we need,” says Hwang</t>
  </si>
  <si>
    <t>when the pandemic brought international travel to a halt and forced the nation to shelter in place, many leaned on entertainment to explore the world beyond the confines of their homes. And perhaps no country has shone brighter in the global spotlight over the past year and a half than South Korea. K-pop artists such as BTS and Blackpink became household names as people spent more time online. Korean food exports—greatly boosted by social media posts from Asian celebrities and the popularity of the film Parasite—hit a record high, with the U.S. becoming the top importer of Korean food in 2020, while Korean food trends like mukbang and dalgona coffee provided welcome quarantine distractions. And as viewers ran out of shows to watch, many of them stumbled upon Korean dramas—and have been hooked ever since.
For the unacquainted, Korean dramas—K-dramas for short—are South Korean scripted TV shows. Sometimes they’re referred to as Korean soap operas, but that description is misleading because K-dramas actually encompass a wide range of genres, from sci-fi and romance to horror and period pieces and everything in between. Most consist of a finite number of episodes (often between 16 and 24, though some—especially family-oriented and historical dramas—run for 50-plus) and are usually completed in a single season, with a few notable exceptions (more on that later).
K-dramas are generally known for having high production value, intense and often engrossing storylines, and quality acting that helps build an emotional connection between the characters and the audience. They also tend to consist of more PG-friendly fare than western TV shows (nudity and sex are practically nonexistent, for example), rendering K-dramas more palatable for a wider range of age groups and countries, especially those that are more socially conservative. At the same time, the bold and skillful storytelling with which K-dramas tackle societal issues, personal struggles, and universal themes such as family, friendship, and love make for thoughtful content that resonates with audiences across geographical borders. To put it plainly, K-dramas make us feel less alone and often successfully tap into our shared human experiences and emotions.
They’re also somewhat interactive. “Korean creators still make dramas day by day,” says Dr. Dal-Yong Jin, a communications professor at Simon Fraser University and one of the world’s leading scholars on Korean pop culture. If ratings are low, the show’s creators will change the plot, and if ratings are high, they might decide to extend the number of episodes from, say, 16 to 24, Jin explains. This helps ensure that the series in question is well-received by audiences, but also means that episodes are often shot and edited the same week they’re aired.
Though K-dramas have recently taken off in the States, they’ve been popular in Asia for years. In fact, K-dramas have long been one of the key drivers of the Korean Wave, or “Hallyu,” a term believed to have been first coined by Beijing journalists in the 1990s to refer to the growing popularity of K-dramas, K-pop, and other Korean cultural exports. Since then, the Korean Wave has rapidly spread to all corners of the globe, but it’s difficult to pinpoint exactly when K-dramas began catching on outside of South Korea. Some sources point to the 1997 success of the family drama What Is Love? and the romance Star in My Heart (aka Wish Upon A Star) among Chinese audiences as the starting point of Hallyu; Jin argues that it started even earlier, in 1993, when China broadcasted the Korean drama Jealousy (Jiltu).
The seeds for Hallyu’s growth were planted even before then. According to Dr. Jung-Bong Choi, a former professor of cinema studies at New York University, Korean network executives in the 1980s and 1990s often took business trips to Japan to draw inspiration from the style and structure of the country’s dramas, which “pioneered the 12-episode miniseries format” and included a diverse array of genres.
The South Korean government also helped lay the groundwork for the burgeoning Korean Wave by further developing the country’s broadcasting infrastructure and allowing for programs to compete against each other. “Korea had only three network channels in the early 1990s, but the Korean government decided to allow another network—SBS in 1991—and multiple cable channels in 1995,” says Jin.
Though K-dramas have recently taken off in the States, they’ve been popular in Asia for years.
In 1993, when South Korea elected its first civilian president in over 30 years, numerous Korean college graduates and young professionals, feeling liberated from decades-long censorship under military rule, took jobs in the cultural sector. As President Kim Young-Sam’s administration ushered in a new era of globalization, many young South Koreans also traveled abroad and brought back what they had learned overseas, contributing to the country’s cultural rebirth.
As Choi points out, while Japan began looking increasingly inward as its economy went into decline, South Korea took the opposite approach. This all coincided with the beginning of China’s own economic rise, which created an enormous demand for pop culture content—and South Korea was there to provide it. China found American TV shows to be incompatible with its values, and it didn’t want to import content from Japan, its former colonizer. But Korean content was in sync with China’s social aspirations, and this turned out to be a huge boon for South Korea’s entertainment industry, Choi explains.
Japan, long regarded to be the purveyor of cool in Asia, wasn’t immune to the K-drama craze either. When the tearjerker romance Winter Sonata aired there in 2003, it became an instant blockbuster hit, attracting over 20 percent of viewers across the country—a figure that was practically unheard of at the time. Scores of middle-aged Japanese women went crazy for Korean actor Bae Yong-Joon, who plays the male lead in the drama, affectionately nicknaming him “Yonsama” (which means “Prince Yong”). The actor’s incredible popularity even led the then-Prime Minister of Japan Junichiro Koizumi to quip, “Yon-sama is more popular than me.” The drama drastically improved the image that many Japanese citizens had of Korea and Koreans and even enhanced the social status of Zainichi Koreans in Japan, who have long faced discrimination and marginalization in Japanese society.
Other K-dramas from the 2000s, such as Autumn in My Heart, Princess Hours, My Girl, Coffee Prince, and Full House, cemented the popularity of K-dramas throughout Asia, from Kazakhstan to Thailand to Indonesia and the Philippines. A 2011 report by the Korean Culture and Information Service noted: “In many Asian cities, Korean dramas seem to be influencing lifestyles and consumer behavior, which speaks to their cultural appeal. Many Korean drama fans spend to share the fashion choices of the stylish fictional characters and crave the city life they live.” Thus, South Korea’s spot in Asia’s cultural zeitgeist was solidified.
The K-drama wave expanded very quickly outside of Asia as well, most notably with the 2003 historical drama Jewel in the Palace—the first K-drama to become a truly global hit. Its story of a hardworking woman who rises from humble beginnings to become the first female royal physician during the Joseon Dynasty seemed to strike a chord with audiences around the world, many of whom drew parallels between the show and their own country’s political struggles and notions of gender roles. The series eventually aired in 91 countries and saw viewer ratings reach 90 percent in Iran, where it sparked a nationwide interest in Korean language and culture and paved the way for the success of other historical K-dramas in the country, including Queen Seondeok and Jumong. The lack of violence and sex in K-dramas helped spread their popularity to other countries across the Middle East, including Egypt, Turkey, Bahrain, the UAE, Iraq, Qatar, and Saudi Arabia.
“Values of loyalty, devotion, and sacrifice have tugged at the heartstrings of non-westerners. That’s the power of Korean drama.”
In Latin America, many viewers were drawn to K-dramas largely due to their emotionally charged scenes and intricate plots, which they found similar to their telenovelas. It also helped that South Korean broadcasters purportedly sold some of their best K-dramas to Latin American TV stations for as low as $1 per episode, making them much more affordable than telenovelas, which often cost thousands of dollars per episode. Korean broadcasters’ deliberate approach to promote Korean content throughout Latin America paid off, as many K-dramas such as Stairway to Heaven, My Fair Lady, and All About Eve had higher viewer ratings than local telenovelas. When former South Korean president Roh Moo-Hyun visited Mexico back in 2005, a group of local K-drama fans staged a rally outside his hotel begging him to send Korean actors Jang Dong-Gun and Ahn Jae-Wook on a visit.
Interestingly, the K-drama wave in Latin America has also been bolstered by Latino employees at Korean supermarkets across the U.S. As Korean immigrant communities sprang up around the country in the ‘80s, Korean-owned supermarkets (such as the now ubiquitous grocery chain H Mart) copied K-dramas onto VHS tapes (and later, DVDs) and rented them out to their Korean customers, who sought familiar content from their native country. “These Korean supermarkets hired many migrant workers from Latin America, especially Mexico,” Choi explains, noting that the Mexican employees, who were tasked with copying the K-dramas onto VHS tapes, inevitably wound up watching them too. “Values of loyalty, devotion, and sacrifice have tugged at the heartstrings of non-westerners. That’s the power of Korean drama.”
Thanks in large part to streamers like Viki (acquired by Japanese conglomerate Rakuten in 2013) and DramaFever making it possible for viewers to legally watch Korean content online with English subtitles, K-dramas began gaining momentum in the West during the 2010s. These platforms also formed distribution relationships with Netflix and Hulu, which allowed them to reach even more audiences. After Warner Bros., which had acquired DramaFever, abruptly shut down the service in 2018, Netflix began investing heavily in K-dramas and premiered its first Korean original series, the zombie K-drama Kingdom, in January 2019 to great acclaim.
Then 2020 happened and turned out to be a milestone year for K-dramas. Viki witnessed its North American subscribers grow by 42 percent between 2019 and 2020, while KOCOWA, which offers exclusively Korean content, also saw its content consumption spike during the same period, a fact that product marketing team leader Justine McKay partially credits to the critical and commercial success of Parasite and Minari. “U.S. viewers started seeking out more K-content featuring these amazing actors,” she says.
K-dramas on Netflix are dubbed and subbed in over 30 languages.
A spokesperson at Netflix revealed that viewing of Korean content across Asia increased fourfold in 2020 compared to 2019. Notably, the blockbuster rom-com Crash Landing on You stayed in the top 10 in Japan for a whopping 229 days and was the sixth most-watched TV show on Netflix in the U.S. between March 21 and March 27, 2020. Audiences fell in love with It’s Okay to Not Be Okay, which entered the Netflix top 10 last year in Canada, Australia, New Zealand, Nigeria, and Russia, as well as multiple countries in Latin America and Asia. The horror K-drama Sweet Home was watched by 22 million subscribers in its first four weeks on Netflix and was ranked #3 on the platform in the U.S. and globally shortly after its release.
Back in 2014, the Korea Creative Content Agency (KOCCA) released a study estimating that approximately 18 million Americans watched K-dramas. One can only assume that figure is much, much higher now.
The K-drama craze has indeed hit a fever pitch, reaching even the most isolated places in the world like North Korea, where bootleg copies of South Korean dramas have been smuggled into the country since the 1990s and Korean pop culture is now viewed as a growing threat to Kim Jong-un’s power. Stateside, K-dramas have spawned American remakes such as The Good Doctor (now in its fifth season) and inspired a number of online communities on Facebook and Clubhouse.
K-dramas have also dramatically (no pun intended) boosted tourism to South Korea, with a 2017 Korea Tourism Organization survey finding that roughly half of foreign tourists in South Korea decided to visit the country after watching Korean dramas and films. Filming locations of hit K-dramas have become popular tourist destinations in South Korea, and beginning in the early 2000s, scores of Asian women—enamored with the strong, handsome, and romantic Korean male leads they saw in K-dramas—have ventured to the country in hopes of dating and marrying a Korean man. K-dramas have also fostered the growth of South Korea’s booming medical industry as countless tourists visit the country every year to undergo plastic surgery in an effort to look more like Korean actors or actresses.
And it seems the global popularity of K-dramas will only continue to grow. Currently, K-dramas on Netflix are dubbed and subbed in over 30 languages, including English, German, French, Swedish, Hindi, Portuguese, and Bahasa Indonesia. The entertainment powerhouse announced earlier this year that it is investing $500 million in Korean content in 2021. Apple TV+ and Disney+ are following suit, with the former adding at least two of its original K-dramas, Dr. Brain and Pachinko, later this year, and the latter working with local producers to create more Korean content.
As K-dramas continue to attract audiences far and wide, will the increased globalization impact the way they’re made in the future? The popularity of American crime dramas like CSI in South Korea has seemingly led to similar fare, such as Stranger and Voice, both of which were huge successes with domestic audiences.
In a world where an increasing number of viewers are watching K-dramas, their tastes and preferences inform the type of content being made. “Young audiences now lead the trend of actively using different kinds of platforms to consume content,” says Sarah Kim, SVP of Content Business and Regional GM for Asia at Viki. “Because of this, networks and production studios are able to try new and refreshing material beyond romantic comedies and family dramas, as well as explore multiple ways to introduce it not only in Korea but also outside of Korea.”
We’re also starting to see more K-dramas being renewed for multiple seasons, much like American TV shows. “We call this the Netflix effect,” says Jin. “Many Koreans suddenly started to watch American dramas on Netflix and learned the season system.” According to McKay, the motivation to extend a show’s life is primarily financial: “It’s more cost-effective to continue a storyline versus beginning production on an entirely new show.”
We can probably expect to see more of these changes in the future. But perhaps it is the impressive ability of Korean pop culture to adapt and be shaped by outside influences that has given it the widespread popularity it enjoys today. While there are many different factors that have contributed to the rise of Korean pop culture all over the world, a common thread that runs through all facets of the Korean Wave is South Korea’s openness to learning from other cultures, successfully combining elements of the East and West to create something new with mass appeal. Even if the characters in a K-drama are conversing in a language you don’t understand, the production itself is often compelling enough to coax you into overcoming the “one-inch-tall barrier of subtitles,” as famously referenced by Korean filmmaker Bong Joon Ho. It also doesn’t hurt that each episode ends with a cliffhanger, leaving you wanting more. Happy bingeing!</t>
  </si>
  <si>
    <t>South korea’s film distribution market is in the midst of such rapid change that it’s likely to soon face a new chapter in its existence.
There are multiple factors behind this shakeup, not the least being the agreement between Disney and 21st Century Fox for the Walt Disney Co.’s $52.4 billion acquisition of 20th Century Fox. One result will probably be for the two studios’ Korean offices to be merged by this summer.
That will clearly impact the releasing patterns of their lineups. Also, according to the Korean Film Council’s annual report, the two companies together accounted for 15.9% of the total box office revenue in 2017, which exceeds CJ Entertainment’s 15%.
At the same time, traditional market leaders including CJ Entertainment and Next Entertainment World have been losing their grip. The KOFIC data shows that CJ Entertainment has been the top local distributor in the country since 2003. It remained on top last year, but the total number of admissions attracted by CJ releases has been decreasing since 2014. In 2017, CJ films eked out 33.27 million admissions — the lowest since 2008, the year when the KOFIC started counting admissions by distributor.
CJ’s two summer tentpole films, “The Battleship Island” and “The Fortress,” had weak scores last year and affected the company’s total admissions.
Distributor Next Entertainment World has tended to focus on blockbusters since the success of “Train to Busan” in 2016. Last year, however, the company’s most successful release, “The King,” only managed some 5.3 million admissions, followed by “Steel Rain,” which sold 4 million tickets.
Lotte Entertainment was the only Korean company that was on the upswing in 2017. The company’s biggest film last year was “Along With the Gods,” which crossed the 10 million admissions mark.
These performance patterns make it clear that mainstream Korean cinema is being reorganized.
While the number of films made on big budgets exceeding 10 billion won (about $9.34 million) doubled in 2017 from the previous year, those blockbusters’ rate of profit decreased. On the other hand, films with budgets between 3 and 5 billion won went into the black in 2017 and eased the impact of the decrease in the earnings rate of more expensive films. Sources say such improvement can lead to emergence of new non-conglomerate investors-distributors that can handle small- to mid-size pictures. Some are already gearing up to enter the market.
Celltrion Entertainment, an affiliate of biotechnology firm Celltrion, invested in Liam Neeson-starring “Operation Chromite” in 2016. As the film was fairly successful with a gross of $51.5 million, the company has buckled down in film business and recently invested in biographical drama “Uhm Bok-dong” (working title) starring singer-dancer-actor Jung Ji-hoon (a.k.a Rain). The company is already producing the film and will also self-distribute the title. Based on the life of Uhm Bok-dong, who became Korea’s pride as he defeated Japanese cyclists and won the championship in a race during the Japanese colonial era, the film is set for a theatrical release in the second half of 2018.
Huayi Bros. and vfx house Dexter Studios are also said to be joining the local distribution market. Per multiple sources, Dexter, which co-produced and invested in “Along With the Gods” and also signed partnership deal with China’s Alpha Pictures for the film’s distribution in China, will add local distribution to its business portfolio.
“It’s expected that the newcomers will positively affect the film industry in the long run,” says film market analyst Kim Hyung-ho. “Projects that conglomerates tend not to pick up can still reach audiences through those new, mid-size investors-distributors. Kidari Entertainment is a good example.”
Since it was established in 2014, Kidari has backed and distributed mid-size genre films such as “The Deal,” “The Tooth and the Nail” and “A Special Lady.” Its latest release, “The Vanished,” a Korean remake of 2012 Spanish film “The Body,” crossed the break-even point to achieve moderate success.
The rise of streaming services is another variable that may affect the dynamics of South Korea’s distribution market. Global streaming giant Netflix, which backed top Korean director Bong Joon-ho’s “Okja,” has recently expanded its Korean office, stating that it will invest as much as $8 billion in Korean originals.
YouTube is also rising fast. Recent research showed that Koreans spend twice as much time using YouTube as they do on Naver, South Korea’s leading online platform.
As internet streaming is gaining more importance in the distribution market, traditional theater distributor Lotte Cinema and Lotte Entertainment have announced that they will start their own OTT service, becoming the first investor-distributor-exhibitor to enter the online market.
Another leading internet company, Kakao, announced last year that it would also take a step into the film business.</t>
  </si>
  <si>
    <t>How did Asia’s No. 4 economy become No. 1 in Hollywood?
It’s as much a question for economists to chew over as pop culture junkies as South Korea’s Squid Game rules the entertainment world. And it’s no aberration considering Parasite won the best-picture Academy Award in 2020 and the runaway success of K-pop groups like BTS and Twice.
A decade ago, the “Korean Wave” strategy to turn cultural exports into GDP-boosting gold sounded nice. On President Moon Jae-in’s watch, it became a chart-topping reality. The tens of billions of dollars entertainment pumps into gross domestic product are playing a role in Korea’s recovery from Covid-19.
The Bank of Korea even raised interest rates recently, the first major monetary power to do so in the pandemic era. It makes for quite a sub-plot. Not only did Seoul handle Covid-19 well. It once again escaped almost certain disaster, just like some Hollywood action star. Korea also did that in 2008. It can do it again.
Yet lost in all the excitement and magic surrounding Korea’s entertainment boom is how little Moon is achieving off-stage.
From a macro standpoint, Korea is having a decent 2021, probably growing north of 4%. But Moon, remember, was elected in 2017 to rewrite the script for Korea’s growth model. His main narrative: to turn the economy on its head by championing “trickle-up growth.” The idea was to replace decades of top-down control by a handful of family-owned conglomerates.
Not to belabor the movie-industry metaphor, but Korea had a Marvel Cinematic Universe problem long before Hollywood was overrun by superhero sequels. That’s made it harder for smaller, scrappier, more innovative independent films to be made (legendary director Martin Scorsese has much to say here).
Korea’s economy has a similar problem. For years—decades, really—Korea found great success in sticking with the hits. The so-called “chaebols” with names like Samsung, Daewoo, Hyundai, LG and SK tower over all else. They hog the lion’s share of political cover, tax perks and the benefit of the doubt from anti-trust regulators asleep on the job.
Just as movie studios prioritize sure, but formulaic, hits — The Avengers, Spider-Man, etc.—Korea for too long gave short shrift to the small-to-midsize enterprises that could drive innovation and productivity gains. Sure, Korea boasts a more vibrant startup scene than aging, change-averse Japan. But that’s not saying much.
Moon’s predecessor Park Geun-hye took office in 2013 pledging to “democratize” growth. That meant altering tax dynamics in favor of startups and fostering a “creative economy” spirit among twentysomethings.
Sadly, Park saw the magnitude of the task and opted to stick with the family-run corporate behemoths. So much so that she was impeached—and now sits in jail—as part of a bribery scandal that also felled Samsung heir Lee Jae-yong.
Enter Moon to change the storyline. Since 2017, though, he put few notable reforms on the big screen. His team projected lots of ideas and happy talk. But there’s a reason why Korea’s millennials and Generation Z voters are so disillusioned.
Much has been made about how Squid Game really captures the economic zeitgeist. Its premise of highly indebted people playing deadly children’s games to win a fortune can feel, for many, too on the nose. Korea’s present is a scary mix of record household debt, stagnant wages and sky-high property prices.
Squid Game seems to riff off movies and TV shows of the past: The Hunger Games, Arnold Schwarzenegger’s 1987 film The Running Man, Japan’s recent Alice in Borderland series. But timing is everything, and Netflix’s big hit comes just as Korean media buzzes about the “MZ generation” of millennials and Gen Zers facing an uncertain future.
This is the problem that the last few presidents failed to address. Moon’s term is up in March 2022. Will Korea’s next leader take office ready to alter business as usual in an economy leaving all too many behind?
Here’s where the the excitement over Korea’s cultural export boom risks distracting Seoul from the bigger picture. It’s great that Korean TV shows, movies and music are spanning the globe. It’s a wonderful thing, indeed.
Let’s just not exaggerate the broader impact. The value of Korea’s entertainment-related exports–including games, movies, music, publishing and TV shows—jumped 6.3% last year.
For all the glitz and action, though, the content industry is dwarfed by the vast manufacturing sector. “Content” exports were less than $11 billion in 2020. That’s about one-tenth the business computer chips do. True, entertainment rivals Korea’s cosmetics business and household appliances. Neither sector, though, is as fickle or hit-or-miss as pop culture exports.
Trouble is, Korea isn’t doing nearly enough to raise its semiconductor game. Nor is it ensuring the manufacturing sector keeps pace with Beijing’s “Made in China 2025” extravaganza. Seoul must produce some big hits of its own, reform-wise, so that Korea finds a better, broader economic groove.
Tempting as it might be, Korea’s leaders mustn’t assume the global popularity of Squid Game or K-pop girl group Blackpink will translate into bigger success. Doing so would be sure to a produce an unhappy ending for 50 million people.</t>
  </si>
  <si>
    <t>At this year’s Oscars, Chloé Zhao became the first woman of colour to win the award for best director for Nomadland. Youn Yuh-jung also became the first Korean actress to win an Oscar for her role in Minari.
After decades of being excluded from, and stereotyped by Hollywood, East Asians are finally being recognized in the film industry. This degree of recognition is a cause for celebration, but there is still a long way to go.
For decades, the predominantly white western film industry has confined Asian actors to stereotypical roles and even cast white actors to play Asian characters. But the recent success of Asians in the film industry begins to open the door to more prominent Asian roles in this field.
A new Korean wave is helping to significantly break down barriers and deconstruct the representation of Asians in western media.
The power of representation
I grew up watching Hollywood cinema in South Korea and was especially fond of Katharine Hepburn. Her role in the 1944 film Dragon Seed left a lasting impression.
In the movie, Hepburn plays a Chinese woman with awkward makeup. When I first saw the film I was only eight years old and had never been to China, but I knew what a Chinese person looked like and it was not that. I wondered whether this casting choice was because there were no Asians in America, or because Asian women weren’t as pretty as Hepburn. I was gaslighted into believing Asian women couldn’t be the central character because we aren’t attractive.
Despite almost 50 years of Canadian multiculturalism, Asian people are still facing discrimination and stereotyping around being a model minority.
With the rise in anti-Asian racism during the pandemic and recent violent attacks in the United States and Canada, Asian people are increasingly becoming fearful about their place in North American society.
As a Korean language instructor at Carleton University, my classes are made up of students from multiple cultural and ethnic backgrounds. During one of my classes, I decided to show a music video by the K-pop band BTS to engage students in contemporary Korean culture.
After playing DNA by BTS, I was surprised to see how it was able to break down cultural and language barriers. Students who had not yet spoken began chatting like they had known each other for a long time. Research shows that music brings people together.
East Asian students continue to see the accomplishments of K-pop artists as their own. One of my students, a second-generation immigrant from Vietnam said: “I feel indebted to BTS. I am wounded because I am underrepresented in a society where I should belong, but I feel healed by them.”
In the long history of Western pop-culture, non-western cultures have too often been portrayed as tacky subcultures or disparaged racial minorities. The rise of K-pop is helping reset these stereotypes and, within Asian communities in North America, has become a remedy for those who are perpetually made to feel like foreigners in their own country.
The Korean wave
From BTS to video game competitions and the noteworthy 2016 K-drama, Goblin, the Korean wave is taking western audiences by storm.
Netflix is planning to invest $500 million this year in South Korean films and TV series. Korean movies and dramas like Parasite, Train to Busan and the 2006 cult classic The Host have received critical acclaim globally and in North America.
Korean dramas consistently provide solid performances through impeccable storytelling. One example is the Korean drama Kingdom, Netflix’s first original Korean series.
Kingdom is more than just a cliché zombie show. With its spectacular landscapes and complex characters, Kingdom holds its own in the competitive streaming space. This challenges the sentiment that mainstream content with Asian actors as leads is inferior.
The influx of Korean content can do a great deal to reduce racist attitudes and alter perceptions of East Asians by normalizing the presence of Asian people on screen, in magazines, on the radio and in broader society.
As a Korean, I feel fulfilled when I watch series and films filled with faces like mine, portraying complex characters and telling stories not restricted by Western stereotypes.
There are still major hurdles to overcome that prevent Asians from getting into the mainstream. However, Korean content is a powerful way of providing healthy Asian representation and transcending racist stereotypes.</t>
  </si>
  <si>
    <t>The Busan International Film Festival kicked off in South Korea’s bustling southern port city Wednesday night with the world premiere of Heaven: To the Land of Happiness from veteran director Im Sang-soo (The Housemaid).
Despite a smaller scale (with theaters at 50 percent capacity) and a mask mandate for all visitors, about 1,200 audience members filled the seats of the outdoor theater of the Busan Cinema Center, the festival’s main screening venue. The event was hosted by South Korean stars Song Joong-ki (Vincenzo) and Park So-dam (Parasite), giving the country its first red carpet ceremony since the coronavirus pandemic began.
A range of local and international film professionals were on hand for the celebrations, including Oscar winner Bong Joon Ho and his Parasite star Park, French auteur Leos Carax (Holy Motors, Annette) and rising Japanese art house director Ryusuke Hamaguchi (Wheel of Fortune and Fantasy, Drive My Car).
“I was really homesick and missed this moment,” said veteran Korean actor Choi Min-shik (Old Boy), lead of the opening film, on opening night. “What more can I say?”
Heaven: To the Land of Happiness was included in the selection of the aborted 2020 Cannes Film Festival and had to wait until this moment in Busan to finally premiere. The film is a road movie about two men — a prisoner known by his inmate number “203” and Nam-sik, suffering from terminal brain cancer — who happen to get their hands on a large amount of money and search for their last moments of happiness.
On opening night, the festival gave its Asian Filmmaker of the Year award to director Im Kwon-taek (Seopyeonje), one of Korea’s most renowned and prolific directors. The prize is presented each year to an Asian film artist or organization that has made significant contribution to Asian film industry and culture. Director Im Sang-soo presented the filmmaker with his trophy, while Bong was on hand to give him a bouquet of flowers.
“I made my debut film in the early ’60s and shot over 100 films so far,” said Im from the stage. “But I still haven’t made a film that feels complete. Now that I’m older, I think that there might not be an opportunity for me to shoot such a film. Still, I am so happy that I have lived my life making movies that I have loved so much.”
This year’s Busan festival will screen 223 films, about 70 percent of the usual program from the pre-pandemic period. But the event has tried to add festive elements. Aside from a red carpet ceremony, there will be “Open Talk” events between directors and audiences, a hand-printing ceremony and a Q&amp;A session with actors. As a satellite event, the organizers have also installed screens in neighborhoods throughout the city to screens festival titles for the movie-loving public.
It’s also evident that Busan is trying to embrace the industry’s expanding platforms and balance its weight between art house films and commercial content. This year, the festival added a new program called “On Screen,” which features new drama series from streaming platforms such as Hellbound, director Yeon Sang-ho’s Netflix original series, and Forbidden, an original series from HBO Asia. Busan’s film market, which was originally known as the “Asian Film Market,” also changed its name to Asian Contents and Film Market in 2019 as a way of including content that are distributed through non-traditional platforms, such as streaming services.
The recent leadership changes at the event – both the festival and market director are new to their roles this year — will also shed light on the creative direction of Busan’s future. Busan suffered a major political strife with the government in 2014, when it refused to cancel the screening of the controversial documentary Diving Bell, which delves into the failed rescue of the Sewol Ferry, which sank and killed 250 Korean school children and ultimately led to former President Park Geun-hye’s impeachment in 2017. As a result of the conflict, many in leadership roles were forced to leave the festival and Busan’s budget was slashed significantly. That wound from Busan’s recent past remains in the minds of many at the top of the festival leadership and in the local government.
Heo Moon-young, Busan’s newly appointed festival director, said in an interview with The Hollywood Reporter, that he feels “the view of the festival was more friendly and warm” when he was a festival programmer in early 2000s. “Now people seem more cold and strict. You could say that it’s a natural transition, but I think these are the barriers we need to overcome.”
In an interview with a Korean press, Park Hyeong-joon, the new mayor of Busan, seemed clearly aware of the impact of the government’s interference on the festival’s reputation, and said, “Film festivals should not be swayed politically.” On Wednesday, Park, who attended the opening-night event, said: “As an avid fan of BIFF, I watched what was happening to the festival over the years and cheered [for its success]. Now as mayor, I will spare no effort to support the festival for it to become the center of world cinema.”
The Busan International Film Festival runs Oct. 6-15, closing with Anita, Hong Kong director Longmond Leung’s biopic about Cantopop star Anita Mui.</t>
  </si>
  <si>
    <r>
      <t>C</t>
    </r>
    <r>
      <rPr>
        <b/>
        <sz val="10"/>
        <color theme="1"/>
        <rFont val="Arial"/>
        <family val="2"/>
      </rPr>
      <t>ontents</t>
    </r>
    <phoneticPr fontId="5" type="noConversion"/>
  </si>
  <si>
    <t>A few months ago, I analyzed how Hollywood has been coerced into propagandizing a rosy interpretation of our Middle Eastern wars. 
Today I’ll be looking at how Hollywood has failed to recognize civilizations’ greatest threat: climate change.
If the current rate of global warming continues until 2030, the planet will suffer from irreversible ecosystem damage and significant sea-level rise. Hollywood needs to step up to the challenge using its vast  viewership to start conveying the urgency of the climate situation. 
Natural disasters are common in blockbusters, yet they almost always occur due to something unrelated to human activity. In “San Andreas,” a large earthquake causes all sorts of natural crises forcing Raymond “Ray” Gains, played by The Rock, to go into action and save his family. Or “2012,” where it’s revealed the Earth has an expiration date in the year of 2012, when a series of natural catastrophes will destroy humanity. While there are a multitude of films within this genre, movies about humans’ effects on the planet are few and far between.
Movies about humans destroying the planet are just a bummer. Who would pay money to see a movie about how you, the moviegoer, are actively causing extreme danger to humanity? Movies about climate change turn the antagonist from some fictional character or disaster to the audience. Whereas in movies about fictional tornadoes or tsunamis, you get a very traditional Hollywood setup: a man, against all odds, saves the ones he loves most and learns some fortune cookie wisdom from it. There’s very little incentive to buck the trend when studios roll out a box office hit over and over. 
In the documentary world, however, climate change is a common subject. Former Vice President Al Gore’s An Inconvenient Truth, the 22nd highest-grossing documentary ever, harshly presents the dangers of continued climate inactivity, chilling the viewer to their stomach. But documentaries, in general, are viewed by a more niche population. No documentary rivals the box office success of a successful major motion picture. At its core, documentaries are seen to challenge or educate — while movies are more for entertainment.
Unwillingness to approach sustainability is not a worldwide trend. Specifically, filmmakers in Japan and South Korea embrace the subject into their styles. In Japan, Studio Ghibli has long told heartfelt metaphorical stories with deep environmental undertones. A powerful example is “Spirited Away,” where a massive sludge comes in to take a bath. Everyone mocks the creature, but once the film’s protagonist pulls out an object from the creature’s side, a sea of human trash piles out, revealing the creature was a river spirit bogged down with human waste. Studio Ghibli’s movies are blunt yet powerful in how they personify humans’ effect on nature. In South Korea, writer and director Bong Joon Ho — creator of best picture winning “Parasite” — beats at the same drum. His movies “Mother,” “Okja” and “The Host” all have environmental undertones. 
Ho and Ghibli provide a framework for how Hollywood can approach the climate issue. First off, they are not making movies explicitly about climate change. Their movies challenge the viewer to think about their actions and spawn discussion regarding human’s relationship with the world. 
Ho had a quote in a recent interview with Shem Bitterman that perfectly encapsulates how Hollywood needs to go forward with sustainable storytelling. 
“I firmly believe that the film itself should be beautiful as it is,” Ho said. “There is absolutely no need to make it into ‘propaganda’ which attempts to sway the media or to instigate the public, or even to change society. It is my opinion that it would be best to pursue the beauty of the film itself and to have the message steeped within it naturally.”
Ho is right, filmmakers should be conscious and honest in the world around them by incorporating themes of climate change. It would be detrimental if Hollywood started pumping out movies directly condemning people for driving. Just like it’s damaging for Hollywood to come out with movies unfairly aggrandizing the military. Then the industry swerves into strategic communication, not art. Art is not about telling people how to think but rather getting them to think. Hollywood needs to start thinking again. 
To inspire action, movies need hope. Disney Producer Roy Conli — Tangled, Big Hero 6, Penguins — spoke to this in a recent interview.
“Oftentimes in the climate discussion, the only power one has is to individually step up and stop the un-sustainability issues in their own lives…,” Conli said. “I think you have to leave an audience with a sense of hope, otherwise, people walk away despondent and won’t act. The kind of storytelling that works the best is a call to action.”
While honesty is essential, it’s also important to show promise for the future. Climate movies should be about people using sustainability to overcome adversity so the viewer feels like they can as well. Many issues surrounding climate change seem daunting, but if the film industry focuses on how individuals can make a difference, the audience will be empowered. 
Filmmakers are not documenters. It’s not about jamming in climate facts, but using narrative structure to be honest about how humans affect the planet. Learning a few lessons from Ho and Ghibli can help relieve the stigma surrounding climate-based movies and lead us to honest — and still commercially successful — Hollywood. Inspiring people with hope is necessary to prevent people from closing themselves off. America has the largest film industry in the world. It’s time we set an example with sustainable storytelling.</t>
    <phoneticPr fontId="5" type="noConversion"/>
  </si>
  <si>
    <t>Ammbr Limited is excited to announce a world first for an Indian film releasing a series of NFT as part of the promotion leading up to its release.
ABU DHABI, ABU DHABI, UNITED ARAB EMIRATES, October 20, 2021 /EINPresswire.com/ -- Ammbr Limited is excited to announce a world first for an Indian film releasing a series of NFT as part of the promotion leading up to its release.
In conjunction with co-producers, Wayfarer Films and M-Star Entertainments, Ammbr is conducting the exclusive NFT launch for Kurup, the new blockbuster starring multiple award-winning cast and crew. The cast mainly consist of Dulquer Salmaan, Indrajith Sukumaran, Sunny Wayne, Shine Tom Chacko, Sobhita Dhulipala, Anupama Parameswaran , Shivajith Padmanaban and various other memberswho are yet to be revealed.
The Indian Movie Industry is the largest in the world churning out over 2,600 movies each year. Kurup is a Mollywood movie, a product of the film industry of Kerala in south India, a major film and entertainment ecosystem. Indian movies grossed over $3 Billion in 2019, and have been very successful across streaming platforms, especially post-COVID.
“The market for NFTs is growing rapidly in India, and we are experiencing a massive surge of interest across multiple categories of tokenised assets,” says Rakesh Rajagopal, Founder and Chief Strategy Officer for Ammbr Group. “Achieving this coup of the first NFT for the Indian film industry with a Mollywood movie is a personal victory for me as I grew up in Kerala.”
The film, though fictional, is inspired by the story of one of the longest wanted criminals in India, Sukumara Kurup. He was accused of murdering Chacko, a man of similar appearance, falsifying his own death and claiming the insurance money.
Directed by Srinath Rajendran, Kurup and its stellar ensemble cast was scripted by KS Aravind and Daniel Sayooj Nair, from a story by Jithin K Jose.
Dulquer Salmaan and Srinath Rajendran began their collaboration with their debut film in 2012, Second Show, which launched not only the career of the famed director, but also several fellow actors.
After five years of research, Dulquer Salmaan announced the title of the film Kurup through social media in 2018. The film will be released soon in Malayalam along with dubbed versions in Tamil, Telugu, Hindi and Kannada. This means virtually every Indian in the country and abroad can enjoy Kurup.
The entire production process took six months with the shoot alone taking up 125 days. Filming locations include Kerala, Mumbai, UAE, Mangalore, Mysore, and Ahmedabad.
M-Star Entertainments director Anish Mohan says, “I believe we are on the cusp of great things with the enormous potential of Indian movies and the creative industry in general. The fan base is huge and fanatically loyal. Up to now they have not had the opportunity to access NFT collectables from their movie idols.”
Ammbr’s Finance Director, Manoj Cherooparambil believes the technology is a great enabler. “NFT and blockchain technology ensures that there will not be a problem with fake goods, and the NFTs can be easily traded at market driven prices.”
“The tokenisation of collectables is just the start,” says Group CEO and founder of Ammbr, Derick Smith. “We are building capacity for tokenisation of physical assets and rights across a range of industries because we see NFT as a highly disruptive technology that will change capital markets and trade in the coming years.”
Three types of NFT are to be released prior to the movie’s launch in cinemas across India.
1. A Unique NFT including a Videoclip in Mp4 format (HD) with embedded music, the digital artwork, and a printed poster of Kurup, signed by the lead actor Dulquer Salmaan and director Sreenath Rajendran
2. A series of ten NFT including an animated GIF version of the artwork with no music which will entitle their buyers to a copy of the signed poster each
3. A series of 100 static high resolution digital art version of the NFT, will not entitle buyers to a poster
Kurup NFTs will be released in the last week of October 2021 on the Ammbr NFT Marketplace for BUSD, a USD pegged stablecoin on the Binance Smart Chain (BSC) network. The Ammbr NFT marketplace is the world’s first to use a stablecoin for transactions.
nft.ammbr.finance
About Wayfarer Films
Wayfarer films is a production and distribution company established by Dulquer Salmaan himself, with the vision of bringing new entertainment industry talent into the limelight. Since the incoporation of the company in 2019 they have rolled out multiple projects of different scale and are well positioned for huge growth.
About M-Star Entertainments
M-Star Entertainments is a fully owned subsidiary of Indel Corporation Pvt Ltd, which is diversified into various sectors such as banking, automotive, and hospitality. M-Star Entertainments is the group media entity that produces content of various formats for a variety of platforms. M-Star Entertainments’ strategy is forming fruitful partnerships to cater to the ever growing demands of customers in the entertainment industry.
About Ammbr
Ammbr is an Abu Dhabi based decentralised technology company that develops and operates one of the leading tokenisation platforms that will forever change the way owners and creators of physical, intellectual, and digital assets conceive of ownership, trading, and interaction.
Ammbr Group is headquartered in the United Arab Emirates, with operations in the United States, Hong Kong, India, South Africa, and Madagascar. It builds digital platforms, with a particular focus on decentralised systems.</t>
    <phoneticPr fontId="5" type="noConversion"/>
  </si>
  <si>
    <t>In some good news for the Indian film business, key overseas territories such as the US, UK and UAE are opening up as covid-19 infections recede in those regions. While the first beneficiary of this could be Salman Khan’s Radhe releasing next week, Telugu court room drama Vakeel Saab made over Rs3 crore on its opening day in the US and performed well in Australia and New Zealand.
In 2019, international markets contributed around 15% to overall Indian film industry revenue, according to a recent Ficci EY report. Before theatres had shut down in India due to the recent second wave of covid-19 infections, Tamil film Karnan made A$79,433 ( ₹45.25 lakh), NZ$ 11,310 (Rs5.94 lakh) and S$ 90,871 (Rs50.62 lakh) in Australia, New Zealand and Singapore respectively within the first two days.
TRENDING STORIES
550% gain in 2.5 years: This multibagger specialty chemical s...PREMIUM
550% gain in 2.5 years: This multibagger specialty chemical s...
Anand Rathi Wealth IPO: GMP, share allotment, listing date de...
Anand Rathi Wealth IPO: GMP, share allotment, listing date de...
CEO fires over 900 employees on Zoom call, says 'this is the ...
CEO fires over 900 employees on Zoom call, says 'this is the ...
Omicron: Over 100 foreign returnees ‘go missing’ in this Maha...
Omicron: Over 100 foreign returnees ‘go missing’ in this Maha...
Earlier this year, Tamil film Master released for Pongal had generated around $4.75 million (Rs34 crore) internationally in its opening weekend.
“That overseas markets such as the US and UK have pretty much opened is a positive sign for the Indian film business though things continue to be difficult here in India," film producer, trade and exhibition expert Girish Johar said.
While box office figures in these territories are not comparable with pre-covid days, it is still a good start, Johar added, aided by the fact that mainstream commercial entertainers across languages have always done well in countries such as the US, UAE and Malaysia, where a sizeable Indian diaspora resides.
Hollywood, too, seems committed to stage a comeback to theatres, Johar said, with Marvel having announced dates for its next 10 movies earlier this week. While its superhero flick Black Widow is scheduled for 9 July, Shang-Chi and the Legend of the Ten Rings will open on 3 September.
Late last month, the box office in the US saw its best weekend since the pandemic started as it crossed the $50 million mark for the first time in over a year with Mortal Kombat and Japanese film Demon Slayer The Movie - Mugen Train. A trade expert who did not wish to be named said the absence of Bollywood fare soon after theatres reopen may allow better showcasing for big Hollywood titles that anyway have wide appeal thanks to dubbed versions.
“The US market is seemingly on the mend and with bigger films lined up in the second half of the year, numbers should be closer to what they were before the pandemic," a blog by trade website Box Office India on the country’s box office said.
MINT PREMIUMSee All
Indian share markets have opened on a strong note, following the trend on SGX Nifty.PREMIUM
Sensex Jumps 550 Points, Nifty Above 17,000; Metal &amp; ...
A majority of stocks, largecap, midcap, smallcap, or microcap, have delivered excellent returns.PREMIUM
6 Penny Stocks that Rallied 1,000%+ in One Year
Photo: BloombergPREMIUM
Electric vehicles are cool; what about insuring them?
Photo: MintPREMIUM
The shadow of Form 483 over Dr Reddy's stock
Independent trade expert Sreedhar Pillai said the movie industry is keenly awaiting the feedback to Salman Khan’s Radhe that will release in cinemas overseas and on pay-per-view service ZeePlex next week to see if the model can be implemented for other films. The fact that most theatres in India remain shut has not deterred distributor Zee Studios which claims to release the film in 40 countries across international territories including West Asia, North America, Australia, New Zealand, Singapore and Europe.
Regardless of language, trade experts say mass-market commercial films made for the big screen are likely to draw audiences in the coming months.
“All the diaspora is waiting for right now is a big entertainer," Johar said.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</si>
</sst>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sz val="10"/>
      <color theme="1"/>
      <name val="Arial"/>
    </font>
    <font>
      <b/>
      <sz val="10"/>
      <color theme="1"/>
      <name val="Arial"/>
    </font>
    <font>
      <u/>
      <sz val="10"/>
      <color rgb="FF0000FF"/>
      <name val="Arial"/>
    </font>
    <font>
      <u/>
      <sz val="10"/>
      <color rgb="FF0000FF"/>
      <name val="Arial"/>
    </font>
    <font>
      <sz val="8"/>
      <name val="돋움"/>
      <family val="3"/>
      <charset val="129"/>
    </font>
    <font>
      <b/>
      <sz val="10"/>
      <color theme="1"/>
      <name val="Arial"/>
      <family val="2"/>
    </font>
    <font>
      <sz val="10"/>
      <color theme="1"/>
      <name val="Arial"/>
      <family val="2"/>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vertical="center" wrapText="1"/>
    </xf>
    <xf numFmtId="0" fontId="2" fillId="2" borderId="0" xfId="0" applyFont="1" applyFill="1" applyAlignment="1">
      <alignment vertical="center" wrapText="1"/>
    </xf>
    <xf numFmtId="0" fontId="3" fillId="0" borderId="0" xfId="0" applyFont="1" applyAlignment="1">
      <alignment vertical="center" wrapText="1"/>
    </xf>
    <xf numFmtId="0" fontId="6" fillId="2" borderId="0" xfId="0" applyFont="1" applyFill="1" applyAlignment="1">
      <alignment vertical="center" wrapText="1"/>
    </xf>
    <xf numFmtId="0" fontId="0" fillId="0" borderId="0" xfId="0" applyFont="1" applyAlignment="1">
      <alignment wrapText="1"/>
    </xf>
    <xf numFmtId="0" fontId="2" fillId="0" borderId="0" xfId="0" applyFont="1" applyFill="1" applyAlignment="1">
      <alignment vertical="center" wrapText="1"/>
    </xf>
    <xf numFmtId="0" fontId="6" fillId="0" borderId="0" xfId="0" applyFont="1" applyFill="1" applyAlignment="1">
      <alignment vertical="center" wrapText="1"/>
    </xf>
    <xf numFmtId="0" fontId="0" fillId="0" borderId="0" xfId="0" applyFont="1" applyFill="1" applyAlignment="1"/>
    <xf numFmtId="0" fontId="1" fillId="0" borderId="0" xfId="0" applyFont="1" applyFill="1" applyAlignment="1">
      <alignment vertical="center" wrapText="1"/>
    </xf>
    <xf numFmtId="0" fontId="3" fillId="0" borderId="0" xfId="0" applyFont="1" applyFill="1" applyAlignment="1">
      <alignment vertical="center" wrapText="1"/>
    </xf>
    <xf numFmtId="0" fontId="1" fillId="0" borderId="0" xfId="0" applyFont="1" applyFill="1" applyAlignment="1">
      <alignment wrapText="1"/>
    </xf>
    <xf numFmtId="0" fontId="4" fillId="0" borderId="0" xfId="0" applyFont="1" applyFill="1" applyAlignment="1">
      <alignment vertical="center" wrapText="1"/>
    </xf>
    <xf numFmtId="0" fontId="7" fillId="0" borderId="0" xfId="0" applyFont="1" applyFill="1" applyAlignment="1">
      <alignment wrapText="1"/>
    </xf>
    <xf numFmtId="0" fontId="0" fillId="0" borderId="0" xfId="0" applyFont="1" applyFill="1" applyAlignment="1">
      <alignment wrapText="1"/>
    </xf>
    <xf numFmtId="0" fontId="7" fillId="0" borderId="0" xfId="0" applyFont="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imesofindia.indiatimes.com/entertainment/tamil/movies/news/vijay-completes-29-years-in-films-fans-wish-thalapathy/articleshow/88092020.cms" TargetMode="External"/><Relationship Id="rId18" Type="http://schemas.openxmlformats.org/officeDocument/2006/relationships/hyperlink" Target="https://www.hollywoodreporter.com/business/business-news/bollywood-dealing-with-covid-crisis-1234950526/" TargetMode="External"/><Relationship Id="rId26" Type="http://schemas.openxmlformats.org/officeDocument/2006/relationships/hyperlink" Target="https://www.wionews.com/entertainment/bollywood/news-chhorii-director-to-wion-weve-made-frivolous-attempts-at-horror-in-past-but-things-are-changing-433244" TargetMode="External"/><Relationship Id="rId39" Type="http://schemas.openxmlformats.org/officeDocument/2006/relationships/hyperlink" Target="https://variety.com/2021/biz/news/india-media-industry-report-2021-rrr-sooryavanshi-1234938646/" TargetMode="External"/><Relationship Id="rId21" Type="http://schemas.openxmlformats.org/officeDocument/2006/relationships/hyperlink" Target="https://timesofindia.indiatimes.com/city/bhopal/bhopals-movie-date-screening-of-indian-cinemas-finest-films-at-6-day-ekagra-festival/articleshow/87925914.cms" TargetMode="External"/><Relationship Id="rId34" Type="http://schemas.openxmlformats.org/officeDocument/2006/relationships/hyperlink" Target="https://www.firstpost.com/entertainment/indian-entertainment-industry-suffered-24-percent-overall-decline-in-revenue-in-2020-due-to-pandemic-report-states-9710421.html" TargetMode="External"/><Relationship Id="rId42" Type="http://schemas.openxmlformats.org/officeDocument/2006/relationships/hyperlink" Target="https://www.thehansindia.com/cinema/sandalwood/audience-ignore-omicron-threat-throng-to-watch-madagaja-718474" TargetMode="External"/><Relationship Id="rId47" Type="http://schemas.openxmlformats.org/officeDocument/2006/relationships/hyperlink" Target="https://kulturehub.com/most-expensive-bollywood-films-2021/" TargetMode="External"/><Relationship Id="rId50" Type="http://schemas.openxmlformats.org/officeDocument/2006/relationships/hyperlink" Target="https://www.business-standard.com/article/current-affairs/covid-ravaged-indian-cinema-s-plot-falters-will-take-years-to-pick-up-121042200007_1.html" TargetMode="External"/><Relationship Id="rId55" Type="http://schemas.openxmlformats.org/officeDocument/2006/relationships/hyperlink" Target="https://indianexpress.com/article/explained/explained-how-bellbottom-theatrical-release-has-set-the-ball-rolling-for-films-in-coming-months-7472466/" TargetMode="External"/><Relationship Id="rId7" Type="http://schemas.openxmlformats.org/officeDocument/2006/relationships/hyperlink" Target="https://www.livemint.com/industry/media/south-indian-stars-follow-bollywood-names-take-to-web-originals-11636617902409.html" TargetMode="External"/><Relationship Id="rId2" Type="http://schemas.openxmlformats.org/officeDocument/2006/relationships/hyperlink" Target="https://www.moneycontrol.com/news/trends/entertainment/omicron-strain-to-affect-film-business-indian-box-office-to-see-lag-in-recovery-7797671.html" TargetMode="External"/><Relationship Id="rId16" Type="http://schemas.openxmlformats.org/officeDocument/2006/relationships/hyperlink" Target="https://www.news18.com/news/movies/as-shekhar-kapur-turns-76-heres-looking-at-the-filmmakers-all-time-classics-4520435.html" TargetMode="External"/><Relationship Id="rId29" Type="http://schemas.openxmlformats.org/officeDocument/2006/relationships/hyperlink" Target="https://indianexpress.com/article/entertainment/bollywood/films-delayed-losses-mount-hindi-film-industry-stares-at-slump-worse-than-2020-7253076/" TargetMode="External"/><Relationship Id="rId11" Type="http://schemas.openxmlformats.org/officeDocument/2006/relationships/hyperlink" Target="https://www.rfi.fr/en/culture/20210801-covid-19-crisis-hits-india-s-booming-film-industry-hard-bollywood-culture-television-economy" TargetMode="External"/><Relationship Id="rId24" Type="http://schemas.openxmlformats.org/officeDocument/2006/relationships/hyperlink" Target="https://www.moneycontrol.com/news/trends/entertainment/indian-film-industry-may-see-70-drop-in-revenue-in-2021-as-lockdown-extends-in-many-states-6831971.html" TargetMode="External"/><Relationship Id="rId32" Type="http://schemas.openxmlformats.org/officeDocument/2006/relationships/hyperlink" Target="https://www.livemint.com/industry/media/regional-cinema-could-overtake-hindi-films-in-box-office-collections-this-year-11630398397114.html" TargetMode="External"/><Relationship Id="rId37" Type="http://schemas.openxmlformats.org/officeDocument/2006/relationships/hyperlink" Target="https://www.sundayguardianlive.com/culture/indian-cinema-north-south-divide" TargetMode="External"/><Relationship Id="rId40" Type="http://schemas.openxmlformats.org/officeDocument/2006/relationships/hyperlink" Target="https://www.aljazeera.com/economy/2020/5/1/coronavirus-india-film-industry-could-take-two-years-to-recover" TargetMode="External"/><Relationship Id="rId45" Type="http://schemas.openxmlformats.org/officeDocument/2006/relationships/hyperlink" Target="https://www.einnews.com/pr_news/554190290/kurup-the-first-indian-movie-nft-exclusively-on-ammbr-one-of-the-fastest-growing-nft-marketplaces" TargetMode="External"/><Relationship Id="rId53" Type="http://schemas.openxmlformats.org/officeDocument/2006/relationships/hyperlink" Target="https://www.bbc.co.uk/news/world-asia-india-59544599" TargetMode="External"/><Relationship Id="rId5" Type="http://schemas.openxmlformats.org/officeDocument/2006/relationships/hyperlink" Target="https://timesofindia.indiatimes.com/entertainment/hindi/bollywood/news/actor-siddharth-stop-persecuting-the-film-industry/articleshow/88074511.cms" TargetMode="External"/><Relationship Id="rId19" Type="http://schemas.openxmlformats.org/officeDocument/2006/relationships/hyperlink" Target="https://www.telegraphindia.com/my-kolkata/people/i-want-both-critical-and-commercial-success-shraddha-das/cid/1841899" TargetMode="External"/><Relationship Id="rId4" Type="http://schemas.openxmlformats.org/officeDocument/2006/relationships/hyperlink" Target="https://foreignpolicy.com/2021/11/27/modi-bollywood-crackdown-muslims-hindu-nationalism/" TargetMode="External"/><Relationship Id="rId9" Type="http://schemas.openxmlformats.org/officeDocument/2006/relationships/hyperlink" Target="https://timesofindia.indiatimes.com/entertainment/hindi/bollywood/news/bigstory-bollywood-tollywood-kollywood-which-is-the-biggest-film-industry-of-all/articleshow/86300561.cms" TargetMode="External"/><Relationship Id="rId14" Type="http://schemas.openxmlformats.org/officeDocument/2006/relationships/hyperlink" Target="https://www.dw.com/en/how-indias-covid-crisis-has-changed-bollywood/a-58291931" TargetMode="External"/><Relationship Id="rId22" Type="http://schemas.openxmlformats.org/officeDocument/2006/relationships/hyperlink" Target="https://www.livemint.com/industry/media/viacom18-studios-plans-return-to-big-ticket-films-11638784628242.html" TargetMode="External"/><Relationship Id="rId27" Type="http://schemas.openxmlformats.org/officeDocument/2006/relationships/hyperlink" Target="https://www.firstpost.com/entertainment/kartik-aaryan-on-dhamaka-success-im-more-confident-now-to-explore-content-driven-films-10188361.html" TargetMode="External"/><Relationship Id="rId30" Type="http://schemas.openxmlformats.org/officeDocument/2006/relationships/hyperlink" Target="https://www.moneycontrol.com/news/trends/entertainment/how-ott-saved-the-south-indian-film-industry-during-covid-7506431.html" TargetMode="External"/><Relationship Id="rId35" Type="http://schemas.openxmlformats.org/officeDocument/2006/relationships/hyperlink" Target="https://indianexpress.com/article/entertainment/telugu/pushpa-trailer-allu-arjun-fahadh-faasil-promise-an-epic-modern-day-battle-for-wealth-and-power-7659731/" TargetMode="External"/><Relationship Id="rId43" Type="http://schemas.openxmlformats.org/officeDocument/2006/relationships/hyperlink" Target="https://www.indiatoday.in/india-today-insight/story/covid-19-impact-malayalam-film-industry-in-trouble-1815648-2021-06-16" TargetMode="External"/><Relationship Id="rId48" Type="http://schemas.openxmlformats.org/officeDocument/2006/relationships/hyperlink" Target="https://www.livemint.com/industry/media/will-bollywood-s-bet-on-films-with-whopping-budgets-pay-off-11635239927111.html" TargetMode="External"/><Relationship Id="rId56" Type="http://schemas.openxmlformats.org/officeDocument/2006/relationships/hyperlink" Target="https://www.fairobserver.com/region/central_south_asia/franthiesco-ballerini-bollywood-news-oscars-academy-awards-indian-film-industry-india-news-19290/" TargetMode="External"/><Relationship Id="rId8" Type="http://schemas.openxmlformats.org/officeDocument/2006/relationships/hyperlink" Target="https://www.news-leader.com/story/news/2021/05/29/roll-the-film-covid-19-disrupts-the-movie-industry-in-the-u-s-and-india/7454951002/" TargetMode="External"/><Relationship Id="rId51" Type="http://schemas.openxmlformats.org/officeDocument/2006/relationships/hyperlink" Target="https://www.economist.com/books-and-arts/2021/02/25/the-siege-of-bollywood" TargetMode="External"/><Relationship Id="rId3" Type="http://schemas.openxmlformats.org/officeDocument/2006/relationships/hyperlink" Target="https://theprint.in/opinion/bollywood-has-miles-to-go-before-it-can-produce-kaala-asuran-karnan-or-even-a-jai-bhim/768579/" TargetMode="External"/><Relationship Id="rId12" Type="http://schemas.openxmlformats.org/officeDocument/2006/relationships/hyperlink" Target="https://www.hindustantimes.com/india-news/veteran-kannada-film-actor-s-shivaram-dies-at-83-to-get-state-funeral-101638644117956.html" TargetMode="External"/><Relationship Id="rId17" Type="http://schemas.openxmlformats.org/officeDocument/2006/relationships/hyperlink" Target="https://theprint.in/opinion/all-political-talk-in-india-is-obsessing-over-2024-the-real-deal-is-2025/777341/" TargetMode="External"/><Relationship Id="rId25" Type="http://schemas.openxmlformats.org/officeDocument/2006/relationships/hyperlink" Target="https://www.cbc.ca/news/canada/first-person-bollywood-anti-muslim-rhetoric-1.6243077" TargetMode="External"/><Relationship Id="rId33" Type="http://schemas.openxmlformats.org/officeDocument/2006/relationships/hyperlink" Target="https://www.forbesindia.com/article/12th-anniversary-special/future-of-entertainmentindustry-needs-fresh-ideas-and-confident-risktakers-to-bring-cinema-audiences-back-siddharth-roy-kapur/67883/1" TargetMode="External"/><Relationship Id="rId38" Type="http://schemas.openxmlformats.org/officeDocument/2006/relationships/hyperlink" Target="https://www.livemint.com/industry/media/overseas-markets-bring-hope-for-ailing-indian-film-industry-11620376671351.html" TargetMode="External"/><Relationship Id="rId46" Type="http://schemas.openxmlformats.org/officeDocument/2006/relationships/hyperlink" Target="https://www.livemint.com/industry/media/southern-film-industry-lost-rs-1-000-crore-during-covid-11625562104613.html" TargetMode="External"/><Relationship Id="rId20" Type="http://schemas.openxmlformats.org/officeDocument/2006/relationships/hyperlink" Target="https://www.business-standard.com/podcast/current-affairs/film-industry-set-to-take-off-after-pandemic-pause-100-movies-in-4-months-121101401301_1.html" TargetMode="External"/><Relationship Id="rId41" Type="http://schemas.openxmlformats.org/officeDocument/2006/relationships/hyperlink" Target="https://www.newsgram.com/indian-film-industry" TargetMode="External"/><Relationship Id="rId54" Type="http://schemas.openxmlformats.org/officeDocument/2006/relationships/hyperlink" Target="https://www.firstpost.com/entertainment/how-south-indian-cinema-is-boosting-theatrical-business-post-covid-19-with-pan-indian-projects-9337621.html" TargetMode="External"/><Relationship Id="rId1" Type="http://schemas.openxmlformats.org/officeDocument/2006/relationships/hyperlink" Target="https://www.wionews.com/opinions-blogs/indian-cinema-is-not-just-hindi-cinema-as-language-barrier-comes-down-southern-movies-are-ready-to-dominate-433437" TargetMode="External"/><Relationship Id="rId6" Type="http://schemas.openxmlformats.org/officeDocument/2006/relationships/hyperlink" Target="https://www.washingtonpost.com/opinions/2021/11/15/why-an-indian-films-success-box-office-should-worry-us-all/" TargetMode="External"/><Relationship Id="rId15" Type="http://schemas.openxmlformats.org/officeDocument/2006/relationships/hyperlink" Target="https://www.aljazeera.com/news/2021/11/5/india-cinema-bollywood-covid-new-releases-theatres" TargetMode="External"/><Relationship Id="rId23" Type="http://schemas.openxmlformats.org/officeDocument/2006/relationships/hyperlink" Target="https://www.hindustantimes.com/india-news/cinema-halls-can-t-sell-movie-tickets-under-new-andhra-law-only-govt-can-101637761163871.html" TargetMode="External"/><Relationship Id="rId28" Type="http://schemas.openxmlformats.org/officeDocument/2006/relationships/hyperlink" Target="https://www.theatlantic.com/magazine/archive/2021/07/can-bollywood-survive-modi/619008/" TargetMode="External"/><Relationship Id="rId36" Type="http://schemas.openxmlformats.org/officeDocument/2006/relationships/hyperlink" Target="https://www.businessinsider.in/advertising/media/article/immune-to-ott-the-future-of-indian-cinema/articleshow/83031089.cms" TargetMode="External"/><Relationship Id="rId49" Type="http://schemas.openxmlformats.org/officeDocument/2006/relationships/hyperlink" Target="https://www.theguardian.com/film/2021/jul/01/malayalam-cinema-covid-bollywood" TargetMode="External"/><Relationship Id="rId57" Type="http://schemas.openxmlformats.org/officeDocument/2006/relationships/hyperlink" Target="https://www.moneycontrol.com/news/trends/entertainment/down-with-covid-19-film-industry-eyes-release-of-two-bollywood-films-for-revival-7342591.html" TargetMode="External"/><Relationship Id="rId10" Type="http://schemas.openxmlformats.org/officeDocument/2006/relationships/hyperlink" Target="https://fortune.com/2021/08/13/bollywood-india-covid-cinema-lockdown-film-industry-big-screen/" TargetMode="External"/><Relationship Id="rId31" Type="http://schemas.openxmlformats.org/officeDocument/2006/relationships/hyperlink" Target="https://english.mathrubhumi.com/movies-music/movie-news/after-kurup-i-developed-a-deep-connection-with-kerala-sobhita-dhulipala-malayalam-film-industry-1.6192746" TargetMode="External"/><Relationship Id="rId44" Type="http://schemas.openxmlformats.org/officeDocument/2006/relationships/hyperlink" Target="https://www.indiatoday.in/movies/regional-cinema/story/kannada-film-industry-to-celebrate-puneeth-rajkumar-with-a-special-event-on-nov-16-1876551-2021-11-14" TargetMode="External"/><Relationship Id="rId52" Type="http://schemas.openxmlformats.org/officeDocument/2006/relationships/hyperlink" Target="https://www.livemint.com/news/small-regional-film-industries-set-for-a-dark-future-as-losses-mount-11621751845279.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ityspidey.com/news/14382/impact-of-parasite-on-the-south-korean-film-industry" TargetMode="External"/><Relationship Id="rId18" Type="http://schemas.openxmlformats.org/officeDocument/2006/relationships/hyperlink" Target="https://en.yna.co.kr/view/AEN20210217009700315" TargetMode="External"/><Relationship Id="rId26" Type="http://schemas.openxmlformats.org/officeDocument/2006/relationships/hyperlink" Target="https://variety.com/2021/film/spotlight/south-korea-1235017313/" TargetMode="External"/><Relationship Id="rId39" Type="http://schemas.openxmlformats.org/officeDocument/2006/relationships/hyperlink" Target="http://koreabizwire.com/revenue-of-s-korean-film-industry-forecast-to-hit-record-low-in-2020/176904" TargetMode="External"/><Relationship Id="rId21" Type="http://schemas.openxmlformats.org/officeDocument/2006/relationships/hyperlink" Target="https://www.hollywoodinsider.com/south-korean-cinema-movies-history-parasite/" TargetMode="External"/><Relationship Id="rId34" Type="http://schemas.openxmlformats.org/officeDocument/2006/relationships/hyperlink" Target="https://variety.com/2020/film/asia/korean-film-industry-struggling-new-normal-social-distancing-1234643759/" TargetMode="External"/><Relationship Id="rId42" Type="http://schemas.openxmlformats.org/officeDocument/2006/relationships/hyperlink" Target="http://www.koreaherald.com/view.php?ud=20211024000206" TargetMode="External"/><Relationship Id="rId47" Type="http://schemas.openxmlformats.org/officeDocument/2006/relationships/hyperlink" Target="http://www.koreaherald.com/view.php?ud=20200812000909" TargetMode="External"/><Relationship Id="rId50" Type="http://schemas.openxmlformats.org/officeDocument/2006/relationships/hyperlink" Target="https://theconversation.com/an-oscar-for-parasite-the-global-rise-of-south-korean-film-128595" TargetMode="External"/><Relationship Id="rId55" Type="http://schemas.openxmlformats.org/officeDocument/2006/relationships/hyperlink" Target="https://variety.com/2018/biz/news/train-to-busan-kofic-1202801537-1202801537/" TargetMode="External"/><Relationship Id="rId7" Type="http://schemas.openxmlformats.org/officeDocument/2006/relationships/hyperlink" Target="https://themaneater.com/as-our-planet-reaches-its-boiling-point-hollywood-needs-to-step-up/" TargetMode="External"/><Relationship Id="rId2" Type="http://schemas.openxmlformats.org/officeDocument/2006/relationships/hyperlink" Target="https://www.globaltimes.cn/page/202112/1240699.shtml" TargetMode="External"/><Relationship Id="rId16" Type="http://schemas.openxmlformats.org/officeDocument/2006/relationships/hyperlink" Target="https://english.kyodonews.net/news/2020/12/bf539bd7715f-pandemic-creates-tough-times-for-s-korea-movie-industry.html" TargetMode="External"/><Relationship Id="rId29" Type="http://schemas.openxmlformats.org/officeDocument/2006/relationships/hyperlink" Target="http://www.koreaherald.com/view.php?ud=20210407000781" TargetMode="External"/><Relationship Id="rId11" Type="http://schemas.openxmlformats.org/officeDocument/2006/relationships/hyperlink" Target="https://www.nytimes.com/2021/11/19/business/media/endeavor-cj-enm.html" TargetMode="External"/><Relationship Id="rId24" Type="http://schemas.openxmlformats.org/officeDocument/2006/relationships/hyperlink" Target="https://www.amny.com/entertainment/more-minority-faces-in-film-tv-music-as-audiences-demand-diversity/" TargetMode="External"/><Relationship Id="rId32" Type="http://schemas.openxmlformats.org/officeDocument/2006/relationships/hyperlink" Target="https://www.prnewswire.com/news-releases/korean-cultural-center-new-york-and-the-korean-film-council-announces-the-actor-is-present-exhibition-highlighting-200-representative-korean-actors-of-today-301359844.html" TargetMode="External"/><Relationship Id="rId37" Type="http://schemas.openxmlformats.org/officeDocument/2006/relationships/hyperlink" Target="https://en.yna.co.kr/view/AEN20210423003700315" TargetMode="External"/><Relationship Id="rId40" Type="http://schemas.openxmlformats.org/officeDocument/2006/relationships/hyperlink" Target="https://www.tollywood.net/prabhas-to-not-romance-south-korean-actress-song-hye-kyo-in-spirit/" TargetMode="External"/><Relationship Id="rId45" Type="http://schemas.openxmlformats.org/officeDocument/2006/relationships/hyperlink" Target="http://www.koreaherald.com/view.php?ud=20210323001048" TargetMode="External"/><Relationship Id="rId53" Type="http://schemas.openxmlformats.org/officeDocument/2006/relationships/hyperlink" Target="https://www.screendaily.com/features/how-south-koreas-box-office-is-coming-back-from-the-dead/5151252.article" TargetMode="External"/><Relationship Id="rId58" Type="http://schemas.openxmlformats.org/officeDocument/2006/relationships/hyperlink" Target="https://www.hollywoodreporter.com/movies/movie-news/busan-film-festival-2021-open-bong-joon-ho-parasite-star-1235027080/" TargetMode="External"/><Relationship Id="rId5" Type="http://schemas.openxmlformats.org/officeDocument/2006/relationships/hyperlink" Target="https://fortune.com/2021/11/23/south-korea-culture-success-bts-kpop-netflix-kdrama-squid-game-ramon-pacheco-pardo/" TargetMode="External"/><Relationship Id="rId19" Type="http://schemas.openxmlformats.org/officeDocument/2006/relationships/hyperlink" Target="https://www.screendaily.com/news/bifan-forum-debates-post-covid-future-for-korean-film-industry/5161727.article" TargetMode="External"/><Relationship Id="rId4" Type="http://schemas.openxmlformats.org/officeDocument/2006/relationships/hyperlink" Target="https://www.hollywoodreporter.com/business/business-news/virus-deja-vu-omicron-has-hollywood-in-wait-and-see-mode-1235055261/" TargetMode="External"/><Relationship Id="rId9" Type="http://schemas.openxmlformats.org/officeDocument/2006/relationships/hyperlink" Target="https://variety.com/2021/film/asia/eternals-opening-at-korea-box-office-1235107117/" TargetMode="External"/><Relationship Id="rId14" Type="http://schemas.openxmlformats.org/officeDocument/2006/relationships/hyperlink" Target="https://www.arabnews.com/node/1979801" TargetMode="External"/><Relationship Id="rId22" Type="http://schemas.openxmlformats.org/officeDocument/2006/relationships/hyperlink" Target="https://www.newsweek.com/must-see-korean-films-guide-1619956" TargetMode="External"/><Relationship Id="rId27" Type="http://schemas.openxmlformats.org/officeDocument/2006/relationships/hyperlink" Target="https://www.hollywoodinsider.com/south-korean-cinema/" TargetMode="External"/><Relationship Id="rId30" Type="http://schemas.openxmlformats.org/officeDocument/2006/relationships/hyperlink" Target="https://www.hollywoodreporter.com/business/business-news/south-korea-unveils-coronavirus-support-film-industry-1288148/" TargetMode="External"/><Relationship Id="rId35" Type="http://schemas.openxmlformats.org/officeDocument/2006/relationships/hyperlink" Target="https://www.iowastatedaily.com/limelight/south-korean-cinmea-history-rise-bong-joon-ho-parasite/article_41a33cee-58dd-11ea-bc6f-6f24315bee03.html" TargetMode="External"/><Relationship Id="rId43" Type="http://schemas.openxmlformats.org/officeDocument/2006/relationships/hyperlink" Target="http://www.koreaherald.com/view.php?ud=20210707000930" TargetMode="External"/><Relationship Id="rId48" Type="http://schemas.openxmlformats.org/officeDocument/2006/relationships/hyperlink" Target="https://i-d.vice.com/en_uk/article/akdg4p/london-korean-film-festival-new-wave-of-female-directors-tackling-sexual-violence" TargetMode="External"/><Relationship Id="rId56" Type="http://schemas.openxmlformats.org/officeDocument/2006/relationships/hyperlink" Target="https://www.forbes.com/sites/williampesek/2021/10/22/south-koreas-squid-game-economy-could-end-badly/" TargetMode="External"/><Relationship Id="rId8" Type="http://schemas.openxmlformats.org/officeDocument/2006/relationships/hyperlink" Target="https://fordhamobserver.com/63495/arts-and-culture/the-new-hollywood-south-korean-cinema-is-refreshingly-original-and-genre-bending/" TargetMode="External"/><Relationship Id="rId51" Type="http://schemas.openxmlformats.org/officeDocument/2006/relationships/hyperlink" Target="https://www.hollywoodreporter.com/movies/movie-features/busan-international-film-festival-post-covid-market-1235011544/" TargetMode="External"/><Relationship Id="rId3" Type="http://schemas.openxmlformats.org/officeDocument/2006/relationships/hyperlink" Target="https://www.nytimes.com/2021/11/11/learning/lesson-plans/lesson-of-the-day-from-bts-to-squid-game-how-south-korea-became-a-cultural-juggernaut.html" TargetMode="External"/><Relationship Id="rId12" Type="http://schemas.openxmlformats.org/officeDocument/2006/relationships/hyperlink" Target="https://www.heraldchronicle.com/news/business/hollywood-innovations-group-new-lawsuit-accuses-netflix-of-weaponizing-latest-technology-to-steal-blockbuster-screenplay/article_c3071b80-55e2-59da-bb03-61007831a7c1.html" TargetMode="External"/><Relationship Id="rId17" Type="http://schemas.openxmlformats.org/officeDocument/2006/relationships/hyperlink" Target="https://www.screendaily.com/features/korean-cinema-professionals-assess-complex-pandemic-year/5158405.article" TargetMode="External"/><Relationship Id="rId25" Type="http://schemas.openxmlformats.org/officeDocument/2006/relationships/hyperlink" Target="https://www.donga.com/en/article/all/20211028/3012490/1" TargetMode="External"/><Relationship Id="rId33" Type="http://schemas.openxmlformats.org/officeDocument/2006/relationships/hyperlink" Target="https://en.yna.co.kr/view/AEN20210716005400315" TargetMode="External"/><Relationship Id="rId38" Type="http://schemas.openxmlformats.org/officeDocument/2006/relationships/hyperlink" Target="https://www.townandcountrymag.com/leisure/arts-and-culture/g35003897/best-korean-movies/" TargetMode="External"/><Relationship Id="rId46" Type="http://schemas.openxmlformats.org/officeDocument/2006/relationships/hyperlink" Target="https://www.voanews.com/a/covid-19-pandemic_south-korean-box-office-sales-slump-during-coronavirus-pandemic/6191112.html" TargetMode="External"/><Relationship Id="rId59" Type="http://schemas.openxmlformats.org/officeDocument/2006/relationships/printerSettings" Target="../printerSettings/printerSettings1.bin"/><Relationship Id="rId20" Type="http://schemas.openxmlformats.org/officeDocument/2006/relationships/hyperlink" Target="http://www.koreaherald.com/view.php?ud=20211110000180" TargetMode="External"/><Relationship Id="rId41" Type="http://schemas.openxmlformats.org/officeDocument/2006/relationships/hyperlink" Target="http://www.koreaherald.com/view.php?ud=20211101000342" TargetMode="External"/><Relationship Id="rId54" Type="http://schemas.openxmlformats.org/officeDocument/2006/relationships/hyperlink" Target="https://www.elle.com/culture/movies-tv/a37293494/korean-drama-renaissance-explained/" TargetMode="External"/><Relationship Id="rId1" Type="http://schemas.openxmlformats.org/officeDocument/2006/relationships/hyperlink" Target="https://www.bbc.com/culture/article/20211206-is-squid-game-the-dawn-of-a-tv-revolution" TargetMode="External"/><Relationship Id="rId6" Type="http://schemas.openxmlformats.org/officeDocument/2006/relationships/hyperlink" Target="https://www.bloomberg.com/news/articles/2021-11-15/family-s-4-billion-bet-fuels-race-for-korea-s-next-squid-game" TargetMode="External"/><Relationship Id="rId15" Type="http://schemas.openxmlformats.org/officeDocument/2006/relationships/hyperlink" Target="https://en.prothomalo.com/entertainment/korean-film-tourism-festival-in-dhaka-to-showcase-korean-culture" TargetMode="External"/><Relationship Id="rId23" Type="http://schemas.openxmlformats.org/officeDocument/2006/relationships/hyperlink" Target="http://www.koreaherald.com/view.php?ud=20210627000139" TargetMode="External"/><Relationship Id="rId28" Type="http://schemas.openxmlformats.org/officeDocument/2006/relationships/hyperlink" Target="https://www.screendaily.com/news/kofic-launches-2021-fund-to-support-koreas-film-industry-through-covid-crisis/5158884.article" TargetMode="External"/><Relationship Id="rId36" Type="http://schemas.openxmlformats.org/officeDocument/2006/relationships/hyperlink" Target="http://m.koreaherald.com/view.php?ud=20210819000672" TargetMode="External"/><Relationship Id="rId49" Type="http://schemas.openxmlformats.org/officeDocument/2006/relationships/hyperlink" Target="https://impactnottingham.com/2021/10/the-rise-of-k-drama-a-competitor-for-hollywood/" TargetMode="External"/><Relationship Id="rId57" Type="http://schemas.openxmlformats.org/officeDocument/2006/relationships/hyperlink" Target="https://theconversation.com/in-music-and-film-a-new-korean-wave-is-challenging-asian-stereotypes-158757" TargetMode="External"/><Relationship Id="rId10" Type="http://schemas.openxmlformats.org/officeDocument/2006/relationships/hyperlink" Target="https://kulturehub.com/south-korean-film-industry-new-wave/" TargetMode="External"/><Relationship Id="rId31" Type="http://schemas.openxmlformats.org/officeDocument/2006/relationships/hyperlink" Target="https://www.hollywoodinsider.com/the-seoul-cinema-closing/" TargetMode="External"/><Relationship Id="rId44" Type="http://schemas.openxmlformats.org/officeDocument/2006/relationships/hyperlink" Target="https://www.top10films.co.uk/67468-top-10-south-korean-films-of-the-21st-century/" TargetMode="External"/><Relationship Id="rId52" Type="http://schemas.openxmlformats.org/officeDocument/2006/relationships/hyperlink" Target="https://collider.com/best-korean-movies-on-netfl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87"/>
  <sheetViews>
    <sheetView tabSelected="1" topLeftCell="A52" workbookViewId="0">
      <selection activeCell="C69" sqref="C69"/>
    </sheetView>
  </sheetViews>
  <sheetFormatPr defaultColWidth="14.44140625" defaultRowHeight="15.75" customHeight="1" x14ac:dyDescent="0.25"/>
  <cols>
    <col min="1" max="2" width="26" customWidth="1"/>
    <col min="3" max="4" width="37.33203125" customWidth="1"/>
    <col min="5" max="5" width="65.77734375" style="5" customWidth="1"/>
  </cols>
  <sheetData>
    <row r="1" spans="1:5" ht="13.2" x14ac:dyDescent="0.25">
      <c r="A1" s="2" t="str">
        <f ca="1">IFERROR(__xludf.DUMMYFUNCTION("IMPORTFEED(""https://news.google.com/rss/search?q=&lt;India movie industry&gt;"",""items"",True,70)"),"Title")</f>
        <v>Title</v>
      </c>
      <c r="B1" s="2" t="str">
        <f ca="1">IFERROR(__xludf.DUMMYFUNCTION("""COMPUTED_VALUE"""),"URL")</f>
        <v>URL</v>
      </c>
      <c r="C1" s="2" t="str">
        <f ca="1">IFERROR(__xludf.DUMMYFUNCTION("""COMPUTED_VALUE"""),"Date Created")</f>
        <v>Date Created</v>
      </c>
      <c r="D1" s="2" t="str">
        <f ca="1">IFERROR(__xludf.DUMMYFUNCTION("""COMPUTED_VALUE"""),"Summary")</f>
        <v>Summary</v>
      </c>
      <c r="E1" s="4" t="s">
        <v>113</v>
      </c>
    </row>
    <row r="2" spans="1:5" ht="37.5" customHeight="1" x14ac:dyDescent="0.25">
      <c r="A2" s="1" t="str">
        <f ca="1">IFERROR(__xludf.DUMMYFUNCTION("""COMPUTED_VALUE"""),"Indian Cinema is not just Hindi Cinema: As language barrier comes down, Southern movies are ready to dominate - WION")</f>
        <v>Indian Cinema is not just Hindi Cinema: As language barrier comes down, Southern movies are ready to dominate - WION</v>
      </c>
      <c r="B2" s="3" t="str">
        <f ca="1">IFERROR(__xludf.DUMMYFUNCTION("""COMPUTED_VALUE"""),"https://www.wionews.com/opinions-blogs/indian-cinema-is-not-just-hindi-cinema-as-language-barrier-comes-down-southern-movies-are-ready-to-dominate-433437")</f>
        <v>https://www.wionews.com/opinions-blogs/indian-cinema-is-not-just-hindi-cinema-as-language-barrier-comes-down-southern-movies-are-ready-to-dominate-433437</v>
      </c>
      <c r="C2" s="1" t="str">
        <f ca="1">IFERROR(__xludf.DUMMYFUNCTION("""COMPUTED_VALUE"""),"Thu, 02 Dec 2021 07:12:13 GMT")</f>
        <v>Thu, 02 Dec 2021 07:12:13 GMT</v>
      </c>
      <c r="D2" s="1" t="str">
        <f ca="1">IFERROR(__xludf.DUMMYFUNCTION("""COMPUTED_VALUE"""),"Indian Cinema is not just Hindi Cinema: As language barrier comes down, 
Southern movies are ready to dominate  WION")</f>
        <v>Indian Cinema is not just Hindi Cinema: As language barrier comes down, 
Southern movies are ready to dominate  WION</v>
      </c>
      <c r="E2" s="1" t="s">
        <v>0</v>
      </c>
    </row>
    <row r="3" spans="1:5" ht="37.5" customHeight="1" x14ac:dyDescent="0.25">
      <c r="A3" s="1" t="str">
        <f ca="1">IFERROR(__xludf.DUMMYFUNCTION("""COMPUTED_VALUE"""),"Omicron strain to affect film business, Indian box office to see lag in recovery - Moneycontrol.com")</f>
        <v>Omicron strain to affect film business, Indian box office to see lag in recovery - Moneycontrol.com</v>
      </c>
      <c r="B3" s="3" t="str">
        <f ca="1">IFERROR(__xludf.DUMMYFUNCTION("""COMPUTED_VALUE"""),"https://www.moneycontrol.com/news/trends/entertainment/omicron-strain-to-affect-film-business-indian-box-office-to-see-lag-in-recovery-7797671.html")</f>
        <v>https://www.moneycontrol.com/news/trends/entertainment/omicron-strain-to-affect-film-business-indian-box-office-to-see-lag-in-recovery-7797671.html</v>
      </c>
      <c r="C3" s="1" t="str">
        <f ca="1">IFERROR(__xludf.DUMMYFUNCTION("""COMPUTED_VALUE"""),"Mon, 06 Dec 2021 13:38:08 GMT")</f>
        <v>Mon, 06 Dec 2021 13:38:08 GMT</v>
      </c>
      <c r="D3" s="1" t="str">
        <f ca="1">IFERROR(__xludf.DUMMYFUNCTION("""COMPUTED_VALUE"""),"Omicron strain to affect film business, Indian box office to see lag in 
recovery  Moneycontrol.com")</f>
        <v>Omicron strain to affect film business, Indian box office to see lag in 
recovery  Moneycontrol.com</v>
      </c>
      <c r="E3" s="1" t="s">
        <v>1</v>
      </c>
    </row>
    <row r="4" spans="1:5" ht="37.5" customHeight="1" x14ac:dyDescent="0.25">
      <c r="A4" s="1" t="str">
        <f ca="1">IFERROR(__xludf.DUMMYFUNCTION("""COMPUTED_VALUE"""),"Bollywood has miles to go before it can produce Kaala, Asuran, Karnan or even a Jai Bhim - ThePrint")</f>
        <v>Bollywood has miles to go before it can produce Kaala, Asuran, Karnan or even a Jai Bhim - ThePrint</v>
      </c>
      <c r="B4" s="3" t="str">
        <f ca="1">IFERROR(__xludf.DUMMYFUNCTION("""COMPUTED_VALUE"""),"https://theprint.in/opinion/bollywood-has-miles-to-go-before-it-can-produce-kaala-asuran-karnan-or-even-a-jai-bhim/768579/")</f>
        <v>https://theprint.in/opinion/bollywood-has-miles-to-go-before-it-can-produce-kaala-asuran-karnan-or-even-a-jai-bhim/768579/</v>
      </c>
      <c r="C4" s="1" t="str">
        <f ca="1">IFERROR(__xludf.DUMMYFUNCTION("""COMPUTED_VALUE"""),"Sat, 20 Nov 2021 08:00:00 GMT")</f>
        <v>Sat, 20 Nov 2021 08:00:00 GMT</v>
      </c>
      <c r="D4" s="1" t="str">
        <f ca="1">IFERROR(__xludf.DUMMYFUNCTION("""COMPUTED_VALUE"""),"Bollywood has miles to go before it can produce Kaala, Asuran, Karnan or 
even a Jai Bhim  ThePrint")</f>
        <v>Bollywood has miles to go before it can produce Kaala, Asuran, Karnan or 
even a Jai Bhim  ThePrint</v>
      </c>
      <c r="E4" s="1" t="s">
        <v>2</v>
      </c>
    </row>
    <row r="5" spans="1:5" ht="37.5" customHeight="1" x14ac:dyDescent="0.25">
      <c r="A5" s="1" t="str">
        <f ca="1">IFERROR(__xludf.DUMMYFUNCTION("""COMPUTED_VALUE"""),"Modi's Growing Crackdown on Bollywood - Foreign Policy")</f>
        <v>Modi's Growing Crackdown on Bollywood - Foreign Policy</v>
      </c>
      <c r="B5" s="3" t="str">
        <f ca="1">IFERROR(__xludf.DUMMYFUNCTION("""COMPUTED_VALUE"""),"https://foreignpolicy.com/2021/11/27/modi-bollywood-crackdown-muslims-hindu-nationalism/")</f>
        <v>https://foreignpolicy.com/2021/11/27/modi-bollywood-crackdown-muslims-hindu-nationalism/</v>
      </c>
      <c r="C5" s="1" t="str">
        <f ca="1">IFERROR(__xludf.DUMMYFUNCTION("""COMPUTED_VALUE"""),"Sat, 27 Nov 2021 08:00:00 GMT")</f>
        <v>Sat, 27 Nov 2021 08:00:00 GMT</v>
      </c>
      <c r="D5" s="1" t="str">
        <f ca="1">IFERROR(__xludf.DUMMYFUNCTION("""COMPUTED_VALUE"""),"Modi's Growing Crackdown on Bollywood  Foreign Policy")</f>
        <v>Modi's Growing Crackdown on Bollywood  Foreign Policy</v>
      </c>
      <c r="E5" s="1" t="s">
        <v>3</v>
      </c>
    </row>
    <row r="6" spans="1:5" ht="37.5" customHeight="1" x14ac:dyDescent="0.25">
      <c r="A6" s="1" t="str">
        <f ca="1">IFERROR(__xludf.DUMMYFUNCTION("""COMPUTED_VALUE"""),"Actor Siddharth: Stop persecuting the film industry - Times of India")</f>
        <v>Actor Siddharth: Stop persecuting the film industry - Times of India</v>
      </c>
      <c r="B6" s="3" t="str">
        <f ca="1">IFERROR(__xludf.DUMMYFUNCTION("""COMPUTED_VALUE"""),"https://timesofindia.indiatimes.com/entertainment/hindi/bollywood/news/actor-siddharth-stop-persecuting-the-film-industry/articleshow/88074511.cms")</f>
        <v>https://timesofindia.indiatimes.com/entertainment/hindi/bollywood/news/actor-siddharth-stop-persecuting-the-film-industry/articleshow/88074511.cms</v>
      </c>
      <c r="C6" s="1" t="str">
        <f ca="1">IFERROR(__xludf.DUMMYFUNCTION("""COMPUTED_VALUE"""),"Fri, 03 Dec 2021 12:23:00 GMT")</f>
        <v>Fri, 03 Dec 2021 12:23:00 GMT</v>
      </c>
      <c r="D6" s="1" t="str">
        <f ca="1">IFERROR(__xludf.DUMMYFUNCTION("""COMPUTED_VALUE"""),"Actor Siddharth: Stop persecuting the film industry  Times of India")</f>
        <v>Actor Siddharth: Stop persecuting the film industry  Times of India</v>
      </c>
      <c r="E6" s="1" t="s">
        <v>4</v>
      </c>
    </row>
    <row r="7" spans="1:5" ht="37.5" customHeight="1" x14ac:dyDescent="0.25">
      <c r="A7" s="1" t="str">
        <f ca="1">IFERROR(__xludf.DUMMYFUNCTION("""COMPUTED_VALUE"""),"Opinion | 'Sooryavanshi' is dangerous Islamophobic propaganda - The Washington Post")</f>
        <v>Opinion | 'Sooryavanshi' is dangerous Islamophobic propaganda - The Washington Post</v>
      </c>
      <c r="B7" s="3" t="str">
        <f ca="1">IFERROR(__xludf.DUMMYFUNCTION("""COMPUTED_VALUE"""),"https://www.washingtonpost.com/opinions/2021/11/15/why-an-indian-films-success-box-office-should-worry-us-all/")</f>
        <v>https://www.washingtonpost.com/opinions/2021/11/15/why-an-indian-films-success-box-office-should-worry-us-all/</v>
      </c>
      <c r="C7" s="1" t="str">
        <f ca="1">IFERROR(__xludf.DUMMYFUNCTION("""COMPUTED_VALUE"""),"Mon, 15 Nov 2021 08:00:00 GMT")</f>
        <v>Mon, 15 Nov 2021 08:00:00 GMT</v>
      </c>
      <c r="D7" s="1" t="str">
        <f ca="1">IFERROR(__xludf.DUMMYFUNCTION("""COMPUTED_VALUE"""),"Opinion | 'Sooryavanshi' is dangerous Islamophobic propaganda  The 
Washington Post")</f>
        <v>Opinion | 'Sooryavanshi' is dangerous Islamophobic propaganda  The 
Washington Post</v>
      </c>
      <c r="E7" s="1" t="s">
        <v>5</v>
      </c>
    </row>
    <row r="8" spans="1:5" ht="37.5" customHeight="1" x14ac:dyDescent="0.25">
      <c r="A8" s="1" t="str">
        <f ca="1">IFERROR(__xludf.DUMMYFUNCTION("""COMPUTED_VALUE"""),"Back to the big screen: Regional films pick up speed abroad - Media India Group")</f>
        <v>Back to the big screen: Regional films pick up speed abroad - Media India Group</v>
      </c>
      <c r="B8" s="3" t="str">
        <f ca="1">IFERROR(__xludf.DUMMYFUNCTION("""COMPUTED_VALUE"""),"https://mediaindia.eu/cinema/back-to-the-big-screen-regional-films-pick-up-speed-abroad/")</f>
        <v>https://mediaindia.eu/cinema/back-to-the-big-screen-regional-films-pick-up-speed-abroad/</v>
      </c>
      <c r="C8" s="1" t="str">
        <f ca="1">IFERROR(__xludf.DUMMYFUNCTION("""COMPUTED_VALUE"""),"Sun, 14 Nov 2021 08:00:00 GMT")</f>
        <v>Sun, 14 Nov 2021 08:00:00 GMT</v>
      </c>
      <c r="D8" s="1" t="str">
        <f ca="1">IFERROR(__xludf.DUMMYFUNCTION("""COMPUTED_VALUE"""),"Back to the big screen: Regional films pick up speed abroad  Media India 
Group")</f>
        <v>Back to the big screen: Regional films pick up speed abroad  Media India 
Group</v>
      </c>
      <c r="E8" s="1" t="s">
        <v>6</v>
      </c>
    </row>
    <row r="9" spans="1:5" ht="37.5" customHeight="1" x14ac:dyDescent="0.25">
      <c r="A9" s="1" t="str">
        <f ca="1">IFERROR(__xludf.DUMMYFUNCTION("""COMPUTED_VALUE"""),"South Indian stars warm up to roles in web originals - Livemint")</f>
        <v>South Indian stars warm up to roles in web originals - Livemint</v>
      </c>
      <c r="B9" s="3" t="str">
        <f ca="1">IFERROR(__xludf.DUMMYFUNCTION("""COMPUTED_VALUE"""),"https://www.livemint.com/industry/media/south-indian-stars-follow-bollywood-names-take-to-web-originals-11636617902409.html")</f>
        <v>https://www.livemint.com/industry/media/south-indian-stars-follow-bollywood-names-take-to-web-originals-11636617902409.html</v>
      </c>
      <c r="C9" s="1" t="str">
        <f ca="1">IFERROR(__xludf.DUMMYFUNCTION("""COMPUTED_VALUE"""),"Fri, 12 Nov 2021 08:00:00 GMT")</f>
        <v>Fri, 12 Nov 2021 08:00:00 GMT</v>
      </c>
      <c r="D9" s="1" t="str">
        <f ca="1">IFERROR(__xludf.DUMMYFUNCTION("""COMPUTED_VALUE"""),"South Indian stars warm up to roles in web originals  Livemint")</f>
        <v>South Indian stars warm up to roles in web originals  Livemint</v>
      </c>
      <c r="E9" s="1" t="s">
        <v>7</v>
      </c>
    </row>
    <row r="10" spans="1:5" ht="37.5" customHeight="1" x14ac:dyDescent="0.25">
      <c r="A10" s="1" t="str">
        <f ca="1">IFERROR(__xludf.DUMMYFUNCTION("""COMPUTED_VALUE"""),"Roll the film: COVID-19 disrupts the movie industry in the U.S. and India - Springfield News-Leader")</f>
        <v>Roll the film: COVID-19 disrupts the movie industry in the U.S. and India - Springfield News-Leader</v>
      </c>
      <c r="B10" s="3" t="str">
        <f ca="1">IFERROR(__xludf.DUMMYFUNCTION("""COMPUTED_VALUE"""),"https://www.news-leader.com/story/news/2021/05/29/roll-the-film-covid-19-disrupts-the-movie-industry-in-the-u-s-and-india/7454951002/")</f>
        <v>https://www.news-leader.com/story/news/2021/05/29/roll-the-film-covid-19-disrupts-the-movie-industry-in-the-u-s-and-india/7454951002/</v>
      </c>
      <c r="C10" s="1" t="str">
        <f ca="1">IFERROR(__xludf.DUMMYFUNCTION("""COMPUTED_VALUE"""),"Sat, 29 May 2021 07:00:00 GMT")</f>
        <v>Sat, 29 May 2021 07:00:00 GMT</v>
      </c>
      <c r="D10" s="1" t="str">
        <f ca="1">IFERROR(__xludf.DUMMYFUNCTION("""COMPUTED_VALUE"""),"Roll the film: COVID-19 disrupts the movie industry in the U.S. and India  Springfield 
News-Leader")</f>
        <v>Roll the film: COVID-19 disrupts the movie industry in the U.S. and India  Springfield 
News-Leader</v>
      </c>
      <c r="E10" s="1" t="s">
        <v>8</v>
      </c>
    </row>
    <row r="11" spans="1:5" ht="37.5" customHeight="1" x14ac:dyDescent="0.25">
      <c r="A11" s="1" t="str">
        <f ca="1">IFERROR(__xludf.DUMMYFUNCTION("""COMPUTED_VALUE"""),"#BigStory: Bollywood, Tollywood, Kollywood - Which is the biggest film industry of all? - Times of India")</f>
        <v>#BigStory: Bollywood, Tollywood, Kollywood - Which is the biggest film industry of all? - Times of India</v>
      </c>
      <c r="B11" s="3" t="str">
        <f ca="1">IFERROR(__xludf.DUMMYFUNCTION("""COMPUTED_VALUE"""),"https://timesofindia.indiatimes.com/entertainment/hindi/bollywood/news/bigstory-bollywood-tollywood-kollywood-which-is-the-biggest-film-industry-of-all/articleshow/86300561.cms")</f>
        <v>https://timesofindia.indiatimes.com/entertainment/hindi/bollywood/news/bigstory-bollywood-tollywood-kollywood-which-is-the-biggest-film-industry-of-all/articleshow/86300561.cms</v>
      </c>
      <c r="C11" s="1" t="str">
        <f ca="1">IFERROR(__xludf.DUMMYFUNCTION("""COMPUTED_VALUE"""),"Sat, 02 Oct 2021 07:00:00 GMT")</f>
        <v>Sat, 02 Oct 2021 07:00:00 GMT</v>
      </c>
      <c r="D11" s="1" t="str">
        <f ca="1">IFERROR(__xludf.DUMMYFUNCTION("""COMPUTED_VALUE"""),"#BigStory: Bollywood, Tollywood, Kollywood - Which is the biggest film 
industry of all?  Times of India")</f>
        <v>#BigStory: Bollywood, Tollywood, Kollywood - Which is the biggest film 
industry of all?  Times of India</v>
      </c>
      <c r="E11" s="1" t="s">
        <v>9</v>
      </c>
    </row>
    <row r="12" spans="1:5" ht="37.5" customHeight="1" x14ac:dyDescent="0.25">
      <c r="A12" s="1" t="str">
        <f ca="1">IFERROR(__xludf.DUMMYFUNCTION("""COMPUTED_VALUE"""),"COVID erased 80% of Indian cinema revenue. Can Bollywood return to the big screen? - Fortune")</f>
        <v>COVID erased 80% of Indian cinema revenue. Can Bollywood return to the big screen? - Fortune</v>
      </c>
      <c r="B12" s="3" t="str">
        <f ca="1">IFERROR(__xludf.DUMMYFUNCTION("""COMPUTED_VALUE"""),"https://fortune.com/2021/08/13/bollywood-india-covid-cinema-lockdown-film-industry-big-screen/")</f>
        <v>https://fortune.com/2021/08/13/bollywood-india-covid-cinema-lockdown-film-industry-big-screen/</v>
      </c>
      <c r="C12" s="1" t="str">
        <f ca="1">IFERROR(__xludf.DUMMYFUNCTION("""COMPUTED_VALUE"""),"Fri, 13 Aug 2021 07:00:00 GMT")</f>
        <v>Fri, 13 Aug 2021 07:00:00 GMT</v>
      </c>
      <c r="D12" s="1" t="str">
        <f ca="1">IFERROR(__xludf.DUMMYFUNCTION("""COMPUTED_VALUE"""),"COVID erased 80% of Indian cinema revenue. Can Bollywood return to the big 
screen?  Fortune")</f>
        <v>COVID erased 80% of Indian cinema revenue. Can Bollywood return to the big 
screen?  Fortune</v>
      </c>
      <c r="E12" s="1" t="s">
        <v>10</v>
      </c>
    </row>
    <row r="13" spans="1:5" ht="37.5" customHeight="1" x14ac:dyDescent="0.25">
      <c r="A13" s="1" t="str">
        <f ca="1">IFERROR(__xludf.DUMMYFUNCTION("""COMPUTED_VALUE"""),"Covid-19 crisis hits India’s booming film industry hard - RFI")</f>
        <v>Covid-19 crisis hits India’s booming film industry hard - RFI</v>
      </c>
      <c r="B13" s="3" t="str">
        <f ca="1">IFERROR(__xludf.DUMMYFUNCTION("""COMPUTED_VALUE"""),"https://www.rfi.fr/en/culture/20210801-covid-19-crisis-hits-india-s-booming-film-industry-hard-bollywood-culture-television-economy")</f>
        <v>https://www.rfi.fr/en/culture/20210801-covid-19-crisis-hits-india-s-booming-film-industry-hard-bollywood-culture-television-economy</v>
      </c>
      <c r="C13" s="1" t="str">
        <f ca="1">IFERROR(__xludf.DUMMYFUNCTION("""COMPUTED_VALUE"""),"Sun, 01 Aug 2021 07:00:00 GMT")</f>
        <v>Sun, 01 Aug 2021 07:00:00 GMT</v>
      </c>
      <c r="D13" s="1" t="str">
        <f ca="1">IFERROR(__xludf.DUMMYFUNCTION("""COMPUTED_VALUE"""),"Covid-19 crisis hits India’s booming film industry hard  RFI")</f>
        <v>Covid-19 crisis hits India’s booming film industry hard  RFI</v>
      </c>
      <c r="E13" s="1" t="s">
        <v>11</v>
      </c>
    </row>
    <row r="14" spans="1:5" ht="37.5" customHeight="1" x14ac:dyDescent="0.25">
      <c r="A14" s="1" t="str">
        <f ca="1">IFERROR(__xludf.DUMMYFUNCTION("""COMPUTED_VALUE"""),"Veteran Kannada film actor S Shivaram dies at 83, to get state funeral - Hindustan Times")</f>
        <v>Veteran Kannada film actor S Shivaram dies at 83, to get state funeral - Hindustan Times</v>
      </c>
      <c r="B14" s="3" t="str">
        <f ca="1">IFERROR(__xludf.DUMMYFUNCTION("""COMPUTED_VALUE"""),"https://www.hindustantimes.com/india-news/veteran-kannada-film-actor-s-shivaram-dies-at-83-to-get-state-funeral-101638644117956.html")</f>
        <v>https://www.hindustantimes.com/india-news/veteran-kannada-film-actor-s-shivaram-dies-at-83-to-get-state-funeral-101638644117956.html</v>
      </c>
      <c r="C14" s="1" t="str">
        <f ca="1">IFERROR(__xludf.DUMMYFUNCTION("""COMPUTED_VALUE"""),"Sat, 04 Dec 2021 18:55:17 GMT")</f>
        <v>Sat, 04 Dec 2021 18:55:17 GMT</v>
      </c>
      <c r="D14" s="1" t="str">
        <f ca="1">IFERROR(__xludf.DUMMYFUNCTION("""COMPUTED_VALUE"""),"Veteran Kannada film actor S Shivaram dies at 83, to get state funeral  Hindustan 
Times")</f>
        <v>Veteran Kannada film actor S Shivaram dies at 83, to get state funeral  Hindustan 
Times</v>
      </c>
      <c r="E14" s="1" t="s">
        <v>12</v>
      </c>
    </row>
    <row r="15" spans="1:5" ht="37.5" customHeight="1" x14ac:dyDescent="0.25">
      <c r="A15" s="1" t="str">
        <f ca="1">IFERROR(__xludf.DUMMYFUNCTION("""COMPUTED_VALUE"""),"Vijay completes 29 years in films, fans wish 'Thalapathy' - Times of India")</f>
        <v>Vijay completes 29 years in films, fans wish 'Thalapathy' - Times of India</v>
      </c>
      <c r="B15" s="3" t="str">
        <f ca="1">IFERROR(__xludf.DUMMYFUNCTION("""COMPUTED_VALUE"""),"https://timesofindia.indiatimes.com/entertainment/tamil/movies/news/vijay-completes-29-years-in-films-fans-wish-thalapathy/articleshow/88092020.cms")</f>
        <v>https://timesofindia.indiatimes.com/entertainment/tamil/movies/news/vijay-completes-29-years-in-films-fans-wish-thalapathy/articleshow/88092020.cms</v>
      </c>
      <c r="C15" s="1" t="str">
        <f ca="1">IFERROR(__xludf.DUMMYFUNCTION("""COMPUTED_VALUE"""),"Sat, 04 Dec 2021 11:54:00 GMT")</f>
        <v>Sat, 04 Dec 2021 11:54:00 GMT</v>
      </c>
      <c r="D15" s="1" t="str">
        <f ca="1">IFERROR(__xludf.DUMMYFUNCTION("""COMPUTED_VALUE"""),"Vijay completes 29 years in films, fans wish 'Thalapathy'  Times of India")</f>
        <v>Vijay completes 29 years in films, fans wish 'Thalapathy'  Times of India</v>
      </c>
      <c r="E15" s="1" t="s">
        <v>13</v>
      </c>
    </row>
    <row r="16" spans="1:5" ht="37.5" customHeight="1" x14ac:dyDescent="0.25">
      <c r="A16" s="1" t="str">
        <f ca="1">IFERROR(__xludf.DUMMYFUNCTION("""COMPUTED_VALUE"""),"How India's COVID crisis has changed Bollywood - Deutsche Welle")</f>
        <v>How India's COVID crisis has changed Bollywood - Deutsche Welle</v>
      </c>
      <c r="B16" s="3" t="str">
        <f ca="1">IFERROR(__xludf.DUMMYFUNCTION("""COMPUTED_VALUE"""),"https://www.dw.com/en/how-indias-covid-crisis-has-changed-bollywood/a-58291931")</f>
        <v>https://www.dw.com/en/how-indias-covid-crisis-has-changed-bollywood/a-58291931</v>
      </c>
      <c r="C16" s="1" t="str">
        <f ca="1">IFERROR(__xludf.DUMMYFUNCTION("""COMPUTED_VALUE"""),"Fri, 16 Jul 2021 07:00:00 GMT")</f>
        <v>Fri, 16 Jul 2021 07:00:00 GMT</v>
      </c>
      <c r="D16" s="1" t="str">
        <f ca="1">IFERROR(__xludf.DUMMYFUNCTION("""COMPUTED_VALUE"""),"How India's COVID crisis has changed Bollywood  Deutsche Welle")</f>
        <v>How India's COVID crisis has changed Bollywood  Deutsche Welle</v>
      </c>
      <c r="E16" s="1" t="s">
        <v>14</v>
      </c>
    </row>
    <row r="17" spans="1:5" ht="37.5" customHeight="1" x14ac:dyDescent="0.25">
      <c r="A17" s="1" t="str">
        <f ca="1">IFERROR(__xludf.DUMMYFUNCTION("""COMPUTED_VALUE"""),"Bollywood stars return to India’s big screens after over a year - Aljazeera.com")</f>
        <v>Bollywood stars return to India’s big screens after over a year - Aljazeera.com</v>
      </c>
      <c r="B17" s="3" t="str">
        <f ca="1">IFERROR(__xludf.DUMMYFUNCTION("""COMPUTED_VALUE"""),"https://www.aljazeera.com/news/2021/11/5/india-cinema-bollywood-covid-new-releases-theatres")</f>
        <v>https://www.aljazeera.com/news/2021/11/5/india-cinema-bollywood-covid-new-releases-theatres</v>
      </c>
      <c r="C17" s="1" t="str">
        <f ca="1">IFERROR(__xludf.DUMMYFUNCTION("""COMPUTED_VALUE"""),"Fri, 05 Nov 2021 07:00:00 GMT")</f>
        <v>Fri, 05 Nov 2021 07:00:00 GMT</v>
      </c>
      <c r="D17" s="1" t="str">
        <f ca="1">IFERROR(__xludf.DUMMYFUNCTION("""COMPUTED_VALUE"""),"Bollywood stars return to India’s big screens after over a year  
Aljazeera.com")</f>
        <v>Bollywood stars return to India’s big screens after over a year  
Aljazeera.com</v>
      </c>
      <c r="E17" s="1" t="s">
        <v>15</v>
      </c>
    </row>
    <row r="18" spans="1:5" ht="37.5" customHeight="1" x14ac:dyDescent="0.25">
      <c r="A18" s="1" t="str">
        <f ca="1">IFERROR(__xludf.DUMMYFUNCTION("""COMPUTED_VALUE"""),"As Shekhar Kapur Turns 76, Here's Looking at the Filmmaker's All Time Classics - News18")</f>
        <v>As Shekhar Kapur Turns 76, Here's Looking at the Filmmaker's All Time Classics - News18</v>
      </c>
      <c r="B18" s="3" t="str">
        <f ca="1">IFERROR(__xludf.DUMMYFUNCTION("""COMPUTED_VALUE"""),"https://www.news18.com/news/movies/as-shekhar-kapur-turns-76-heres-looking-at-the-filmmakers-all-time-classics-4520435.html")</f>
        <v>https://www.news18.com/news/movies/as-shekhar-kapur-turns-76-heres-looking-at-the-filmmakers-all-time-classics-4520435.html</v>
      </c>
      <c r="C18" s="1" t="str">
        <f ca="1">IFERROR(__xludf.DUMMYFUNCTION("""COMPUTED_VALUE"""),"Mon, 06 Dec 2021 06:21:00 GMT")</f>
        <v>Mon, 06 Dec 2021 06:21:00 GMT</v>
      </c>
      <c r="D18" s="1" t="str">
        <f ca="1">IFERROR(__xludf.DUMMYFUNCTION("""COMPUTED_VALUE"""),"As Shekhar Kapur Turns 76, Here's Looking at the Filmmaker's All Time 
Classics  News18")</f>
        <v>As Shekhar Kapur Turns 76, Here's Looking at the Filmmaker's All Time 
Classics  News18</v>
      </c>
      <c r="E18" s="1" t="s">
        <v>16</v>
      </c>
    </row>
    <row r="19" spans="1:5" ht="37.5" customHeight="1" x14ac:dyDescent="0.25">
      <c r="A19" s="1" t="str">
        <f ca="1">IFERROR(__xludf.DUMMYFUNCTION("""COMPUTED_VALUE"""),"All political talk in India is obsessing over 2024. The real deal is 2025 - ThePrint")</f>
        <v>All political talk in India is obsessing over 2024. The real deal is 2025 - ThePrint</v>
      </c>
      <c r="B19" s="3" t="str">
        <f ca="1">IFERROR(__xludf.DUMMYFUNCTION("""COMPUTED_VALUE"""),"https://theprint.in/opinion/all-political-talk-in-india-is-obsessing-over-2024-the-real-deal-is-2025/777341/")</f>
        <v>https://theprint.in/opinion/all-political-talk-in-india-is-obsessing-over-2024-the-real-deal-is-2025/777341/</v>
      </c>
      <c r="C19" s="1" t="str">
        <f ca="1">IFERROR(__xludf.DUMMYFUNCTION("""COMPUTED_VALUE"""),"Tue, 07 Dec 2021 03:40:00 GMT")</f>
        <v>Tue, 07 Dec 2021 03:40:00 GMT</v>
      </c>
      <c r="D19" s="1" t="str">
        <f ca="1">IFERROR(__xludf.DUMMYFUNCTION("""COMPUTED_VALUE"""),"All political talk in India is obsessing over 2024. The real deal is 2025  
ThePrint")</f>
        <v>All political talk in India is obsessing over 2024. The real deal is 2025  
ThePrint</v>
      </c>
      <c r="E19" s="1" t="s">
        <v>17</v>
      </c>
    </row>
    <row r="20" spans="1:5" ht="37.5" customHeight="1" x14ac:dyDescent="0.25">
      <c r="A20" s="1" t="str">
        <f ca="1">IFERROR(__xludf.DUMMYFUNCTION("""COMPUTED_VALUE"""),"How India’s COVID-19 Crisis Is Devastating the Local Entertainment Sector - Hollywood Reporter")</f>
        <v>How India’s COVID-19 Crisis Is Devastating the Local Entertainment Sector - Hollywood Reporter</v>
      </c>
      <c r="B20" s="3" t="str">
        <f ca="1">IFERROR(__xludf.DUMMYFUNCTION("""COMPUTED_VALUE"""),"https://www.hollywoodreporter.com/business/business-news/bollywood-dealing-with-covid-crisis-1234950526/")</f>
        <v>https://www.hollywoodreporter.com/business/business-news/bollywood-dealing-with-covid-crisis-1234950526/</v>
      </c>
      <c r="C20" s="1" t="str">
        <f ca="1">IFERROR(__xludf.DUMMYFUNCTION("""COMPUTED_VALUE"""),"Mon, 10 May 2021 07:00:00 GMT")</f>
        <v>Mon, 10 May 2021 07:00:00 GMT</v>
      </c>
      <c r="D20" s="1" t="str">
        <f ca="1">IFERROR(__xludf.DUMMYFUNCTION("""COMPUTED_VALUE"""),"How India’s COVID-19 Crisis Is Devastating the Local Entertainment Sector  Hollywood 
Reporter")</f>
        <v>How India’s COVID-19 Crisis Is Devastating the Local Entertainment Sector  Hollywood 
Reporter</v>
      </c>
      <c r="E20" s="1" t="s">
        <v>18</v>
      </c>
    </row>
    <row r="21" spans="1:5" ht="37.5" customHeight="1" x14ac:dyDescent="0.25">
      <c r="A21" s="1" t="str">
        <f ca="1">IFERROR(__xludf.DUMMYFUNCTION("""COMPUTED_VALUE"""),"I want both critical and commercial success: Shraddha Das - Telegraph India")</f>
        <v>I want both critical and commercial success: Shraddha Das - Telegraph India</v>
      </c>
      <c r="B21" s="3" t="str">
        <f ca="1">IFERROR(__xludf.DUMMYFUNCTION("""COMPUTED_VALUE"""),"https://www.telegraphindia.com/my-kolkata/people/i-want-both-critical-and-commercial-success-shraddha-das/cid/1841899")</f>
        <v>https://www.telegraphindia.com/my-kolkata/people/i-want-both-critical-and-commercial-success-shraddha-das/cid/1841899</v>
      </c>
      <c r="C21" s="1" t="str">
        <f ca="1">IFERROR(__xludf.DUMMYFUNCTION("""COMPUTED_VALUE"""),"Mon, 06 Dec 2021 09:57:44 GMT")</f>
        <v>Mon, 06 Dec 2021 09:57:44 GMT</v>
      </c>
      <c r="D21" s="1" t="str">
        <f ca="1">IFERROR(__xludf.DUMMYFUNCTION("""COMPUTED_VALUE"""),"I want both critical and commercial success: Shraddha Das  Telegraph India")</f>
        <v>I want both critical and commercial success: Shraddha Das  Telegraph India</v>
      </c>
      <c r="E21" s="1" t="s">
        <v>19</v>
      </c>
    </row>
    <row r="22" spans="1:5" ht="37.5" customHeight="1" x14ac:dyDescent="0.25">
      <c r="A22" s="1" t="str">
        <f ca="1">IFERROR(__xludf.DUMMYFUNCTION("""COMPUTED_VALUE"""),"Film industry set to take off after pandemic pause: 100 movies in 4 monthss - Business Standard")</f>
        <v>Film industry set to take off after pandemic pause: 100 movies in 4 monthss - Business Standard</v>
      </c>
      <c r="B22" s="3" t="str">
        <f ca="1">IFERROR(__xludf.DUMMYFUNCTION("""COMPUTED_VALUE"""),"https://www.business-standard.com/podcast/current-affairs/film-industry-set-to-take-off-after-pandemic-pause-100-movies-in-4-months-121101401301_1.html")</f>
        <v>https://www.business-standard.com/podcast/current-affairs/film-industry-set-to-take-off-after-pandemic-pause-100-movies-in-4-months-121101401301_1.html</v>
      </c>
      <c r="C22" s="1" t="str">
        <f ca="1">IFERROR(__xludf.DUMMYFUNCTION("""COMPUTED_VALUE"""),"Thu, 14 Oct 2021 07:00:00 GMT")</f>
        <v>Thu, 14 Oct 2021 07:00:00 GMT</v>
      </c>
      <c r="D22" s="1" t="str">
        <f ca="1">IFERROR(__xludf.DUMMYFUNCTION("""COMPUTED_VALUE"""),"Film industry set to take off after pandemic pause: 100 movies in 4 monthss
  Business Standard")</f>
        <v>Film industry set to take off after pandemic pause: 100 movies in 4 monthss
  Business Standard</v>
      </c>
      <c r="E22" s="1" t="s">
        <v>20</v>
      </c>
    </row>
    <row r="23" spans="1:5" ht="37.5" customHeight="1" x14ac:dyDescent="0.25">
      <c r="A23" s="1" t="str">
        <f ca="1">IFERROR(__xludf.DUMMYFUNCTION("""COMPUTED_VALUE"""),"Bhopal's movie date: Screening of Indian cinema's finest films at 6-day Ekagra festival - Times of India")</f>
        <v>Bhopal's movie date: Screening of Indian cinema's finest films at 6-day Ekagra festival - Times of India</v>
      </c>
      <c r="B23" s="3" t="str">
        <f ca="1">IFERROR(__xludf.DUMMYFUNCTION("""COMPUTED_VALUE"""),"https://timesofindia.indiatimes.com/city/bhopal/bhopals-movie-date-screening-of-indian-cinemas-finest-films-at-6-day-ekagra-festival/articleshow/87925914.cms")</f>
        <v>https://timesofindia.indiatimes.com/city/bhopal/bhopals-movie-date-screening-of-indian-cinemas-finest-films-at-6-day-ekagra-festival/articleshow/87925914.cms</v>
      </c>
      <c r="C23" s="1" t="str">
        <f ca="1">IFERROR(__xludf.DUMMYFUNCTION("""COMPUTED_VALUE"""),"Fri, 26 Nov 2021 08:00:00 GMT")</f>
        <v>Fri, 26 Nov 2021 08:00:00 GMT</v>
      </c>
      <c r="D23" s="1" t="str">
        <f ca="1">IFERROR(__xludf.DUMMYFUNCTION("""COMPUTED_VALUE"""),"Bhopal's movie date: Screening of Indian cinema's finest films at 6-day 
Ekagra festival  Times of India")</f>
        <v>Bhopal's movie date: Screening of Indian cinema's finest films at 6-day 
Ekagra festival  Times of India</v>
      </c>
      <c r="E23" s="1" t="s">
        <v>21</v>
      </c>
    </row>
    <row r="24" spans="1:5" ht="37.5" customHeight="1" x14ac:dyDescent="0.25">
      <c r="A24" s="1" t="str">
        <f ca="1">IFERROR(__xludf.DUMMYFUNCTION("""COMPUTED_VALUE"""),"Viacom18 Studios plans return to big-ticket films - Livemint")</f>
        <v>Viacom18 Studios plans return to big-ticket films - Livemint</v>
      </c>
      <c r="B24" s="3" t="str">
        <f ca="1">IFERROR(__xludf.DUMMYFUNCTION("""COMPUTED_VALUE"""),"https://www.livemint.com/industry/media/viacom18-studios-plans-return-to-big-ticket-films-11638784628242.html")</f>
        <v>https://www.livemint.com/industry/media/viacom18-studios-plans-return-to-big-ticket-films-11638784628242.html</v>
      </c>
      <c r="C24" s="1" t="str">
        <f ca="1">IFERROR(__xludf.DUMMYFUNCTION("""COMPUTED_VALUE"""),"Mon, 06 Dec 2021 10:05:14 GMT")</f>
        <v>Mon, 06 Dec 2021 10:05:14 GMT</v>
      </c>
      <c r="D24" s="1" t="str">
        <f ca="1">IFERROR(__xludf.DUMMYFUNCTION("""COMPUTED_VALUE"""),"Viacom18 Studios plans return to big-ticket films  Livemint")</f>
        <v>Viacom18 Studios plans return to big-ticket films  Livemint</v>
      </c>
      <c r="E24" s="1" t="s">
        <v>22</v>
      </c>
    </row>
    <row r="25" spans="1:5" ht="37.5" customHeight="1" x14ac:dyDescent="0.25">
      <c r="A25" s="1" t="str">
        <f ca="1">IFERROR(__xludf.DUMMYFUNCTION("""COMPUTED_VALUE"""),"Cinema halls can’t sell movie tickets under new Andhra law, only govt can - Hindustan Times")</f>
        <v>Cinema halls can’t sell movie tickets under new Andhra law, only govt can - Hindustan Times</v>
      </c>
      <c r="B25" s="3" t="str">
        <f ca="1">IFERROR(__xludf.DUMMYFUNCTION("""COMPUTED_VALUE"""),"https://www.hindustantimes.com/india-news/cinema-halls-can-t-sell-movie-tickets-under-new-andhra-law-only-govt-can-101637761163871.html")</f>
        <v>https://www.hindustantimes.com/india-news/cinema-halls-can-t-sell-movie-tickets-under-new-andhra-law-only-govt-can-101637761163871.html</v>
      </c>
      <c r="C25" s="1" t="str">
        <f ca="1">IFERROR(__xludf.DUMMYFUNCTION("""COMPUTED_VALUE"""),"Wed, 24 Nov 2021 08:00:00 GMT")</f>
        <v>Wed, 24 Nov 2021 08:00:00 GMT</v>
      </c>
      <c r="D25" s="1" t="str">
        <f ca="1">IFERROR(__xludf.DUMMYFUNCTION("""COMPUTED_VALUE"""),"Cinema halls can’t sell movie tickets under new Andhra law, only govt can  Hindustan 
Times")</f>
        <v>Cinema halls can’t sell movie tickets under new Andhra law, only govt can  Hindustan 
Times</v>
      </c>
      <c r="E25" s="1" t="s">
        <v>23</v>
      </c>
    </row>
    <row r="26" spans="1:5" ht="37.5" customHeight="1" x14ac:dyDescent="0.25">
      <c r="A26" s="1" t="str">
        <f ca="1">IFERROR(__xludf.DUMMYFUNCTION("""COMPUTED_VALUE"""),"Indian film industry may see 70% drop in revenue in 2021 as lockdown extends in many states - Moneycontrol.com")</f>
        <v>Indian film industry may see 70% drop in revenue in 2021 as lockdown extends in many states - Moneycontrol.com</v>
      </c>
      <c r="B26" s="3" t="str">
        <f ca="1">IFERROR(__xludf.DUMMYFUNCTION("""COMPUTED_VALUE"""),"https://www.moneycontrol.com/news/trends/entertainment/indian-film-industry-may-see-70-drop-in-revenue-in-2021-as-lockdown-extends-in-many-states-6831971.html")</f>
        <v>https://www.moneycontrol.com/news/trends/entertainment/indian-film-industry-may-see-70-drop-in-revenue-in-2021-as-lockdown-extends-in-many-states-6831971.html</v>
      </c>
      <c r="C26" s="1" t="str">
        <f ca="1">IFERROR(__xludf.DUMMYFUNCTION("""COMPUTED_VALUE"""),"Fri, 30 Apr 2021 07:00:00 GMT")</f>
        <v>Fri, 30 Apr 2021 07:00:00 GMT</v>
      </c>
      <c r="D26" s="1" t="str">
        <f ca="1">IFERROR(__xludf.DUMMYFUNCTION("""COMPUTED_VALUE"""),"Indian film industry may see 70% drop in revenue in 2021 as lockdown 
extends in many states  Moneycontrol.com")</f>
        <v>Indian film industry may see 70% drop in revenue in 2021 as lockdown 
extends in many states  Moneycontrol.com</v>
      </c>
      <c r="E26" s="1" t="s">
        <v>24</v>
      </c>
    </row>
    <row r="27" spans="1:5" ht="37.5" customHeight="1" x14ac:dyDescent="0.25">
      <c r="A27" s="1" t="str">
        <f ca="1">IFERROR(__xludf.DUMMYFUNCTION("""COMPUTED_VALUE"""),"I see Bollywood as a connection to home. It lately sees me as a villain - CBC.ca")</f>
        <v>I see Bollywood as a connection to home. It lately sees me as a villain - CBC.ca</v>
      </c>
      <c r="B27" s="3" t="str">
        <f ca="1">IFERROR(__xludf.DUMMYFUNCTION("""COMPUTED_VALUE"""),"https://www.cbc.ca/news/canada/first-person-bollywood-anti-muslim-rhetoric-1.6243077")</f>
        <v>https://www.cbc.ca/news/canada/first-person-bollywood-anti-muslim-rhetoric-1.6243077</v>
      </c>
      <c r="C27" s="1" t="str">
        <f ca="1">IFERROR(__xludf.DUMMYFUNCTION("""COMPUTED_VALUE"""),"Wed, 10 Nov 2021 08:00:00 GMT")</f>
        <v>Wed, 10 Nov 2021 08:00:00 GMT</v>
      </c>
      <c r="D27" s="1" t="str">
        <f ca="1">IFERROR(__xludf.DUMMYFUNCTION("""COMPUTED_VALUE"""),"I see Bollywood as a connection to home. It lately sees me as a villain  
CBC.ca")</f>
        <v>I see Bollywood as a connection to home. It lately sees me as a villain  
CBC.ca</v>
      </c>
      <c r="E27" s="1" t="s">
        <v>25</v>
      </c>
    </row>
    <row r="28" spans="1:5" ht="37.5" customHeight="1" x14ac:dyDescent="0.25">
      <c r="A28" s="1" t="str">
        <f ca="1">IFERROR(__xludf.DUMMYFUNCTION("""COMPUTED_VALUE"""),"`Chhorii` director to WION: We`ve made frivolous attempts at horror in past but things are changing - WION")</f>
        <v>`Chhorii` director to WION: We`ve made frivolous attempts at horror in past but things are changing - WION</v>
      </c>
      <c r="B28" s="3" t="str">
        <f ca="1">IFERROR(__xludf.DUMMYFUNCTION("""COMPUTED_VALUE"""),"https://www.wionews.com/entertainment/bollywood/news-chhorii-director-to-wion-weve-made-frivolous-attempts-at-horror-in-past-but-things-are-changing-433244")</f>
        <v>https://www.wionews.com/entertainment/bollywood/news-chhorii-director-to-wion-weve-made-frivolous-attempts-at-horror-in-past-but-things-are-changing-433244</v>
      </c>
      <c r="C28" s="1" t="str">
        <f ca="1">IFERROR(__xludf.DUMMYFUNCTION("""COMPUTED_VALUE"""),"Wed, 01 Dec 2021 11:38:08 GMT")</f>
        <v>Wed, 01 Dec 2021 11:38:08 GMT</v>
      </c>
      <c r="D28" s="1" t="str">
        <f ca="1">IFERROR(__xludf.DUMMYFUNCTION("""COMPUTED_VALUE"""),"`Chhorii` director to WION: We`ve made frivolous attempts at horror in past 
but things are changing  WION")</f>
        <v>`Chhorii` director to WION: We`ve made frivolous attempts at horror in past 
but things are changing  WION</v>
      </c>
      <c r="E28" s="1" t="s">
        <v>26</v>
      </c>
    </row>
    <row r="29" spans="1:5" ht="37.5" customHeight="1" x14ac:dyDescent="0.25">
      <c r="A29" s="1" t="str">
        <f ca="1">IFERROR(__xludf.DUMMYFUNCTION("""COMPUTED_VALUE"""),"Kartik Aaryan on Dhamaka success: ‘Im more confident now to explore content-driven films’ - Firstpost")</f>
        <v>Kartik Aaryan on Dhamaka success: ‘Im more confident now to explore content-driven films’ - Firstpost</v>
      </c>
      <c r="B29" s="3" t="str">
        <f ca="1">IFERROR(__xludf.DUMMYFUNCTION("""COMPUTED_VALUE"""),"https://www.firstpost.com/entertainment/kartik-aaryan-on-dhamaka-success-im-more-confident-now-to-explore-content-driven-films-10188361.html")</f>
        <v>https://www.firstpost.com/entertainment/kartik-aaryan-on-dhamaka-success-im-more-confident-now-to-explore-content-driven-films-10188361.html</v>
      </c>
      <c r="C29" s="1" t="str">
        <f ca="1">IFERROR(__xludf.DUMMYFUNCTION("""COMPUTED_VALUE"""),"Mon, 06 Dec 2021 03:22:07 GMT")</f>
        <v>Mon, 06 Dec 2021 03:22:07 GMT</v>
      </c>
      <c r="D29" s="1" t="str">
        <f ca="1">IFERROR(__xludf.DUMMYFUNCTION("""COMPUTED_VALUE"""),"Kartik Aaryan on Dhamaka success: ‘Im more confident now to explore 
content-driven films’  Firstpost")</f>
        <v>Kartik Aaryan on Dhamaka success: ‘Im more confident now to explore 
content-driven films’  Firstpost</v>
      </c>
      <c r="E29" s="1" t="s">
        <v>27</v>
      </c>
    </row>
    <row r="30" spans="1:5" ht="37.5" customHeight="1" x14ac:dyDescent="0.25">
      <c r="A30" s="1" t="str">
        <f ca="1">IFERROR(__xludf.DUMMYFUNCTION("""COMPUTED_VALUE"""),"Can Bollywood Survive Modi? - The Atlantic")</f>
        <v>Can Bollywood Survive Modi? - The Atlantic</v>
      </c>
      <c r="B30" s="3" t="str">
        <f ca="1">IFERROR(__xludf.DUMMYFUNCTION("""COMPUTED_VALUE"""),"https://www.theatlantic.com/magazine/archive/2021/07/can-bollywood-survive-modi/619008/")</f>
        <v>https://www.theatlantic.com/magazine/archive/2021/07/can-bollywood-survive-modi/619008/</v>
      </c>
      <c r="C30" s="1" t="str">
        <f ca="1">IFERROR(__xludf.DUMMYFUNCTION("""COMPUTED_VALUE"""),"Fri, 11 Jun 2021 07:00:00 GMT")</f>
        <v>Fri, 11 Jun 2021 07:00:00 GMT</v>
      </c>
      <c r="D30" s="1" t="str">
        <f ca="1">IFERROR(__xludf.DUMMYFUNCTION("""COMPUTED_VALUE"""),"Can Bollywood Survive Modi?  The Atlantic")</f>
        <v>Can Bollywood Survive Modi?  The Atlantic</v>
      </c>
      <c r="E30" s="1" t="s">
        <v>28</v>
      </c>
    </row>
    <row r="31" spans="1:5" ht="37.5" customHeight="1" x14ac:dyDescent="0.25">
      <c r="A31" s="1" t="str">
        <f ca="1">IFERROR(__xludf.DUMMYFUNCTION("""COMPUTED_VALUE"""),"Films delayed, losses mount: Hindi film industry stares at slump ‘worse than 2020’ - The Indian Express")</f>
        <v>Films delayed, losses mount: Hindi film industry stares at slump ‘worse than 2020’ - The Indian Express</v>
      </c>
      <c r="B31" s="3" t="str">
        <f ca="1">IFERROR(__xludf.DUMMYFUNCTION("""COMPUTED_VALUE"""),"https://indianexpress.com/article/entertainment/bollywood/films-delayed-losses-mount-hindi-film-industry-stares-at-slump-worse-than-2020-7253076/")</f>
        <v>https://indianexpress.com/article/entertainment/bollywood/films-delayed-losses-mount-hindi-film-industry-stares-at-slump-worse-than-2020-7253076/</v>
      </c>
      <c r="C31" s="1" t="str">
        <f ca="1">IFERROR(__xludf.DUMMYFUNCTION("""COMPUTED_VALUE"""),"Thu, 01 Apr 2021 07:00:00 GMT")</f>
        <v>Thu, 01 Apr 2021 07:00:00 GMT</v>
      </c>
      <c r="D31" s="1" t="str">
        <f ca="1">IFERROR(__xludf.DUMMYFUNCTION("""COMPUTED_VALUE"""),"Films delayed, losses mount: Hindi film industry stares at slump ‘worse 
than 2020’  The Indian Express")</f>
        <v>Films delayed, losses mount: Hindi film industry stares at slump ‘worse 
than 2020’  The Indian Express</v>
      </c>
      <c r="E31" s="1" t="s">
        <v>29</v>
      </c>
    </row>
    <row r="32" spans="1:5" ht="37.5" customHeight="1" x14ac:dyDescent="0.25">
      <c r="A32" s="1" t="str">
        <f ca="1">IFERROR(__xludf.DUMMYFUNCTION("""COMPUTED_VALUE"""),"How OTT saved the South Indian film industry during the Covid pandemic - Moneycontrol.com")</f>
        <v>How OTT saved the South Indian film industry during the Covid pandemic - Moneycontrol.com</v>
      </c>
      <c r="B32" s="3" t="str">
        <f ca="1">IFERROR(__xludf.DUMMYFUNCTION("""COMPUTED_VALUE"""),"https://www.moneycontrol.com/news/trends/entertainment/how-ott-saved-the-south-indian-film-industry-during-covid-7506431.html")</f>
        <v>https://www.moneycontrol.com/news/trends/entertainment/how-ott-saved-the-south-indian-film-industry-during-covid-7506431.html</v>
      </c>
      <c r="C32" s="1" t="str">
        <f ca="1">IFERROR(__xludf.DUMMYFUNCTION("""COMPUTED_VALUE"""),"Sat, 25 Sep 2021 07:00:00 GMT")</f>
        <v>Sat, 25 Sep 2021 07:00:00 GMT</v>
      </c>
      <c r="D32" s="1" t="str">
        <f ca="1">IFERROR(__xludf.DUMMYFUNCTION("""COMPUTED_VALUE"""),"How OTT saved the South Indian film industry during the Covid pandemic  
Moneycontrol.com")</f>
        <v>How OTT saved the South Indian film industry during the Covid pandemic  
Moneycontrol.com</v>
      </c>
      <c r="E32" s="1" t="s">
        <v>30</v>
      </c>
    </row>
    <row r="33" spans="1:5" ht="37.5" customHeight="1" x14ac:dyDescent="0.25">
      <c r="A33" s="1" t="str">
        <f ca="1">IFERROR(__xludf.DUMMYFUNCTION("""COMPUTED_VALUE"""),"After Kurup, I developed a deep connection with Kerala: Sobhita Dhulipala - Mathrubhumi English")</f>
        <v>After Kurup, I developed a deep connection with Kerala: Sobhita Dhulipala - Mathrubhumi English</v>
      </c>
      <c r="B33" s="3" t="str">
        <f ca="1">IFERROR(__xludf.DUMMYFUNCTION("""COMPUTED_VALUE"""),"https://english.mathrubhumi.com/movies-music/movie-news/after-kurup-i-developed-a-deep-connection-with-kerala-sobhita-dhulipala-malayalam-film-industry-1.6192746")</f>
        <v>https://english.mathrubhumi.com/movies-music/movie-news/after-kurup-i-developed-a-deep-connection-with-kerala-sobhita-dhulipala-malayalam-film-industry-1.6192746</v>
      </c>
      <c r="C33" s="1" t="str">
        <f ca="1">IFERROR(__xludf.DUMMYFUNCTION("""COMPUTED_VALUE"""),"Fri, 03 Dec 2021 05:02:00 GMT")</f>
        <v>Fri, 03 Dec 2021 05:02:00 GMT</v>
      </c>
      <c r="D33" s="1" t="str">
        <f ca="1">IFERROR(__xludf.DUMMYFUNCTION("""COMPUTED_VALUE"""),"After Kurup, I developed a deep connection with Kerala: Sobhita Dhulipala  Mathrubhumi 
English")</f>
        <v>After Kurup, I developed a deep connection with Kerala: Sobhita Dhulipala  Mathrubhumi 
English</v>
      </c>
      <c r="E33" s="1" t="s">
        <v>31</v>
      </c>
    </row>
    <row r="34" spans="1:5" ht="37.5" customHeight="1" x14ac:dyDescent="0.25">
      <c r="A34" s="1" t="str">
        <f ca="1">IFERROR(__xludf.DUMMYFUNCTION("""COMPUTED_VALUE"""),"Will this be the year southern cinema overtakes Bollywood? - Livemint")</f>
        <v>Will this be the year southern cinema overtakes Bollywood? - Livemint</v>
      </c>
      <c r="B34" s="3" t="str">
        <f ca="1">IFERROR(__xludf.DUMMYFUNCTION("""COMPUTED_VALUE"""),"https://www.livemint.com/industry/media/regional-cinema-could-overtake-hindi-films-in-box-office-collections-this-year-11630398397114.html")</f>
        <v>https://www.livemint.com/industry/media/regional-cinema-could-overtake-hindi-films-in-box-office-collections-this-year-11630398397114.html</v>
      </c>
      <c r="C34" s="1" t="str">
        <f ca="1">IFERROR(__xludf.DUMMYFUNCTION("""COMPUTED_VALUE"""),"Wed, 01 Sep 2021 07:00:00 GMT")</f>
        <v>Wed, 01 Sep 2021 07:00:00 GMT</v>
      </c>
      <c r="D34" s="1" t="str">
        <f ca="1">IFERROR(__xludf.DUMMYFUNCTION("""COMPUTED_VALUE"""),"Will this be the year southern cinema overtakes Bollywood?  Livemint")</f>
        <v>Will this be the year southern cinema overtakes Bollywood?  Livemint</v>
      </c>
      <c r="E34" s="1" t="s">
        <v>32</v>
      </c>
    </row>
    <row r="35" spans="1:5" ht="37.5" customHeight="1" x14ac:dyDescent="0.25">
      <c r="A35" s="1" t="str">
        <f ca="1">IFERROR(__xludf.DUMMYFUNCTION("""COMPUTED_VALUE"""),"Future Of Entertainment—Industry Needs Fresh Ideas And Confident Risk-takers To Bring Cinema Audiences Back: Siddharth Roy Kapur - Forbes India")</f>
        <v>Future Of Entertainment—Industry Needs Fresh Ideas And Confident Risk-takers To Bring Cinema Audiences Back: Siddharth Roy Kapur - Forbes India</v>
      </c>
      <c r="B35" s="3" t="str">
        <f ca="1">IFERROR(__xludf.DUMMYFUNCTION("""COMPUTED_VALUE"""),"https://www.forbesindia.com/article/12th-anniversary-special/future-of-entertainmentindustry-needs-fresh-ideas-and-confident-risktakers-to-bring-cinema-audiences-back-siddharth-roy-kapur/67883/1")</f>
        <v>https://www.forbesindia.com/article/12th-anniversary-special/future-of-entertainmentindustry-needs-fresh-ideas-and-confident-risktakers-to-bring-cinema-audiences-back-siddharth-roy-kapur/67883/1</v>
      </c>
      <c r="C35" s="1" t="str">
        <f ca="1">IFERROR(__xludf.DUMMYFUNCTION("""COMPUTED_VALUE"""),"Tue, 11 May 2021 07:00:00 GMT")</f>
        <v>Tue, 11 May 2021 07:00:00 GMT</v>
      </c>
      <c r="D35" s="1" t="str">
        <f ca="1">IFERROR(__xludf.DUMMYFUNCTION("""COMPUTED_VALUE"""),"Future Of Entertainment—Industry Needs Fresh Ideas And Confident 
Risk-takers To Bring Cinema Audiences Back: Siddharth Roy Kapur  Forbes 
India")</f>
        <v>Future Of Entertainment—Industry Needs Fresh Ideas And Confident 
Risk-takers To Bring Cinema Audiences Back: Siddharth Roy Kapur  Forbes 
India</v>
      </c>
      <c r="E35" s="1" t="s">
        <v>33</v>
      </c>
    </row>
    <row r="36" spans="1:5" ht="37.5" customHeight="1" x14ac:dyDescent="0.25">
      <c r="A36" s="1" t="str">
        <f ca="1">IFERROR(__xludf.DUMMYFUNCTION("""COMPUTED_VALUE"""),"Indian entertainment industry suffered 24 percent ov..line in revenue in 2020 due to pandemic, report states - Firstpost")</f>
        <v>Indian entertainment industry suffered 24 percent ov..line in revenue in 2020 due to pandemic, report states - Firstpost</v>
      </c>
      <c r="B36" s="3" t="str">
        <f ca="1">IFERROR(__xludf.DUMMYFUNCTION("""COMPUTED_VALUE"""),"https://www.firstpost.com/entertainment/indian-entertainment-industry-suffered-24-percent-overall-decline-in-revenue-in-2020-due-to-pandemic-report-states-9710421.html")</f>
        <v>https://www.firstpost.com/entertainment/indian-entertainment-industry-suffered-24-percent-overall-decline-in-revenue-in-2020-due-to-pandemic-report-states-9710421.html</v>
      </c>
      <c r="C36" s="1" t="str">
        <f ca="1">IFERROR(__xludf.DUMMYFUNCTION("""COMPUTED_VALUE"""),"Sat, 12 Jun 2021 07:00:00 GMT")</f>
        <v>Sat, 12 Jun 2021 07:00:00 GMT</v>
      </c>
      <c r="D36" s="1" t="str">
        <f ca="1">IFERROR(__xludf.DUMMYFUNCTION("""COMPUTED_VALUE"""),"Indian entertainment industry suffered 24 percent ov..line in revenue in 
2020 due to pandemic, report states  Firstpost")</f>
        <v>Indian entertainment industry suffered 24 percent ov..line in revenue in 
2020 due to pandemic, report states  Firstpost</v>
      </c>
      <c r="E36" s="1" t="s">
        <v>34</v>
      </c>
    </row>
    <row r="37" spans="1:5" ht="37.5" customHeight="1" x14ac:dyDescent="0.25">
      <c r="A37" s="1" t="str">
        <f ca="1">IFERROR(__xludf.DUMMYFUNCTION("""COMPUTED_VALUE"""),"Pushpa trailer: Fahadh Faasil, Allu Arjun promise an epic modern-day battle for wealth and power - The Indian Express")</f>
        <v>Pushpa trailer: Fahadh Faasil, Allu Arjun promise an epic modern-day battle for wealth and power - The Indian Express</v>
      </c>
      <c r="B37" s="3" t="str">
        <f ca="1">IFERROR(__xludf.DUMMYFUNCTION("""COMPUTED_VALUE"""),"https://indianexpress.com/article/entertainment/telugu/pushpa-trailer-allu-arjun-fahadh-faasil-promise-an-epic-modern-day-battle-for-wealth-and-power-7659731/")</f>
        <v>https://indianexpress.com/article/entertainment/telugu/pushpa-trailer-allu-arjun-fahadh-faasil-promise-an-epic-modern-day-battle-for-wealth-and-power-7659731/</v>
      </c>
      <c r="C37" s="1" t="str">
        <f ca="1">IFERROR(__xludf.DUMMYFUNCTION("""COMPUTED_VALUE"""),"Tue, 07 Dec 2021 02:24:24 GMT")</f>
        <v>Tue, 07 Dec 2021 02:24:24 GMT</v>
      </c>
      <c r="D37" s="1" t="str">
        <f ca="1">IFERROR(__xludf.DUMMYFUNCTION("""COMPUTED_VALUE"""),"Pushpa trailer: Fahadh Faasil, Allu Arjun promise an epic modern-day battle 
for wealth and power  The Indian Express")</f>
        <v>Pushpa trailer: Fahadh Faasil, Allu Arjun promise an epic modern-day battle 
for wealth and power  The Indian Express</v>
      </c>
      <c r="E37" s="1" t="s">
        <v>35</v>
      </c>
    </row>
    <row r="38" spans="1:5" ht="37.5" customHeight="1" x14ac:dyDescent="0.25">
      <c r="A38" s="1" t="str">
        <f ca="1">IFERROR(__xludf.DUMMYFUNCTION("""COMPUTED_VALUE"""),"Immune to OTT: The future of Indian cinema - Business Insider India")</f>
        <v>Immune to OTT: The future of Indian cinema - Business Insider India</v>
      </c>
      <c r="B38" s="3" t="str">
        <f ca="1">IFERROR(__xludf.DUMMYFUNCTION("""COMPUTED_VALUE"""),"https://www.businessinsider.in/advertising/media/article/immune-to-ott-the-future-of-indian-cinema/articleshow/83031089.cms")</f>
        <v>https://www.businessinsider.in/advertising/media/article/immune-to-ott-the-future-of-indian-cinema/articleshow/83031089.cms</v>
      </c>
      <c r="C38" s="1" t="str">
        <f ca="1">IFERROR(__xludf.DUMMYFUNCTION("""COMPUTED_VALUE"""),"Fri, 28 May 2021 07:00:00 GMT")</f>
        <v>Fri, 28 May 2021 07:00:00 GMT</v>
      </c>
      <c r="D38" s="1" t="str">
        <f ca="1">IFERROR(__xludf.DUMMYFUNCTION("""COMPUTED_VALUE"""),"Immune to OTT: The future of Indian cinema  Business Insider India")</f>
        <v>Immune to OTT: The future of Indian cinema  Business Insider India</v>
      </c>
      <c r="E38" s="1" t="s">
        <v>36</v>
      </c>
    </row>
    <row r="39" spans="1:5" ht="37.5" customHeight="1" x14ac:dyDescent="0.25">
      <c r="A39" s="1" t="str">
        <f ca="1">IFERROR(__xludf.DUMMYFUNCTION("""COMPUTED_VALUE"""),"Indian cinema and the North-South divide - The Sunday Guardian Live - The Sunday Guardian")</f>
        <v>Indian cinema and the North-South divide - The Sunday Guardian Live - The Sunday Guardian</v>
      </c>
      <c r="B39" s="3" t="str">
        <f ca="1">IFERROR(__xludf.DUMMYFUNCTION("""COMPUTED_VALUE"""),"https://www.sundayguardianlive.com/culture/indian-cinema-north-south-divide")</f>
        <v>https://www.sundayguardianlive.com/culture/indian-cinema-north-south-divide</v>
      </c>
      <c r="C39" s="1" t="str">
        <f ca="1">IFERROR(__xludf.DUMMYFUNCTION("""COMPUTED_VALUE"""),"Sat, 10 Apr 2021 07:00:00 GMT")</f>
        <v>Sat, 10 Apr 2021 07:00:00 GMT</v>
      </c>
      <c r="D39" s="1" t="str">
        <f ca="1">IFERROR(__xludf.DUMMYFUNCTION("""COMPUTED_VALUE"""),"Indian cinema and the North-South divide - The Sunday Guardian Live  The 
Sunday Guardian")</f>
        <v>Indian cinema and the North-South divide - The Sunday Guardian Live  The 
Sunday Guardian</v>
      </c>
      <c r="E39" s="1" t="s">
        <v>37</v>
      </c>
    </row>
    <row r="40" spans="1:5" ht="37.5" customHeight="1" x14ac:dyDescent="0.25">
      <c r="A40" s="1" t="str">
        <f ca="1">IFERROR(__xludf.DUMMYFUNCTION("""COMPUTED_VALUE"""),"Overseas markets bring hope for ailing Indian film industry - Livemint")</f>
        <v>Overseas markets bring hope for ailing Indian film industry - Livemint</v>
      </c>
      <c r="B40" s="3" t="str">
        <f ca="1">IFERROR(__xludf.DUMMYFUNCTION("""COMPUTED_VALUE"""),"https://www.livemint.com/industry/media/overseas-markets-bring-hope-for-ailing-indian-film-industry-11620376671351.html")</f>
        <v>https://www.livemint.com/industry/media/overseas-markets-bring-hope-for-ailing-indian-film-industry-11620376671351.html</v>
      </c>
      <c r="C40" s="1" t="str">
        <f ca="1">IFERROR(__xludf.DUMMYFUNCTION("""COMPUTED_VALUE"""),"Fri, 07 May 2021 07:00:00 GMT")</f>
        <v>Fri, 07 May 2021 07:00:00 GMT</v>
      </c>
      <c r="D40" s="1" t="str">
        <f ca="1">IFERROR(__xludf.DUMMYFUNCTION("""COMPUTED_VALUE"""),"Overseas markets bring hope for ailing Indian film industry  Livemint")</f>
        <v>Overseas markets bring hope for ailing Indian film industry  Livemint</v>
      </c>
      <c r="E40" s="15" t="s">
        <v>116</v>
      </c>
    </row>
    <row r="41" spans="1:5" ht="37.5" customHeight="1" x14ac:dyDescent="0.25">
      <c r="A41" s="1" t="str">
        <f ca="1">IFERROR(__xludf.DUMMYFUNCTION("""COMPUTED_VALUE"""),"Indian Entertainment Industry Shrank By a Quarter in COVID-Hit 2020 - Variety")</f>
        <v>Indian Entertainment Industry Shrank By a Quarter in COVID-Hit 2020 - Variety</v>
      </c>
      <c r="B41" s="3" t="str">
        <f ca="1">IFERROR(__xludf.DUMMYFUNCTION("""COMPUTED_VALUE"""),"https://variety.com/2021/biz/news/india-media-industry-report-2021-rrr-sooryavanshi-1234938646/")</f>
        <v>https://variety.com/2021/biz/news/india-media-industry-report-2021-rrr-sooryavanshi-1234938646/</v>
      </c>
      <c r="C41" s="1" t="str">
        <f ca="1">IFERROR(__xludf.DUMMYFUNCTION("""COMPUTED_VALUE"""),"Fri, 26 Mar 2021 07:00:00 GMT")</f>
        <v>Fri, 26 Mar 2021 07:00:00 GMT</v>
      </c>
      <c r="D41" s="1" t="str">
        <f ca="1">IFERROR(__xludf.DUMMYFUNCTION("""COMPUTED_VALUE"""),"Indian Entertainment Industry Shrank By a Quarter in COVID-Hit 2020  Variety")</f>
        <v>Indian Entertainment Industry Shrank By a Quarter in COVID-Hit 2020  Variety</v>
      </c>
      <c r="E41" s="1" t="s">
        <v>38</v>
      </c>
    </row>
    <row r="42" spans="1:5" ht="37.5" customHeight="1" x14ac:dyDescent="0.25">
      <c r="A42" s="1" t="str">
        <f ca="1">IFERROR(__xludf.DUMMYFUNCTION("""COMPUTED_VALUE"""),"Coronavirus: India film industry could take two years to recover - Aljazeera.com")</f>
        <v>Coronavirus: India film industry could take two years to recover - Aljazeera.com</v>
      </c>
      <c r="B42" s="3" t="str">
        <f ca="1">IFERROR(__xludf.DUMMYFUNCTION("""COMPUTED_VALUE"""),"https://www.aljazeera.com/economy/2020/5/1/coronavirus-india-film-industry-could-take-two-years-to-recover")</f>
        <v>https://www.aljazeera.com/economy/2020/5/1/coronavirus-india-film-industry-could-take-two-years-to-recover</v>
      </c>
      <c r="C42" s="1" t="str">
        <f ca="1">IFERROR(__xludf.DUMMYFUNCTION("""COMPUTED_VALUE"""),"Fri, 01 May 2020 07:00:00 GMT")</f>
        <v>Fri, 01 May 2020 07:00:00 GMT</v>
      </c>
      <c r="D42" s="1" t="str">
        <f ca="1">IFERROR(__xludf.DUMMYFUNCTION("""COMPUTED_VALUE"""),"Coronavirus: India film industry could take two years to recover  
Aljazeera.com")</f>
        <v>Coronavirus: India film industry could take two years to recover  
Aljazeera.com</v>
      </c>
      <c r="E42" s="1" t="s">
        <v>39</v>
      </c>
    </row>
    <row r="43" spans="1:5" ht="37.5" customHeight="1" x14ac:dyDescent="0.25">
      <c r="A43" s="1" t="str">
        <f ca="1">IFERROR(__xludf.DUMMYFUNCTION("""COMPUTED_VALUE"""),"Indian Film Industry: Local to Global - http://www.newsgram.com/")</f>
        <v>Indian Film Industry: Local to Global - http://www.newsgram.com/</v>
      </c>
      <c r="B43" s="3" t="str">
        <f ca="1">IFERROR(__xludf.DUMMYFUNCTION("""COMPUTED_VALUE"""),"https://www.newsgram.com/indian-film-industry")</f>
        <v>https://www.newsgram.com/indian-film-industry</v>
      </c>
      <c r="C43" s="1" t="str">
        <f ca="1">IFERROR(__xludf.DUMMYFUNCTION("""COMPUTED_VALUE"""),"Sat, 30 Oct 2021 07:00:00 GMT")</f>
        <v>Sat, 30 Oct 2021 07:00:00 GMT</v>
      </c>
      <c r="D43" s="1" t="str">
        <f ca="1">IFERROR(__xludf.DUMMYFUNCTION("""COMPUTED_VALUE"""),"Indian Film Industry: Local to Global  http://www.newsgram.com/")</f>
        <v>Indian Film Industry: Local to Global  http://www.newsgram.com/</v>
      </c>
      <c r="E43" s="1" t="s">
        <v>40</v>
      </c>
    </row>
    <row r="44" spans="1:5" ht="37.5" customHeight="1" x14ac:dyDescent="0.25">
      <c r="A44" s="1" t="str">
        <f ca="1">IFERROR(__xludf.DUMMYFUNCTION("""COMPUTED_VALUE"""),"Audience ignore Omicron threat, throng to watch Madagaja - The Hans India")</f>
        <v>Audience ignore Omicron threat, throng to watch Madagaja - The Hans India</v>
      </c>
      <c r="B44" s="3" t="str">
        <f ca="1">IFERROR(__xludf.DUMMYFUNCTION("""COMPUTED_VALUE"""),"https://www.thehansindia.com/cinema/sandalwood/audience-ignore-omicron-threat-throng-to-watch-madagaja-718474")</f>
        <v>https://www.thehansindia.com/cinema/sandalwood/audience-ignore-omicron-threat-throng-to-watch-madagaja-718474</v>
      </c>
      <c r="C44" s="1" t="str">
        <f ca="1">IFERROR(__xludf.DUMMYFUNCTION("""COMPUTED_VALUE"""),"Mon, 06 Dec 2021 18:12:45 GMT")</f>
        <v>Mon, 06 Dec 2021 18:12:45 GMT</v>
      </c>
      <c r="D44" s="1" t="str">
        <f ca="1">IFERROR(__xludf.DUMMYFUNCTION("""COMPUTED_VALUE"""),"Audience ignore Omicron threat, throng to watch Madagaja  The Hans India")</f>
        <v>Audience ignore Omicron threat, throng to watch Madagaja  The Hans India</v>
      </c>
      <c r="E44" s="1" t="s">
        <v>41</v>
      </c>
    </row>
    <row r="45" spans="1:5" ht="37.5" customHeight="1" x14ac:dyDescent="0.25">
      <c r="A45" s="1" t="str">
        <f ca="1">IFERROR(__xludf.DUMMYFUNCTION("""COMPUTED_VALUE"""),"Covid-19 impact: Malayalam film industry in trouble - India Today")</f>
        <v>Covid-19 impact: Malayalam film industry in trouble - India Today</v>
      </c>
      <c r="B45" s="3" t="str">
        <f ca="1">IFERROR(__xludf.DUMMYFUNCTION("""COMPUTED_VALUE"""),"https://www.indiatoday.in/india-today-insight/story/covid-19-impact-malayalam-film-industry-in-trouble-1815648-2021-06-16")</f>
        <v>https://www.indiatoday.in/india-today-insight/story/covid-19-impact-malayalam-film-industry-in-trouble-1815648-2021-06-16</v>
      </c>
      <c r="C45" s="1" t="str">
        <f ca="1">IFERROR(__xludf.DUMMYFUNCTION("""COMPUTED_VALUE"""),"Wed, 16 Jun 2021 07:00:00 GMT")</f>
        <v>Wed, 16 Jun 2021 07:00:00 GMT</v>
      </c>
      <c r="D45" s="1" t="str">
        <f ca="1">IFERROR(__xludf.DUMMYFUNCTION("""COMPUTED_VALUE"""),"Covid-19 impact: Malayalam film industry in trouble  India Today")</f>
        <v>Covid-19 impact: Malayalam film industry in trouble  India Today</v>
      </c>
      <c r="E45" s="1" t="s">
        <v>42</v>
      </c>
    </row>
    <row r="46" spans="1:5" ht="37.5" customHeight="1" x14ac:dyDescent="0.25">
      <c r="A46" s="1" t="str">
        <f ca="1">IFERROR(__xludf.DUMMYFUNCTION("""COMPUTED_VALUE"""),"Kannada film industry to celebrate Puneeth Rajkumar with a special event on Nov 16 - India Today")</f>
        <v>Kannada film industry to celebrate Puneeth Rajkumar with a special event on Nov 16 - India Today</v>
      </c>
      <c r="B46" s="3" t="str">
        <f ca="1">IFERROR(__xludf.DUMMYFUNCTION("""COMPUTED_VALUE"""),"https://www.indiatoday.in/movies/regional-cinema/story/kannada-film-industry-to-celebrate-puneeth-rajkumar-with-a-special-event-on-nov-16-1876551-2021-11-14")</f>
        <v>https://www.indiatoday.in/movies/regional-cinema/story/kannada-film-industry-to-celebrate-puneeth-rajkumar-with-a-special-event-on-nov-16-1876551-2021-11-14</v>
      </c>
      <c r="C46" s="1" t="str">
        <f ca="1">IFERROR(__xludf.DUMMYFUNCTION("""COMPUTED_VALUE"""),"Sun, 14 Nov 2021 08:00:00 GMT")</f>
        <v>Sun, 14 Nov 2021 08:00:00 GMT</v>
      </c>
      <c r="D46" s="1" t="str">
        <f ca="1">IFERROR(__xludf.DUMMYFUNCTION("""COMPUTED_VALUE"""),"Kannada film industry to celebrate Puneeth Rajkumar with a special event on 
Nov 16  India Today")</f>
        <v>Kannada film industry to celebrate Puneeth Rajkumar with a special event on 
Nov 16  India Today</v>
      </c>
      <c r="E46" s="1" t="s">
        <v>43</v>
      </c>
    </row>
    <row r="47" spans="1:5" ht="37.5" customHeight="1" x14ac:dyDescent="0.25">
      <c r="A47" s="1" t="str">
        <f ca="1">IFERROR(__xludf.DUMMYFUNCTION("""COMPUTED_VALUE"""),"Kurup, The first Indian Movie NFT Exclusively on Ammbr - one of the fastest growing NFT Marketplaces - EIN News")</f>
        <v>Kurup, The first Indian Movie NFT Exclusively on Ammbr - one of the fastest growing NFT Marketplaces - EIN News</v>
      </c>
      <c r="B47" s="3" t="str">
        <f ca="1">IFERROR(__xludf.DUMMYFUNCTION("""COMPUTED_VALUE"""),"https://www.einnews.com/pr_news/554190290/kurup-the-first-indian-movie-nft-exclusively-on-ammbr-one-of-the-fastest-growing-nft-marketplaces")</f>
        <v>https://www.einnews.com/pr_news/554190290/kurup-the-first-indian-movie-nft-exclusively-on-ammbr-one-of-the-fastest-growing-nft-marketplaces</v>
      </c>
      <c r="C47" s="1" t="str">
        <f ca="1">IFERROR(__xludf.DUMMYFUNCTION("""COMPUTED_VALUE"""),"Wed, 20 Oct 2021 07:00:00 GMT")</f>
        <v>Wed, 20 Oct 2021 07:00:00 GMT</v>
      </c>
      <c r="D47" s="1" t="str">
        <f ca="1">IFERROR(__xludf.DUMMYFUNCTION("""COMPUTED_VALUE"""),"Kurup, The first Indian Movie NFT Exclusively on Ammbr - one of the fastest 
growing NFT Marketplaces  EIN News")</f>
        <v>Kurup, The first Indian Movie NFT Exclusively on Ammbr - one of the fastest 
growing NFT Marketplaces  EIN News</v>
      </c>
      <c r="E47" s="15" t="s">
        <v>115</v>
      </c>
    </row>
    <row r="48" spans="1:5" ht="37.5" customHeight="1" x14ac:dyDescent="0.25">
      <c r="A48" s="1" t="str">
        <f ca="1">IFERROR(__xludf.DUMMYFUNCTION("""COMPUTED_VALUE"""),"Southern film industry lost ₹1,000 crore during covid - Livemint")</f>
        <v>Southern film industry lost ₹1,000 crore during covid - Livemint</v>
      </c>
      <c r="B48" s="3" t="str">
        <f ca="1">IFERROR(__xludf.DUMMYFUNCTION("""COMPUTED_VALUE"""),"https://www.livemint.com/industry/media/southern-film-industry-lost-rs-1-000-crore-during-covid-11625562104613.html")</f>
        <v>https://www.livemint.com/industry/media/southern-film-industry-lost-rs-1-000-crore-during-covid-11625562104613.html</v>
      </c>
      <c r="C48" s="1" t="str">
        <f ca="1">IFERROR(__xludf.DUMMYFUNCTION("""COMPUTED_VALUE"""),"Tue, 06 Jul 2021 07:00:00 GMT")</f>
        <v>Tue, 06 Jul 2021 07:00:00 GMT</v>
      </c>
      <c r="D48" s="1" t="str">
        <f ca="1">IFERROR(__xludf.DUMMYFUNCTION("""COMPUTED_VALUE"""),"Southern film industry lost ₹1,000 crore during covid  Livemint")</f>
        <v>Southern film industry lost ₹1,000 crore during covid  Livemint</v>
      </c>
      <c r="E48" s="1" t="s">
        <v>44</v>
      </c>
    </row>
    <row r="49" spans="1:5" ht="37.5" customHeight="1" x14ac:dyDescent="0.25">
      <c r="A49" s="1" t="str">
        <f ca="1">IFERROR(__xludf.DUMMYFUNCTION("""COMPUTED_VALUE"""),"A look into 5 Bollywood films dropping big racks on production in 2021 - Kulture Hub")</f>
        <v>A look into 5 Bollywood films dropping big racks on production in 2021 - Kulture Hub</v>
      </c>
      <c r="B49" s="3" t="str">
        <f ca="1">IFERROR(__xludf.DUMMYFUNCTION("""COMPUTED_VALUE"""),"https://kulturehub.com/most-expensive-bollywood-films-2021/")</f>
        <v>https://kulturehub.com/most-expensive-bollywood-films-2021/</v>
      </c>
      <c r="C49" s="1" t="str">
        <f ca="1">IFERROR(__xludf.DUMMYFUNCTION("""COMPUTED_VALUE"""),"Fri, 08 Jan 2021 08:00:00 GMT")</f>
        <v>Fri, 08 Jan 2021 08:00:00 GMT</v>
      </c>
      <c r="D49" s="1" t="str">
        <f ca="1">IFERROR(__xludf.DUMMYFUNCTION("""COMPUTED_VALUE"""),"A look into 5 Bollywood films dropping big racks on production in 2021  Kulture 
Hub")</f>
        <v>A look into 5 Bollywood films dropping big racks on production in 2021  Kulture 
Hub</v>
      </c>
      <c r="E49" s="1" t="s">
        <v>45</v>
      </c>
    </row>
    <row r="50" spans="1:5" ht="37.5" customHeight="1" x14ac:dyDescent="0.25">
      <c r="A50" s="1" t="str">
        <f ca="1">IFERROR(__xludf.DUMMYFUNCTION("""COMPUTED_VALUE"""),"Bollywood bets on big films to woo cinemagoers - Livemint")</f>
        <v>Bollywood bets on big films to woo cinemagoers - Livemint</v>
      </c>
      <c r="B50" s="3" t="str">
        <f ca="1">IFERROR(__xludf.DUMMYFUNCTION("""COMPUTED_VALUE"""),"https://www.livemint.com/industry/media/will-bollywood-s-bet-on-films-with-whopping-budgets-pay-off-11635239927111.html")</f>
        <v>https://www.livemint.com/industry/media/will-bollywood-s-bet-on-films-with-whopping-budgets-pay-off-11635239927111.html</v>
      </c>
      <c r="C50" s="1" t="str">
        <f ca="1">IFERROR(__xludf.DUMMYFUNCTION("""COMPUTED_VALUE"""),"Wed, 27 Oct 2021 07:00:00 GMT")</f>
        <v>Wed, 27 Oct 2021 07:00:00 GMT</v>
      </c>
      <c r="D50" s="1" t="str">
        <f ca="1">IFERROR(__xludf.DUMMYFUNCTION("""COMPUTED_VALUE"""),"Bollywood bets on big films to woo cinemagoers  Livemint")</f>
        <v>Bollywood bets on big films to woo cinemagoers  Livemint</v>
      </c>
      <c r="E50" s="1" t="s">
        <v>46</v>
      </c>
    </row>
    <row r="51" spans="1:5" ht="37.5" customHeight="1" x14ac:dyDescent="0.25">
      <c r="A51" s="1" t="str">
        <f ca="1">IFERROR(__xludf.DUMMYFUNCTION("""COMPUTED_VALUE"""),"Why Malayalam cinema, not Bollywood, is India’s rapid-response unit for Covid films - The Guardian")</f>
        <v>Why Malayalam cinema, not Bollywood, is India’s rapid-response unit for Covid films - The Guardian</v>
      </c>
      <c r="B51" s="3" t="str">
        <f ca="1">IFERROR(__xludf.DUMMYFUNCTION("""COMPUTED_VALUE"""),"https://www.theguardian.com/film/2021/jul/01/malayalam-cinema-covid-bollywood")</f>
        <v>https://www.theguardian.com/film/2021/jul/01/malayalam-cinema-covid-bollywood</v>
      </c>
      <c r="C51" s="1" t="str">
        <f ca="1">IFERROR(__xludf.DUMMYFUNCTION("""COMPUTED_VALUE"""),"Thu, 01 Jul 2021 07:00:00 GMT")</f>
        <v>Thu, 01 Jul 2021 07:00:00 GMT</v>
      </c>
      <c r="D51" s="1" t="str">
        <f ca="1">IFERROR(__xludf.DUMMYFUNCTION("""COMPUTED_VALUE"""),"Why Malayalam cinema, not Bollywood, is India’s rapid-response unit for 
Covid films  The Guardian")</f>
        <v>Why Malayalam cinema, not Bollywood, is India’s rapid-response unit for 
Covid films  The Guardian</v>
      </c>
      <c r="E51" s="1" t="s">
        <v>47</v>
      </c>
    </row>
    <row r="52" spans="1:5" ht="37.5" customHeight="1" x14ac:dyDescent="0.25">
      <c r="A52" s="1" t="str">
        <f ca="1">IFERROR(__xludf.DUMMYFUNCTION("""COMPUTED_VALUE"""),"Covid-ravaged Indian cinemas plot falters, will take years to pick up - Business Standard")</f>
        <v>Covid-ravaged Indian cinemas plot falters, will take years to pick up - Business Standard</v>
      </c>
      <c r="B52" s="3" t="str">
        <f ca="1">IFERROR(__xludf.DUMMYFUNCTION("""COMPUTED_VALUE"""),"https://www.business-standard.com/article/current-affairs/covid-ravaged-indian-cinema-s-plot-falters-will-take-years-to-pick-up-121042200007_1.html")</f>
        <v>https://www.business-standard.com/article/current-affairs/covid-ravaged-indian-cinema-s-plot-falters-will-take-years-to-pick-up-121042200007_1.html</v>
      </c>
      <c r="C52" s="1" t="str">
        <f ca="1">IFERROR(__xludf.DUMMYFUNCTION("""COMPUTED_VALUE"""),"Thu, 22 Apr 2021 07:00:00 GMT")</f>
        <v>Thu, 22 Apr 2021 07:00:00 GMT</v>
      </c>
      <c r="D52" s="1" t="str">
        <f ca="1">IFERROR(__xludf.DUMMYFUNCTION("""COMPUTED_VALUE"""),"Covid-ravaged Indian cinemas plot falters, will take years to pick up  Business 
Standard")</f>
        <v>Covid-ravaged Indian cinemas plot falters, will take years to pick up  Business 
Standard</v>
      </c>
      <c r="E52" s="1" t="s">
        <v>48</v>
      </c>
    </row>
    <row r="53" spans="1:5" ht="37.5" customHeight="1" x14ac:dyDescent="0.25">
      <c r="A53" s="1" t="str">
        <f ca="1">IFERROR(__xludf.DUMMYFUNCTION("""COMPUTED_VALUE"""),"Covid, cinema and censorship The siege of Bollywood - The Economist")</f>
        <v>Covid, cinema and censorship The siege of Bollywood - The Economist</v>
      </c>
      <c r="B53" s="3" t="str">
        <f ca="1">IFERROR(__xludf.DUMMYFUNCTION("""COMPUTED_VALUE"""),"https://www.economist.com/books-and-arts/2021/02/25/the-siege-of-bollywood")</f>
        <v>https://www.economist.com/books-and-arts/2021/02/25/the-siege-of-bollywood</v>
      </c>
      <c r="C53" s="1" t="str">
        <f ca="1">IFERROR(__xludf.DUMMYFUNCTION("""COMPUTED_VALUE"""),"Thu, 25 Feb 2021 08:00:00 GMT")</f>
        <v>Thu, 25 Feb 2021 08:00:00 GMT</v>
      </c>
      <c r="D53" s="1" t="str">
        <f ca="1">IFERROR(__xludf.DUMMYFUNCTION("""COMPUTED_VALUE"""),"Covid, cinema and censorship The siege of Bollywood  The Economist")</f>
        <v>Covid, cinema and censorship The siege of Bollywood  The Economist</v>
      </c>
      <c r="E53" s="1" t="s">
        <v>49</v>
      </c>
    </row>
    <row r="54" spans="1:5" ht="37.5" customHeight="1" x14ac:dyDescent="0.25">
      <c r="A54" s="1" t="str">
        <f ca="1">IFERROR(__xludf.DUMMYFUNCTION("""COMPUTED_VALUE"""),"Small regional film industries set for a dark future as losses mount - Livemint")</f>
        <v>Small regional film industries set for a dark future as losses mount - Livemint</v>
      </c>
      <c r="B54" s="3" t="str">
        <f ca="1">IFERROR(__xludf.DUMMYFUNCTION("""COMPUTED_VALUE"""),"https://www.livemint.com/news/small-regional-film-industries-set-for-a-dark-future-as-losses-mount-11621751845279.html")</f>
        <v>https://www.livemint.com/news/small-regional-film-industries-set-for-a-dark-future-as-losses-mount-11621751845279.html</v>
      </c>
      <c r="C54" s="1" t="str">
        <f ca="1">IFERROR(__xludf.DUMMYFUNCTION("""COMPUTED_VALUE"""),"Sun, 23 May 2021 07:00:00 GMT")</f>
        <v>Sun, 23 May 2021 07:00:00 GMT</v>
      </c>
      <c r="D54" s="1" t="str">
        <f ca="1">IFERROR(__xludf.DUMMYFUNCTION("""COMPUTED_VALUE"""),"Small regional film industries set for a dark future as losses mount  
Livemint")</f>
        <v>Small regional film industries set for a dark future as losses mount  
Livemint</v>
      </c>
      <c r="E54" s="1" t="s">
        <v>50</v>
      </c>
    </row>
    <row r="55" spans="1:5" ht="37.5" customHeight="1" x14ac:dyDescent="0.25">
      <c r="A55" s="1" t="str">
        <f ca="1">IFERROR(__xludf.DUMMYFUNCTION("""COMPUTED_VALUE"""),"Nagaland: Indian state tense after killing of 14 civilians - BBC News")</f>
        <v>Nagaland: Indian state tense after killing of 14 civilians - BBC News</v>
      </c>
      <c r="B55" s="3" t="str">
        <f ca="1">IFERROR(__xludf.DUMMYFUNCTION("""COMPUTED_VALUE"""),"https://www.bbc.co.uk/news/world-asia-india-59544599")</f>
        <v>https://www.bbc.co.uk/news/world-asia-india-59544599</v>
      </c>
      <c r="C55" s="1" t="str">
        <f ca="1">IFERROR(__xludf.DUMMYFUNCTION("""COMPUTED_VALUE"""),"Mon, 06 Dec 2021 06:29:19 GMT")</f>
        <v>Mon, 06 Dec 2021 06:29:19 GMT</v>
      </c>
      <c r="D55" s="1" t="str">
        <f ca="1">IFERROR(__xludf.DUMMYFUNCTION("""COMPUTED_VALUE"""),"Nagaland: Indian state tense after killing of 14 civilians  BBC News")</f>
        <v>Nagaland: Indian state tense after killing of 14 civilians  BBC News</v>
      </c>
      <c r="E55" s="1" t="s">
        <v>51</v>
      </c>
    </row>
    <row r="56" spans="1:5" ht="37.5" customHeight="1" x14ac:dyDescent="0.25">
      <c r="A56" s="1" t="str">
        <f ca="1">IFERROR(__xludf.DUMMYFUNCTION("""COMPUTED_VALUE"""),"How south Indian cinema is boosting theatrical business post COVID-19 with pan-Indian projects - Firstpost")</f>
        <v>How south Indian cinema is boosting theatrical business post COVID-19 with pan-Indian projects - Firstpost</v>
      </c>
      <c r="B56" s="3" t="str">
        <f ca="1">IFERROR(__xludf.DUMMYFUNCTION("""COMPUTED_VALUE"""),"https://www.firstpost.com/entertainment/how-south-indian-cinema-is-boosting-theatrical-business-post-covid-19-with-pan-indian-projects-9337621.html")</f>
        <v>https://www.firstpost.com/entertainment/how-south-indian-cinema-is-boosting-theatrical-business-post-covid-19-with-pan-indian-projects-9337621.html</v>
      </c>
      <c r="C56" s="1" t="str">
        <f ca="1">IFERROR(__xludf.DUMMYFUNCTION("""COMPUTED_VALUE"""),"Wed, 24 Feb 2021 08:00:00 GMT")</f>
        <v>Wed, 24 Feb 2021 08:00:00 GMT</v>
      </c>
      <c r="D56" s="1" t="str">
        <f ca="1">IFERROR(__xludf.DUMMYFUNCTION("""COMPUTED_VALUE"""),"How south Indian cinema is boosting theatrical business post COVID-19 with 
pan-Indian projects  Firstpost")</f>
        <v>How south Indian cinema is boosting theatrical business post COVID-19 with 
pan-Indian projects  Firstpost</v>
      </c>
      <c r="E56" s="1" t="s">
        <v>52</v>
      </c>
    </row>
    <row r="57" spans="1:5" ht="37.5" customHeight="1" x14ac:dyDescent="0.25">
      <c r="A57" s="1" t="str">
        <f ca="1">IFERROR(__xludf.DUMMYFUNCTION("""COMPUTED_VALUE"""),"Explained: Why, despite its limited box office success, BellBottom’s theatrical is an important signal for film industry - The Indian Express")</f>
        <v>Explained: Why, despite its limited box office success, BellBottom’s theatrical is an important signal for film industry - The Indian Express</v>
      </c>
      <c r="B57" s="3" t="str">
        <f ca="1">IFERROR(__xludf.DUMMYFUNCTION("""COMPUTED_VALUE"""),"https://indianexpress.com/article/explained/explained-how-bellbottom-theatrical-release-has-set-the-ball-rolling-for-films-in-coming-months-7472466/")</f>
        <v>https://indianexpress.com/article/explained/explained-how-bellbottom-theatrical-release-has-set-the-ball-rolling-for-films-in-coming-months-7472466/</v>
      </c>
      <c r="C57" s="1" t="str">
        <f ca="1">IFERROR(__xludf.DUMMYFUNCTION("""COMPUTED_VALUE"""),"Sun, 05 Sep 2021 07:00:00 GMT")</f>
        <v>Sun, 05 Sep 2021 07:00:00 GMT</v>
      </c>
      <c r="D57" s="1" t="str">
        <f ca="1">IFERROR(__xludf.DUMMYFUNCTION("""COMPUTED_VALUE"""),"Explained: Why, despite its limited box office success, BellBottom’s 
theatrical is an important signal for film industry  The Indian Express")</f>
        <v>Explained: Why, despite its limited box office success, BellBottom’s 
theatrical is an important signal for film industry  The Indian Express</v>
      </c>
      <c r="E57" s="1" t="s">
        <v>53</v>
      </c>
    </row>
    <row r="58" spans="1:5" ht="37.5" customHeight="1" x14ac:dyDescent="0.25">
      <c r="A58" s="1" t="str">
        <f ca="1">IFERROR(__xludf.DUMMYFUNCTION("""COMPUTED_VALUE"""),"Bollywood’s Soft Power Is Not Enough for the Oscars - Fair Observer")</f>
        <v>Bollywood’s Soft Power Is Not Enough for the Oscars - Fair Observer</v>
      </c>
      <c r="B58" s="3" t="str">
        <f ca="1">IFERROR(__xludf.DUMMYFUNCTION("""COMPUTED_VALUE"""),"https://www.fairobserver.com/region/central_south_asia/franthiesco-ballerini-bollywood-news-oscars-academy-awards-indian-film-industry-india-news-19290/")</f>
        <v>https://www.fairobserver.com/region/central_south_asia/franthiesco-ballerini-bollywood-news-oscars-academy-awards-indian-film-industry-india-news-19290/</v>
      </c>
      <c r="C58" s="1" t="str">
        <f ca="1">IFERROR(__xludf.DUMMYFUNCTION("""COMPUTED_VALUE"""),"Tue, 20 Apr 2021 07:00:00 GMT")</f>
        <v>Tue, 20 Apr 2021 07:00:00 GMT</v>
      </c>
      <c r="D58" s="1" t="str">
        <f ca="1">IFERROR(__xludf.DUMMYFUNCTION("""COMPUTED_VALUE"""),"Bollywood’s Soft Power Is Not Enough for the Oscars  Fair Observer")</f>
        <v>Bollywood’s Soft Power Is Not Enough for the Oscars  Fair Observer</v>
      </c>
      <c r="E58" s="1" t="s">
        <v>54</v>
      </c>
    </row>
    <row r="59" spans="1:5" ht="37.5" customHeight="1" x14ac:dyDescent="0.25">
      <c r="A59" s="1" t="str">
        <f ca="1">IFERROR(__xludf.DUMMYFUNCTION("""COMPUTED_VALUE"""),"Down with COVID-19, film industry eyes release of two Bollywood films for revival - Moneycontrol.com")</f>
        <v>Down with COVID-19, film industry eyes release of two Bollywood films for revival - Moneycontrol.com</v>
      </c>
      <c r="B59" s="3" t="str">
        <f ca="1">IFERROR(__xludf.DUMMYFUNCTION("""COMPUTED_VALUE"""),"https://www.moneycontrol.com/news/trends/entertainment/down-with-covid-19-film-industry-eyes-release-of-two-bollywood-films-for-revival-7342591.html")</f>
        <v>https://www.moneycontrol.com/news/trends/entertainment/down-with-covid-19-film-industry-eyes-release-of-two-bollywood-films-for-revival-7342591.html</v>
      </c>
      <c r="C59" s="1" t="str">
        <f ca="1">IFERROR(__xludf.DUMMYFUNCTION("""COMPUTED_VALUE"""),"Mon, 16 Aug 2021 07:00:00 GMT")</f>
        <v>Mon, 16 Aug 2021 07:00:00 GMT</v>
      </c>
      <c r="D59" s="1" t="str">
        <f ca="1">IFERROR(__xludf.DUMMYFUNCTION("""COMPUTED_VALUE"""),"Down with COVID-19, film industry eyes release of two Bollywood films for 
revival  Moneycontrol.com")</f>
        <v>Down with COVID-19, film industry eyes release of two Bollywood films for 
revival  Moneycontrol.com</v>
      </c>
      <c r="E59" s="1" t="s">
        <v>55</v>
      </c>
    </row>
    <row r="60" spans="1:5" ht="13.2" x14ac:dyDescent="0.25">
      <c r="A60" s="1"/>
      <c r="B60" s="1"/>
      <c r="C60" s="1"/>
      <c r="D60" s="1"/>
      <c r="E60" s="1"/>
    </row>
    <row r="61" spans="1:5" ht="13.2" x14ac:dyDescent="0.25">
      <c r="A61" s="1"/>
      <c r="B61" s="1"/>
      <c r="C61" s="1"/>
      <c r="D61" s="1"/>
      <c r="E61" s="1"/>
    </row>
    <row r="62" spans="1:5" ht="13.2" x14ac:dyDescent="0.25">
      <c r="A62" s="1"/>
      <c r="B62" s="1"/>
      <c r="C62" s="1"/>
      <c r="D62" s="1"/>
      <c r="E62" s="1"/>
    </row>
    <row r="63" spans="1:5" ht="13.2" x14ac:dyDescent="0.25">
      <c r="A63" s="1"/>
      <c r="B63" s="1"/>
      <c r="C63" s="1"/>
      <c r="D63" s="1"/>
      <c r="E63" s="1"/>
    </row>
    <row r="64" spans="1:5" ht="13.2" x14ac:dyDescent="0.25">
      <c r="A64" s="1"/>
      <c r="B64" s="1"/>
      <c r="C64" s="1"/>
      <c r="D64" s="1"/>
      <c r="E64" s="1"/>
    </row>
    <row r="65" spans="1:5" ht="13.2" x14ac:dyDescent="0.25">
      <c r="A65" s="1"/>
      <c r="B65" s="1"/>
      <c r="C65" s="1"/>
      <c r="D65" s="1"/>
      <c r="E65" s="1"/>
    </row>
    <row r="66" spans="1:5" ht="13.2" x14ac:dyDescent="0.25">
      <c r="A66" s="1"/>
      <c r="B66" s="1"/>
      <c r="C66" s="1"/>
      <c r="D66" s="1"/>
      <c r="E66" s="1"/>
    </row>
    <row r="67" spans="1:5" ht="13.2" x14ac:dyDescent="0.25">
      <c r="A67" s="1"/>
      <c r="B67" s="1"/>
      <c r="C67" s="1"/>
      <c r="D67" s="1"/>
      <c r="E67" s="1"/>
    </row>
    <row r="68" spans="1:5" ht="13.2" x14ac:dyDescent="0.25">
      <c r="A68" s="1"/>
      <c r="B68" s="1"/>
      <c r="C68" s="1"/>
      <c r="D68" s="1"/>
      <c r="E68" s="1"/>
    </row>
    <row r="69" spans="1:5" ht="13.2" x14ac:dyDescent="0.25">
      <c r="A69" s="1"/>
      <c r="B69" s="1"/>
      <c r="C69" s="1"/>
      <c r="D69" s="1"/>
      <c r="E69" s="1"/>
    </row>
    <row r="70" spans="1:5" ht="13.2" x14ac:dyDescent="0.25">
      <c r="A70" s="1"/>
      <c r="B70" s="1"/>
      <c r="C70" s="1"/>
      <c r="D70" s="1"/>
      <c r="E70" s="1"/>
    </row>
    <row r="71" spans="1:5" ht="13.2" x14ac:dyDescent="0.25">
      <c r="A71" s="1"/>
      <c r="B71" s="1"/>
      <c r="C71" s="1"/>
      <c r="D71" s="1"/>
      <c r="E71" s="1"/>
    </row>
    <row r="72" spans="1:5" ht="13.2" x14ac:dyDescent="0.25">
      <c r="A72" s="1"/>
      <c r="B72" s="1"/>
      <c r="C72" s="1"/>
      <c r="D72" s="1"/>
      <c r="E72" s="1"/>
    </row>
    <row r="73" spans="1:5" ht="13.2" x14ac:dyDescent="0.25">
      <c r="A73" s="1"/>
      <c r="B73" s="1"/>
      <c r="C73" s="1"/>
      <c r="D73" s="1"/>
      <c r="E73" s="1"/>
    </row>
    <row r="74" spans="1:5" ht="13.2" x14ac:dyDescent="0.25">
      <c r="A74" s="1"/>
      <c r="B74" s="1"/>
      <c r="C74" s="1"/>
      <c r="D74" s="1"/>
      <c r="E74" s="1"/>
    </row>
    <row r="75" spans="1:5" ht="13.2" x14ac:dyDescent="0.25">
      <c r="A75" s="1"/>
      <c r="B75" s="1"/>
      <c r="C75" s="1"/>
      <c r="D75" s="1"/>
      <c r="E75" s="1"/>
    </row>
    <row r="76" spans="1:5" ht="13.2" x14ac:dyDescent="0.25">
      <c r="A76" s="1"/>
      <c r="B76" s="1"/>
      <c r="C76" s="1"/>
      <c r="D76" s="1"/>
      <c r="E76" s="1"/>
    </row>
    <row r="77" spans="1:5" ht="13.2" x14ac:dyDescent="0.25">
      <c r="A77" s="1"/>
      <c r="B77" s="1"/>
      <c r="C77" s="1"/>
      <c r="D77" s="1"/>
      <c r="E77" s="1"/>
    </row>
    <row r="78" spans="1:5" ht="13.2" x14ac:dyDescent="0.25">
      <c r="A78" s="1"/>
      <c r="B78" s="1"/>
      <c r="C78" s="1"/>
      <c r="D78" s="1"/>
      <c r="E78" s="1"/>
    </row>
    <row r="79" spans="1:5" ht="13.2" x14ac:dyDescent="0.25">
      <c r="A79" s="1"/>
      <c r="B79" s="1"/>
      <c r="C79" s="1"/>
      <c r="D79" s="1"/>
      <c r="E79" s="1"/>
    </row>
    <row r="80" spans="1:5" ht="13.2" x14ac:dyDescent="0.25">
      <c r="A80" s="1"/>
      <c r="B80" s="1"/>
      <c r="C80" s="1"/>
      <c r="D80" s="1"/>
      <c r="E80" s="1"/>
    </row>
    <row r="81" spans="1:5" ht="13.2" x14ac:dyDescent="0.25">
      <c r="A81" s="1"/>
      <c r="B81" s="1"/>
      <c r="C81" s="1"/>
      <c r="D81" s="1"/>
      <c r="E81" s="1"/>
    </row>
    <row r="82" spans="1:5" ht="13.2" x14ac:dyDescent="0.25">
      <c r="A82" s="1"/>
      <c r="B82" s="1"/>
      <c r="C82" s="1"/>
      <c r="D82" s="1"/>
      <c r="E82" s="1"/>
    </row>
    <row r="83" spans="1:5" ht="13.2" x14ac:dyDescent="0.25">
      <c r="A83" s="1"/>
      <c r="B83" s="1"/>
      <c r="C83" s="1"/>
      <c r="D83" s="1"/>
      <c r="E83" s="1"/>
    </row>
    <row r="84" spans="1:5" ht="13.2" x14ac:dyDescent="0.25">
      <c r="A84" s="1"/>
      <c r="B84" s="1"/>
      <c r="C84" s="1"/>
      <c r="D84" s="1"/>
      <c r="E84" s="1"/>
    </row>
    <row r="85" spans="1:5" ht="13.2" x14ac:dyDescent="0.25">
      <c r="A85" s="1"/>
      <c r="B85" s="1"/>
      <c r="C85" s="1"/>
      <c r="D85" s="1"/>
      <c r="E85" s="1"/>
    </row>
    <row r="86" spans="1:5" ht="13.2" x14ac:dyDescent="0.25">
      <c r="A86" s="1"/>
      <c r="B86" s="1"/>
      <c r="C86" s="1"/>
      <c r="D86" s="1"/>
      <c r="E86" s="1"/>
    </row>
    <row r="87" spans="1:5" ht="13.2" x14ac:dyDescent="0.25">
      <c r="A87" s="1"/>
      <c r="B87" s="1"/>
      <c r="C87" s="1"/>
      <c r="D87" s="1"/>
      <c r="E87" s="1"/>
    </row>
    <row r="88" spans="1:5" ht="13.2" x14ac:dyDescent="0.25">
      <c r="A88" s="1"/>
      <c r="B88" s="1"/>
      <c r="C88" s="1"/>
      <c r="D88" s="1"/>
      <c r="E88" s="1"/>
    </row>
    <row r="89" spans="1:5" ht="13.2" x14ac:dyDescent="0.25">
      <c r="A89" s="1"/>
      <c r="B89" s="1"/>
      <c r="C89" s="1"/>
      <c r="D89" s="1"/>
      <c r="E89" s="1"/>
    </row>
    <row r="90" spans="1:5" ht="13.2" x14ac:dyDescent="0.25">
      <c r="A90" s="1"/>
      <c r="B90" s="1"/>
      <c r="C90" s="1"/>
      <c r="D90" s="1"/>
      <c r="E90" s="1"/>
    </row>
    <row r="91" spans="1:5" ht="13.2" x14ac:dyDescent="0.25">
      <c r="A91" s="1"/>
      <c r="B91" s="1"/>
      <c r="C91" s="1"/>
      <c r="D91" s="1"/>
      <c r="E91" s="1"/>
    </row>
    <row r="92" spans="1:5" ht="13.2" x14ac:dyDescent="0.25">
      <c r="A92" s="1"/>
      <c r="B92" s="1"/>
      <c r="C92" s="1"/>
      <c r="D92" s="1"/>
      <c r="E92" s="1"/>
    </row>
    <row r="93" spans="1:5" ht="13.2" x14ac:dyDescent="0.25">
      <c r="A93" s="1"/>
      <c r="B93" s="1"/>
      <c r="C93" s="1"/>
      <c r="D93" s="1"/>
      <c r="E93" s="1"/>
    </row>
    <row r="94" spans="1:5" ht="13.2" x14ac:dyDescent="0.25">
      <c r="A94" s="1"/>
      <c r="B94" s="1"/>
      <c r="C94" s="1"/>
      <c r="D94" s="1"/>
      <c r="E94" s="1"/>
    </row>
    <row r="95" spans="1:5" ht="13.2" x14ac:dyDescent="0.25">
      <c r="A95" s="1"/>
      <c r="B95" s="1"/>
      <c r="C95" s="1"/>
      <c r="D95" s="1"/>
      <c r="E95" s="1"/>
    </row>
    <row r="96" spans="1:5" ht="13.2" x14ac:dyDescent="0.25">
      <c r="A96" s="1"/>
      <c r="B96" s="1"/>
      <c r="C96" s="1"/>
      <c r="D96" s="1"/>
      <c r="E96" s="1"/>
    </row>
    <row r="97" spans="1:5" ht="13.2" x14ac:dyDescent="0.25">
      <c r="A97" s="1"/>
      <c r="B97" s="1"/>
      <c r="C97" s="1"/>
      <c r="D97" s="1"/>
      <c r="E97" s="1"/>
    </row>
    <row r="98" spans="1:5" ht="13.2" x14ac:dyDescent="0.25">
      <c r="A98" s="1"/>
      <c r="B98" s="1"/>
      <c r="C98" s="1"/>
      <c r="D98" s="1"/>
      <c r="E98" s="1"/>
    </row>
    <row r="99" spans="1:5" ht="13.2" x14ac:dyDescent="0.25">
      <c r="A99" s="1"/>
      <c r="B99" s="1"/>
      <c r="C99" s="1"/>
      <c r="D99" s="1"/>
      <c r="E99" s="1"/>
    </row>
    <row r="100" spans="1:5" ht="13.2" x14ac:dyDescent="0.25">
      <c r="A100" s="1"/>
      <c r="B100" s="1"/>
      <c r="C100" s="1"/>
      <c r="D100" s="1"/>
      <c r="E100" s="1"/>
    </row>
    <row r="101" spans="1:5" ht="13.2" x14ac:dyDescent="0.25">
      <c r="A101" s="1"/>
      <c r="B101" s="1"/>
      <c r="C101" s="1"/>
      <c r="D101" s="1"/>
      <c r="E101" s="1"/>
    </row>
    <row r="102" spans="1:5" ht="13.2" x14ac:dyDescent="0.25">
      <c r="A102" s="1"/>
      <c r="B102" s="1"/>
      <c r="C102" s="1"/>
      <c r="D102" s="1"/>
      <c r="E102" s="1"/>
    </row>
    <row r="103" spans="1:5" ht="13.2" x14ac:dyDescent="0.25">
      <c r="A103" s="1"/>
      <c r="B103" s="1"/>
      <c r="C103" s="1"/>
      <c r="D103" s="1"/>
      <c r="E103" s="1"/>
    </row>
    <row r="104" spans="1:5" ht="13.2" x14ac:dyDescent="0.25">
      <c r="A104" s="1"/>
      <c r="B104" s="1"/>
      <c r="C104" s="1"/>
      <c r="D104" s="1"/>
      <c r="E104" s="1"/>
    </row>
    <row r="105" spans="1:5" ht="13.2" x14ac:dyDescent="0.25">
      <c r="A105" s="1"/>
      <c r="B105" s="1"/>
      <c r="C105" s="1"/>
      <c r="D105" s="1"/>
      <c r="E105" s="1"/>
    </row>
    <row r="106" spans="1:5" ht="13.2" x14ac:dyDescent="0.25">
      <c r="A106" s="1"/>
      <c r="B106" s="1"/>
      <c r="C106" s="1"/>
      <c r="D106" s="1"/>
      <c r="E106" s="1"/>
    </row>
    <row r="107" spans="1:5" ht="13.2" x14ac:dyDescent="0.25">
      <c r="A107" s="1"/>
      <c r="B107" s="1"/>
      <c r="C107" s="1"/>
      <c r="D107" s="1"/>
      <c r="E107" s="1"/>
    </row>
    <row r="108" spans="1:5" ht="13.2" x14ac:dyDescent="0.25">
      <c r="A108" s="1"/>
      <c r="B108" s="1"/>
      <c r="C108" s="1"/>
      <c r="D108" s="1"/>
      <c r="E108" s="1"/>
    </row>
    <row r="109" spans="1:5" ht="13.2" x14ac:dyDescent="0.25">
      <c r="A109" s="1"/>
      <c r="B109" s="1"/>
      <c r="C109" s="1"/>
      <c r="D109" s="1"/>
      <c r="E109" s="1"/>
    </row>
    <row r="110" spans="1:5" ht="13.2" x14ac:dyDescent="0.25">
      <c r="A110" s="1"/>
      <c r="B110" s="1"/>
      <c r="C110" s="1"/>
      <c r="D110" s="1"/>
      <c r="E110" s="1"/>
    </row>
    <row r="111" spans="1:5" ht="13.2" x14ac:dyDescent="0.25">
      <c r="A111" s="1"/>
      <c r="B111" s="1"/>
      <c r="C111" s="1"/>
      <c r="D111" s="1"/>
      <c r="E111" s="1"/>
    </row>
    <row r="112" spans="1:5" ht="13.2" x14ac:dyDescent="0.25">
      <c r="A112" s="1"/>
      <c r="B112" s="1"/>
      <c r="C112" s="1"/>
      <c r="D112" s="1"/>
      <c r="E112" s="1"/>
    </row>
    <row r="113" spans="1:5" ht="13.2" x14ac:dyDescent="0.25">
      <c r="A113" s="1"/>
      <c r="B113" s="1"/>
      <c r="C113" s="1"/>
      <c r="D113" s="1"/>
      <c r="E113" s="1"/>
    </row>
    <row r="114" spans="1:5" ht="13.2" x14ac:dyDescent="0.25">
      <c r="A114" s="1"/>
      <c r="B114" s="1"/>
      <c r="C114" s="1"/>
      <c r="D114" s="1"/>
      <c r="E114" s="1"/>
    </row>
    <row r="115" spans="1:5" ht="13.2" x14ac:dyDescent="0.25">
      <c r="A115" s="1"/>
      <c r="B115" s="1"/>
      <c r="C115" s="1"/>
      <c r="D115" s="1"/>
      <c r="E115" s="1"/>
    </row>
    <row r="116" spans="1:5" ht="13.2" x14ac:dyDescent="0.25">
      <c r="A116" s="1"/>
      <c r="B116" s="1"/>
      <c r="C116" s="1"/>
      <c r="D116" s="1"/>
      <c r="E116" s="1"/>
    </row>
    <row r="117" spans="1:5" ht="13.2" x14ac:dyDescent="0.25">
      <c r="A117" s="1"/>
      <c r="B117" s="1"/>
      <c r="C117" s="1"/>
      <c r="D117" s="1"/>
      <c r="E117" s="1"/>
    </row>
    <row r="118" spans="1:5" ht="13.2" x14ac:dyDescent="0.25">
      <c r="A118" s="1"/>
      <c r="B118" s="1"/>
      <c r="C118" s="1"/>
      <c r="D118" s="1"/>
      <c r="E118" s="1"/>
    </row>
    <row r="119" spans="1:5" ht="13.2" x14ac:dyDescent="0.25">
      <c r="A119" s="1"/>
      <c r="B119" s="1"/>
      <c r="C119" s="1"/>
      <c r="D119" s="1"/>
      <c r="E119" s="1"/>
    </row>
    <row r="120" spans="1:5" ht="13.2" x14ac:dyDescent="0.25">
      <c r="A120" s="1"/>
      <c r="B120" s="1"/>
      <c r="C120" s="1"/>
      <c r="D120" s="1"/>
      <c r="E120" s="1"/>
    </row>
    <row r="121" spans="1:5" ht="13.2" x14ac:dyDescent="0.25">
      <c r="A121" s="1"/>
      <c r="B121" s="1"/>
      <c r="C121" s="1"/>
      <c r="D121" s="1"/>
      <c r="E121" s="1"/>
    </row>
    <row r="122" spans="1:5" ht="13.2" x14ac:dyDescent="0.25">
      <c r="A122" s="1"/>
      <c r="B122" s="1"/>
      <c r="C122" s="1"/>
      <c r="D122" s="1"/>
      <c r="E122" s="1"/>
    </row>
    <row r="123" spans="1:5" ht="13.2" x14ac:dyDescent="0.25">
      <c r="A123" s="1"/>
      <c r="B123" s="1"/>
      <c r="C123" s="1"/>
      <c r="D123" s="1"/>
      <c r="E123" s="1"/>
    </row>
    <row r="124" spans="1:5" ht="13.2" x14ac:dyDescent="0.25">
      <c r="A124" s="1"/>
      <c r="B124" s="1"/>
      <c r="C124" s="1"/>
      <c r="D124" s="1"/>
      <c r="E124" s="1"/>
    </row>
    <row r="125" spans="1:5" ht="13.2" x14ac:dyDescent="0.25">
      <c r="A125" s="1"/>
      <c r="B125" s="1"/>
      <c r="C125" s="1"/>
      <c r="D125" s="1"/>
      <c r="E125" s="1"/>
    </row>
    <row r="126" spans="1:5" ht="13.2" x14ac:dyDescent="0.25">
      <c r="A126" s="1"/>
      <c r="B126" s="1"/>
      <c r="C126" s="1"/>
      <c r="D126" s="1"/>
      <c r="E126" s="1"/>
    </row>
    <row r="127" spans="1:5" ht="13.2" x14ac:dyDescent="0.25">
      <c r="A127" s="1"/>
      <c r="B127" s="1"/>
      <c r="C127" s="1"/>
      <c r="D127" s="1"/>
      <c r="E127" s="1"/>
    </row>
    <row r="128" spans="1:5" ht="13.2" x14ac:dyDescent="0.25">
      <c r="A128" s="1"/>
      <c r="B128" s="1"/>
      <c r="C128" s="1"/>
      <c r="D128" s="1"/>
      <c r="E128" s="1"/>
    </row>
    <row r="129" spans="1:5" ht="13.2" x14ac:dyDescent="0.25">
      <c r="A129" s="1"/>
      <c r="B129" s="1"/>
      <c r="C129" s="1"/>
      <c r="D129" s="1"/>
      <c r="E129" s="1"/>
    </row>
    <row r="130" spans="1:5" ht="13.2" x14ac:dyDescent="0.25">
      <c r="A130" s="1"/>
      <c r="B130" s="1"/>
      <c r="C130" s="1"/>
      <c r="D130" s="1"/>
      <c r="E130" s="1"/>
    </row>
    <row r="131" spans="1:5" ht="13.2" x14ac:dyDescent="0.25">
      <c r="A131" s="1"/>
      <c r="B131" s="1"/>
      <c r="C131" s="1"/>
      <c r="D131" s="1"/>
      <c r="E131" s="1"/>
    </row>
    <row r="132" spans="1:5" ht="13.2" x14ac:dyDescent="0.25">
      <c r="A132" s="1"/>
      <c r="B132" s="1"/>
      <c r="C132" s="1"/>
      <c r="D132" s="1"/>
      <c r="E132" s="1"/>
    </row>
    <row r="133" spans="1:5" ht="13.2" x14ac:dyDescent="0.25">
      <c r="A133" s="1"/>
      <c r="B133" s="1"/>
      <c r="C133" s="1"/>
      <c r="D133" s="1"/>
      <c r="E133" s="1"/>
    </row>
    <row r="134" spans="1:5" ht="13.2" x14ac:dyDescent="0.25">
      <c r="A134" s="1"/>
      <c r="B134" s="1"/>
      <c r="C134" s="1"/>
      <c r="D134" s="1"/>
      <c r="E134" s="1"/>
    </row>
    <row r="135" spans="1:5" ht="13.2" x14ac:dyDescent="0.25">
      <c r="A135" s="1"/>
      <c r="B135" s="1"/>
      <c r="C135" s="1"/>
      <c r="D135" s="1"/>
      <c r="E135" s="1"/>
    </row>
    <row r="136" spans="1:5" ht="13.2" x14ac:dyDescent="0.25">
      <c r="A136" s="1"/>
      <c r="B136" s="1"/>
      <c r="C136" s="1"/>
      <c r="D136" s="1"/>
      <c r="E136" s="1"/>
    </row>
    <row r="137" spans="1:5" ht="13.2" x14ac:dyDescent="0.25">
      <c r="A137" s="1"/>
      <c r="B137" s="1"/>
      <c r="C137" s="1"/>
      <c r="D137" s="1"/>
      <c r="E137" s="1"/>
    </row>
    <row r="138" spans="1:5" ht="13.2" x14ac:dyDescent="0.25">
      <c r="A138" s="1"/>
      <c r="B138" s="1"/>
      <c r="C138" s="1"/>
      <c r="D138" s="1"/>
      <c r="E138" s="1"/>
    </row>
    <row r="139" spans="1:5" ht="13.2" x14ac:dyDescent="0.25">
      <c r="A139" s="1"/>
      <c r="B139" s="1"/>
      <c r="C139" s="1"/>
      <c r="D139" s="1"/>
      <c r="E139" s="1"/>
    </row>
    <row r="140" spans="1:5" ht="13.2" x14ac:dyDescent="0.25">
      <c r="A140" s="1"/>
      <c r="B140" s="1"/>
      <c r="C140" s="1"/>
      <c r="D140" s="1"/>
      <c r="E140" s="1"/>
    </row>
    <row r="141" spans="1:5" ht="13.2" x14ac:dyDescent="0.25">
      <c r="A141" s="1"/>
      <c r="B141" s="1"/>
      <c r="C141" s="1"/>
      <c r="D141" s="1"/>
      <c r="E141" s="1"/>
    </row>
    <row r="142" spans="1:5" ht="13.2" x14ac:dyDescent="0.25">
      <c r="A142" s="1"/>
      <c r="B142" s="1"/>
      <c r="C142" s="1"/>
      <c r="D142" s="1"/>
      <c r="E142" s="1"/>
    </row>
    <row r="143" spans="1:5" ht="13.2" x14ac:dyDescent="0.25">
      <c r="A143" s="1"/>
      <c r="B143" s="1"/>
      <c r="C143" s="1"/>
      <c r="D143" s="1"/>
      <c r="E143" s="1"/>
    </row>
    <row r="144" spans="1:5" ht="13.2" x14ac:dyDescent="0.25">
      <c r="A144" s="1"/>
      <c r="B144" s="1"/>
      <c r="C144" s="1"/>
      <c r="D144" s="1"/>
      <c r="E144" s="1"/>
    </row>
    <row r="145" spans="1:5" ht="13.2" x14ac:dyDescent="0.25">
      <c r="A145" s="1"/>
      <c r="B145" s="1"/>
      <c r="C145" s="1"/>
      <c r="D145" s="1"/>
      <c r="E145" s="1"/>
    </row>
    <row r="146" spans="1:5" ht="13.2" x14ac:dyDescent="0.25">
      <c r="A146" s="1"/>
      <c r="B146" s="1"/>
      <c r="C146" s="1"/>
      <c r="D146" s="1"/>
      <c r="E146" s="1"/>
    </row>
    <row r="147" spans="1:5" ht="13.2" x14ac:dyDescent="0.25">
      <c r="A147" s="1"/>
      <c r="B147" s="1"/>
      <c r="C147" s="1"/>
      <c r="D147" s="1"/>
      <c r="E147" s="1"/>
    </row>
    <row r="148" spans="1:5" ht="13.2" x14ac:dyDescent="0.25">
      <c r="A148" s="1"/>
      <c r="B148" s="1"/>
      <c r="C148" s="1"/>
      <c r="D148" s="1"/>
      <c r="E148" s="1"/>
    </row>
    <row r="149" spans="1:5" ht="13.2" x14ac:dyDescent="0.25">
      <c r="A149" s="1"/>
      <c r="B149" s="1"/>
      <c r="C149" s="1"/>
      <c r="D149" s="1"/>
      <c r="E149" s="1"/>
    </row>
    <row r="150" spans="1:5" ht="13.2" x14ac:dyDescent="0.25">
      <c r="A150" s="1"/>
      <c r="B150" s="1"/>
      <c r="C150" s="1"/>
      <c r="D150" s="1"/>
      <c r="E150" s="1"/>
    </row>
    <row r="151" spans="1:5" ht="13.2" x14ac:dyDescent="0.25">
      <c r="A151" s="1"/>
      <c r="B151" s="1"/>
      <c r="C151" s="1"/>
      <c r="D151" s="1"/>
      <c r="E151" s="1"/>
    </row>
    <row r="152" spans="1:5" ht="13.2" x14ac:dyDescent="0.25">
      <c r="A152" s="1"/>
      <c r="B152" s="1"/>
      <c r="C152" s="1"/>
      <c r="D152" s="1"/>
      <c r="E152" s="1"/>
    </row>
    <row r="153" spans="1:5" ht="13.2" x14ac:dyDescent="0.25">
      <c r="A153" s="1"/>
      <c r="B153" s="1"/>
      <c r="C153" s="1"/>
      <c r="D153" s="1"/>
      <c r="E153" s="1"/>
    </row>
    <row r="154" spans="1:5" ht="13.2" x14ac:dyDescent="0.25">
      <c r="A154" s="1"/>
      <c r="B154" s="1"/>
      <c r="C154" s="1"/>
      <c r="D154" s="1"/>
      <c r="E154" s="1"/>
    </row>
    <row r="155" spans="1:5" ht="13.2" x14ac:dyDescent="0.25">
      <c r="A155" s="1"/>
      <c r="B155" s="1"/>
      <c r="C155" s="1"/>
      <c r="D155" s="1"/>
      <c r="E155" s="1"/>
    </row>
    <row r="156" spans="1:5" ht="13.2" x14ac:dyDescent="0.25">
      <c r="A156" s="1"/>
      <c r="B156" s="1"/>
      <c r="C156" s="1"/>
      <c r="D156" s="1"/>
      <c r="E156" s="1"/>
    </row>
    <row r="157" spans="1:5" ht="13.2" x14ac:dyDescent="0.25">
      <c r="A157" s="1"/>
      <c r="B157" s="1"/>
      <c r="C157" s="1"/>
      <c r="D157" s="1"/>
      <c r="E157" s="1"/>
    </row>
    <row r="158" spans="1:5" ht="13.2" x14ac:dyDescent="0.25">
      <c r="A158" s="1"/>
      <c r="B158" s="1"/>
      <c r="C158" s="1"/>
      <c r="D158" s="1"/>
      <c r="E158" s="1"/>
    </row>
    <row r="159" spans="1:5" ht="13.2" x14ac:dyDescent="0.25">
      <c r="A159" s="1"/>
      <c r="B159" s="1"/>
      <c r="C159" s="1"/>
      <c r="D159" s="1"/>
      <c r="E159" s="1"/>
    </row>
    <row r="160" spans="1:5" ht="13.2" x14ac:dyDescent="0.25">
      <c r="A160" s="1"/>
      <c r="B160" s="1"/>
      <c r="C160" s="1"/>
      <c r="D160" s="1"/>
      <c r="E160" s="1"/>
    </row>
    <row r="161" spans="1:5" ht="13.2" x14ac:dyDescent="0.25">
      <c r="A161" s="1"/>
      <c r="B161" s="1"/>
      <c r="C161" s="1"/>
      <c r="D161" s="1"/>
      <c r="E161" s="1"/>
    </row>
    <row r="162" spans="1:5" ht="13.2" x14ac:dyDescent="0.25">
      <c r="A162" s="1"/>
      <c r="B162" s="1"/>
      <c r="C162" s="1"/>
      <c r="D162" s="1"/>
      <c r="E162" s="1"/>
    </row>
    <row r="163" spans="1:5" ht="13.2" x14ac:dyDescent="0.25">
      <c r="A163" s="1"/>
      <c r="B163" s="1"/>
      <c r="C163" s="1"/>
      <c r="D163" s="1"/>
      <c r="E163" s="1"/>
    </row>
    <row r="164" spans="1:5" ht="13.2" x14ac:dyDescent="0.25">
      <c r="A164" s="1"/>
      <c r="B164" s="1"/>
      <c r="C164" s="1"/>
      <c r="D164" s="1"/>
      <c r="E164" s="1"/>
    </row>
    <row r="165" spans="1:5" ht="13.2" x14ac:dyDescent="0.25">
      <c r="A165" s="1"/>
      <c r="B165" s="1"/>
      <c r="C165" s="1"/>
      <c r="D165" s="1"/>
      <c r="E165" s="1"/>
    </row>
    <row r="166" spans="1:5" ht="13.2" x14ac:dyDescent="0.25">
      <c r="A166" s="1"/>
      <c r="B166" s="1"/>
      <c r="C166" s="1"/>
      <c r="D166" s="1"/>
      <c r="E166" s="1"/>
    </row>
    <row r="167" spans="1:5" ht="13.2" x14ac:dyDescent="0.25">
      <c r="A167" s="1"/>
      <c r="B167" s="1"/>
      <c r="C167" s="1"/>
      <c r="D167" s="1"/>
      <c r="E167" s="1"/>
    </row>
    <row r="168" spans="1:5" ht="13.2" x14ac:dyDescent="0.25">
      <c r="A168" s="1"/>
      <c r="B168" s="1"/>
      <c r="C168" s="1"/>
      <c r="D168" s="1"/>
      <c r="E168" s="1"/>
    </row>
    <row r="169" spans="1:5" ht="13.2" x14ac:dyDescent="0.25">
      <c r="A169" s="1"/>
      <c r="B169" s="1"/>
      <c r="C169" s="1"/>
      <c r="D169" s="1"/>
      <c r="E169" s="1"/>
    </row>
    <row r="170" spans="1:5" ht="13.2" x14ac:dyDescent="0.25">
      <c r="A170" s="1"/>
      <c r="B170" s="1"/>
      <c r="C170" s="1"/>
      <c r="D170" s="1"/>
      <c r="E170" s="1"/>
    </row>
    <row r="171" spans="1:5" ht="13.2" x14ac:dyDescent="0.25">
      <c r="A171" s="1"/>
      <c r="B171" s="1"/>
      <c r="C171" s="1"/>
      <c r="D171" s="1"/>
      <c r="E171" s="1"/>
    </row>
    <row r="172" spans="1:5" ht="13.2" x14ac:dyDescent="0.25">
      <c r="A172" s="1"/>
      <c r="B172" s="1"/>
      <c r="C172" s="1"/>
      <c r="D172" s="1"/>
      <c r="E172" s="1"/>
    </row>
    <row r="173" spans="1:5" ht="13.2" x14ac:dyDescent="0.25">
      <c r="A173" s="1"/>
      <c r="B173" s="1"/>
      <c r="C173" s="1"/>
      <c r="D173" s="1"/>
      <c r="E173" s="1"/>
    </row>
    <row r="174" spans="1:5" ht="13.2" x14ac:dyDescent="0.25">
      <c r="A174" s="1"/>
      <c r="B174" s="1"/>
      <c r="C174" s="1"/>
      <c r="D174" s="1"/>
      <c r="E174" s="1"/>
    </row>
    <row r="175" spans="1:5" ht="13.2" x14ac:dyDescent="0.25">
      <c r="A175" s="1"/>
      <c r="B175" s="1"/>
      <c r="C175" s="1"/>
      <c r="D175" s="1"/>
      <c r="E175" s="1"/>
    </row>
    <row r="176" spans="1:5" ht="13.2" x14ac:dyDescent="0.25">
      <c r="A176" s="1"/>
      <c r="B176" s="1"/>
      <c r="C176" s="1"/>
      <c r="D176" s="1"/>
      <c r="E176" s="1"/>
    </row>
    <row r="177" spans="1:5" ht="13.2" x14ac:dyDescent="0.25">
      <c r="A177" s="1"/>
      <c r="B177" s="1"/>
      <c r="C177" s="1"/>
      <c r="D177" s="1"/>
      <c r="E177" s="1"/>
    </row>
    <row r="178" spans="1:5" ht="13.2" x14ac:dyDescent="0.25">
      <c r="A178" s="1"/>
      <c r="B178" s="1"/>
      <c r="C178" s="1"/>
      <c r="D178" s="1"/>
      <c r="E178" s="1"/>
    </row>
    <row r="179" spans="1:5" ht="13.2" x14ac:dyDescent="0.25">
      <c r="A179" s="1"/>
      <c r="B179" s="1"/>
      <c r="C179" s="1"/>
      <c r="D179" s="1"/>
      <c r="E179" s="1"/>
    </row>
    <row r="180" spans="1:5" ht="13.2" x14ac:dyDescent="0.25">
      <c r="A180" s="1"/>
      <c r="B180" s="1"/>
      <c r="C180" s="1"/>
      <c r="D180" s="1"/>
      <c r="E180" s="1"/>
    </row>
    <row r="181" spans="1:5" ht="13.2" x14ac:dyDescent="0.25">
      <c r="A181" s="1"/>
      <c r="B181" s="1"/>
      <c r="C181" s="1"/>
      <c r="D181" s="1"/>
      <c r="E181" s="1"/>
    </row>
    <row r="182" spans="1:5" ht="13.2" x14ac:dyDescent="0.25">
      <c r="A182" s="1"/>
      <c r="B182" s="1"/>
      <c r="C182" s="1"/>
      <c r="D182" s="1"/>
      <c r="E182" s="1"/>
    </row>
    <row r="183" spans="1:5" ht="13.2" x14ac:dyDescent="0.25">
      <c r="A183" s="1"/>
      <c r="B183" s="1"/>
      <c r="C183" s="1"/>
      <c r="D183" s="1"/>
      <c r="E183" s="1"/>
    </row>
    <row r="184" spans="1:5" ht="13.2" x14ac:dyDescent="0.25">
      <c r="A184" s="1"/>
      <c r="B184" s="1"/>
      <c r="C184" s="1"/>
      <c r="D184" s="1"/>
      <c r="E184" s="1"/>
    </row>
    <row r="185" spans="1:5" ht="13.2" x14ac:dyDescent="0.25">
      <c r="A185" s="1"/>
      <c r="B185" s="1"/>
      <c r="C185" s="1"/>
      <c r="D185" s="1"/>
      <c r="E185" s="1"/>
    </row>
    <row r="186" spans="1:5" ht="13.2" x14ac:dyDescent="0.25">
      <c r="A186" s="1"/>
      <c r="B186" s="1"/>
      <c r="C186" s="1"/>
      <c r="D186" s="1"/>
      <c r="E186" s="1"/>
    </row>
    <row r="187" spans="1:5" ht="13.2" x14ac:dyDescent="0.25">
      <c r="A187" s="1"/>
      <c r="B187" s="1"/>
      <c r="C187" s="1"/>
      <c r="D187" s="1"/>
      <c r="E187" s="1"/>
    </row>
    <row r="188" spans="1:5" ht="13.2" x14ac:dyDescent="0.25">
      <c r="A188" s="1"/>
      <c r="B188" s="1"/>
      <c r="C188" s="1"/>
      <c r="D188" s="1"/>
      <c r="E188" s="1"/>
    </row>
    <row r="189" spans="1:5" ht="13.2" x14ac:dyDescent="0.25">
      <c r="A189" s="1"/>
      <c r="B189" s="1"/>
      <c r="C189" s="1"/>
      <c r="D189" s="1"/>
      <c r="E189" s="1"/>
    </row>
    <row r="190" spans="1:5" ht="13.2" x14ac:dyDescent="0.25">
      <c r="A190" s="1"/>
      <c r="B190" s="1"/>
      <c r="C190" s="1"/>
      <c r="D190" s="1"/>
      <c r="E190" s="1"/>
    </row>
    <row r="191" spans="1:5" ht="13.2" x14ac:dyDescent="0.25">
      <c r="A191" s="1"/>
      <c r="B191" s="1"/>
      <c r="C191" s="1"/>
      <c r="D191" s="1"/>
      <c r="E191" s="1"/>
    </row>
    <row r="192" spans="1:5" ht="13.2" x14ac:dyDescent="0.25">
      <c r="A192" s="1"/>
      <c r="B192" s="1"/>
      <c r="C192" s="1"/>
      <c r="D192" s="1"/>
      <c r="E192" s="1"/>
    </row>
    <row r="193" spans="1:5" ht="13.2" x14ac:dyDescent="0.25">
      <c r="A193" s="1"/>
      <c r="B193" s="1"/>
      <c r="C193" s="1"/>
      <c r="D193" s="1"/>
      <c r="E193" s="1"/>
    </row>
    <row r="194" spans="1:5" ht="13.2" x14ac:dyDescent="0.25">
      <c r="A194" s="1"/>
      <c r="B194" s="1"/>
      <c r="C194" s="1"/>
      <c r="D194" s="1"/>
      <c r="E194" s="1"/>
    </row>
    <row r="195" spans="1:5" ht="13.2" x14ac:dyDescent="0.25">
      <c r="A195" s="1"/>
      <c r="B195" s="1"/>
      <c r="C195" s="1"/>
      <c r="D195" s="1"/>
      <c r="E195" s="1"/>
    </row>
    <row r="196" spans="1:5" ht="13.2" x14ac:dyDescent="0.25">
      <c r="A196" s="1"/>
      <c r="B196" s="1"/>
      <c r="C196" s="1"/>
      <c r="D196" s="1"/>
      <c r="E196" s="1"/>
    </row>
    <row r="197" spans="1:5" ht="13.2" x14ac:dyDescent="0.25">
      <c r="A197" s="1"/>
      <c r="B197" s="1"/>
      <c r="C197" s="1"/>
      <c r="D197" s="1"/>
      <c r="E197" s="1"/>
    </row>
    <row r="198" spans="1:5" ht="13.2" x14ac:dyDescent="0.25">
      <c r="A198" s="1"/>
      <c r="B198" s="1"/>
      <c r="C198" s="1"/>
      <c r="D198" s="1"/>
      <c r="E198" s="1"/>
    </row>
    <row r="199" spans="1:5" ht="13.2" x14ac:dyDescent="0.25">
      <c r="A199" s="1"/>
      <c r="B199" s="1"/>
      <c r="C199" s="1"/>
      <c r="D199" s="1"/>
      <c r="E199" s="1"/>
    </row>
    <row r="200" spans="1:5" ht="13.2" x14ac:dyDescent="0.25">
      <c r="A200" s="1"/>
      <c r="B200" s="1"/>
      <c r="C200" s="1"/>
      <c r="D200" s="1"/>
      <c r="E200" s="1"/>
    </row>
    <row r="201" spans="1:5" ht="13.2" x14ac:dyDescent="0.25">
      <c r="A201" s="1"/>
      <c r="B201" s="1"/>
      <c r="C201" s="1"/>
      <c r="D201" s="1"/>
      <c r="E201" s="1"/>
    </row>
    <row r="202" spans="1:5" ht="13.2" x14ac:dyDescent="0.25">
      <c r="A202" s="1"/>
      <c r="B202" s="1"/>
      <c r="C202" s="1"/>
      <c r="D202" s="1"/>
      <c r="E202" s="1"/>
    </row>
    <row r="203" spans="1:5" ht="13.2" x14ac:dyDescent="0.25">
      <c r="A203" s="1"/>
      <c r="B203" s="1"/>
      <c r="C203" s="1"/>
      <c r="D203" s="1"/>
      <c r="E203" s="1"/>
    </row>
    <row r="204" spans="1:5" ht="13.2" x14ac:dyDescent="0.25">
      <c r="A204" s="1"/>
      <c r="B204" s="1"/>
      <c r="C204" s="1"/>
      <c r="D204" s="1"/>
      <c r="E204" s="1"/>
    </row>
    <row r="205" spans="1:5" ht="13.2" x14ac:dyDescent="0.25">
      <c r="A205" s="1"/>
      <c r="B205" s="1"/>
      <c r="C205" s="1"/>
      <c r="D205" s="1"/>
      <c r="E205" s="1"/>
    </row>
    <row r="206" spans="1:5" ht="13.2" x14ac:dyDescent="0.25">
      <c r="A206" s="1"/>
      <c r="B206" s="1"/>
      <c r="C206" s="1"/>
      <c r="D206" s="1"/>
      <c r="E206" s="1"/>
    </row>
    <row r="207" spans="1:5" ht="13.2" x14ac:dyDescent="0.25">
      <c r="A207" s="1"/>
      <c r="B207" s="1"/>
      <c r="C207" s="1"/>
      <c r="D207" s="1"/>
      <c r="E207" s="1"/>
    </row>
    <row r="208" spans="1:5" ht="13.2" x14ac:dyDescent="0.25">
      <c r="A208" s="1"/>
      <c r="B208" s="1"/>
      <c r="C208" s="1"/>
      <c r="D208" s="1"/>
      <c r="E208" s="1"/>
    </row>
    <row r="209" spans="1:5" ht="13.2" x14ac:dyDescent="0.25">
      <c r="A209" s="1"/>
      <c r="B209" s="1"/>
      <c r="C209" s="1"/>
      <c r="D209" s="1"/>
      <c r="E209" s="1"/>
    </row>
    <row r="210" spans="1:5" ht="13.2" x14ac:dyDescent="0.25">
      <c r="A210" s="1"/>
      <c r="B210" s="1"/>
      <c r="C210" s="1"/>
      <c r="D210" s="1"/>
      <c r="E210" s="1"/>
    </row>
    <row r="211" spans="1:5" ht="13.2" x14ac:dyDescent="0.25">
      <c r="A211" s="1"/>
      <c r="B211" s="1"/>
      <c r="C211" s="1"/>
      <c r="D211" s="1"/>
      <c r="E211" s="1"/>
    </row>
    <row r="212" spans="1:5" ht="13.2" x14ac:dyDescent="0.25">
      <c r="A212" s="1"/>
      <c r="B212" s="1"/>
      <c r="C212" s="1"/>
      <c r="D212" s="1"/>
      <c r="E212" s="1"/>
    </row>
    <row r="213" spans="1:5" ht="13.2" x14ac:dyDescent="0.25">
      <c r="A213" s="1"/>
      <c r="B213" s="1"/>
      <c r="C213" s="1"/>
      <c r="D213" s="1"/>
      <c r="E213" s="1"/>
    </row>
    <row r="214" spans="1:5" ht="13.2" x14ac:dyDescent="0.25">
      <c r="A214" s="1"/>
      <c r="B214" s="1"/>
      <c r="C214" s="1"/>
      <c r="D214" s="1"/>
      <c r="E214" s="1"/>
    </row>
    <row r="215" spans="1:5" ht="13.2" x14ac:dyDescent="0.25">
      <c r="A215" s="1"/>
      <c r="B215" s="1"/>
      <c r="C215" s="1"/>
      <c r="D215" s="1"/>
      <c r="E215" s="1"/>
    </row>
    <row r="216" spans="1:5" ht="13.2" x14ac:dyDescent="0.25">
      <c r="A216" s="1"/>
      <c r="B216" s="1"/>
      <c r="C216" s="1"/>
      <c r="D216" s="1"/>
      <c r="E216" s="1"/>
    </row>
    <row r="217" spans="1:5" ht="13.2" x14ac:dyDescent="0.25">
      <c r="A217" s="1"/>
      <c r="B217" s="1"/>
      <c r="C217" s="1"/>
      <c r="D217" s="1"/>
      <c r="E217" s="1"/>
    </row>
    <row r="218" spans="1:5" ht="13.2" x14ac:dyDescent="0.25">
      <c r="A218" s="1"/>
      <c r="B218" s="1"/>
      <c r="C218" s="1"/>
      <c r="D218" s="1"/>
      <c r="E218" s="1"/>
    </row>
    <row r="219" spans="1:5" ht="13.2" x14ac:dyDescent="0.25">
      <c r="A219" s="1"/>
      <c r="B219" s="1"/>
      <c r="C219" s="1"/>
      <c r="D219" s="1"/>
      <c r="E219" s="1"/>
    </row>
    <row r="220" spans="1:5" ht="13.2" x14ac:dyDescent="0.25">
      <c r="A220" s="1"/>
      <c r="B220" s="1"/>
      <c r="C220" s="1"/>
      <c r="D220" s="1"/>
      <c r="E220" s="1"/>
    </row>
    <row r="221" spans="1:5" ht="13.2" x14ac:dyDescent="0.25">
      <c r="A221" s="1"/>
      <c r="B221" s="1"/>
      <c r="C221" s="1"/>
      <c r="D221" s="1"/>
      <c r="E221" s="1"/>
    </row>
    <row r="222" spans="1:5" ht="13.2" x14ac:dyDescent="0.25">
      <c r="A222" s="1"/>
      <c r="B222" s="1"/>
      <c r="C222" s="1"/>
      <c r="D222" s="1"/>
      <c r="E222" s="1"/>
    </row>
    <row r="223" spans="1:5" ht="13.2" x14ac:dyDescent="0.25">
      <c r="A223" s="1"/>
      <c r="B223" s="1"/>
      <c r="C223" s="1"/>
      <c r="D223" s="1"/>
      <c r="E223" s="1"/>
    </row>
    <row r="224" spans="1:5" ht="13.2" x14ac:dyDescent="0.25">
      <c r="A224" s="1"/>
      <c r="B224" s="1"/>
      <c r="C224" s="1"/>
      <c r="D224" s="1"/>
      <c r="E224" s="1"/>
    </row>
    <row r="225" spans="1:5" ht="13.2" x14ac:dyDescent="0.25">
      <c r="A225" s="1"/>
      <c r="B225" s="1"/>
      <c r="C225" s="1"/>
      <c r="D225" s="1"/>
      <c r="E225" s="1"/>
    </row>
    <row r="226" spans="1:5" ht="13.2" x14ac:dyDescent="0.25">
      <c r="A226" s="1"/>
      <c r="B226" s="1"/>
      <c r="C226" s="1"/>
      <c r="D226" s="1"/>
      <c r="E226" s="1"/>
    </row>
    <row r="227" spans="1:5" ht="13.2" x14ac:dyDescent="0.25">
      <c r="A227" s="1"/>
      <c r="B227" s="1"/>
      <c r="C227" s="1"/>
      <c r="D227" s="1"/>
      <c r="E227" s="1"/>
    </row>
    <row r="228" spans="1:5" ht="13.2" x14ac:dyDescent="0.25">
      <c r="A228" s="1"/>
      <c r="B228" s="1"/>
      <c r="C228" s="1"/>
      <c r="D228" s="1"/>
      <c r="E228" s="1"/>
    </row>
    <row r="229" spans="1:5" ht="13.2" x14ac:dyDescent="0.25">
      <c r="A229" s="1"/>
      <c r="B229" s="1"/>
      <c r="C229" s="1"/>
      <c r="D229" s="1"/>
      <c r="E229" s="1"/>
    </row>
    <row r="230" spans="1:5" ht="13.2" x14ac:dyDescent="0.25">
      <c r="A230" s="1"/>
      <c r="B230" s="1"/>
      <c r="C230" s="1"/>
      <c r="D230" s="1"/>
      <c r="E230" s="1"/>
    </row>
    <row r="231" spans="1:5" ht="13.2" x14ac:dyDescent="0.25">
      <c r="A231" s="1"/>
      <c r="B231" s="1"/>
      <c r="C231" s="1"/>
      <c r="D231" s="1"/>
      <c r="E231" s="1"/>
    </row>
    <row r="232" spans="1:5" ht="13.2" x14ac:dyDescent="0.25">
      <c r="A232" s="1"/>
      <c r="B232" s="1"/>
      <c r="C232" s="1"/>
      <c r="D232" s="1"/>
      <c r="E232" s="1"/>
    </row>
    <row r="233" spans="1:5" ht="13.2" x14ac:dyDescent="0.25">
      <c r="A233" s="1"/>
      <c r="B233" s="1"/>
      <c r="C233" s="1"/>
      <c r="D233" s="1"/>
      <c r="E233" s="1"/>
    </row>
    <row r="234" spans="1:5" ht="13.2" x14ac:dyDescent="0.25">
      <c r="A234" s="1"/>
      <c r="B234" s="1"/>
      <c r="C234" s="1"/>
      <c r="D234" s="1"/>
      <c r="E234" s="1"/>
    </row>
    <row r="235" spans="1:5" ht="13.2" x14ac:dyDescent="0.25">
      <c r="A235" s="1"/>
      <c r="B235" s="1"/>
      <c r="C235" s="1"/>
      <c r="D235" s="1"/>
      <c r="E235" s="1"/>
    </row>
    <row r="236" spans="1:5" ht="13.2" x14ac:dyDescent="0.25">
      <c r="A236" s="1"/>
      <c r="B236" s="1"/>
      <c r="C236" s="1"/>
      <c r="D236" s="1"/>
      <c r="E236" s="1"/>
    </row>
    <row r="237" spans="1:5" ht="13.2" x14ac:dyDescent="0.25">
      <c r="A237" s="1"/>
      <c r="B237" s="1"/>
      <c r="C237" s="1"/>
      <c r="D237" s="1"/>
      <c r="E237" s="1"/>
    </row>
    <row r="238" spans="1:5" ht="13.2" x14ac:dyDescent="0.25">
      <c r="A238" s="1"/>
      <c r="B238" s="1"/>
      <c r="C238" s="1"/>
      <c r="D238" s="1"/>
      <c r="E238" s="1"/>
    </row>
    <row r="239" spans="1:5" ht="13.2" x14ac:dyDescent="0.25">
      <c r="A239" s="1"/>
      <c r="B239" s="1"/>
      <c r="C239" s="1"/>
      <c r="D239" s="1"/>
      <c r="E239" s="1"/>
    </row>
    <row r="240" spans="1:5" ht="13.2" x14ac:dyDescent="0.25">
      <c r="A240" s="1"/>
      <c r="B240" s="1"/>
      <c r="C240" s="1"/>
      <c r="D240" s="1"/>
      <c r="E240" s="1"/>
    </row>
    <row r="241" spans="1:5" ht="13.2" x14ac:dyDescent="0.25">
      <c r="A241" s="1"/>
      <c r="B241" s="1"/>
      <c r="C241" s="1"/>
      <c r="D241" s="1"/>
      <c r="E241" s="1"/>
    </row>
    <row r="242" spans="1:5" ht="13.2" x14ac:dyDescent="0.25">
      <c r="A242" s="1"/>
      <c r="B242" s="1"/>
      <c r="C242" s="1"/>
      <c r="D242" s="1"/>
      <c r="E242" s="1"/>
    </row>
    <row r="243" spans="1:5" ht="13.2" x14ac:dyDescent="0.25">
      <c r="A243" s="1"/>
      <c r="B243" s="1"/>
      <c r="C243" s="1"/>
      <c r="D243" s="1"/>
      <c r="E243" s="1"/>
    </row>
    <row r="244" spans="1:5" ht="13.2" x14ac:dyDescent="0.25">
      <c r="A244" s="1"/>
      <c r="B244" s="1"/>
      <c r="C244" s="1"/>
      <c r="D244" s="1"/>
      <c r="E244" s="1"/>
    </row>
    <row r="245" spans="1:5" ht="13.2" x14ac:dyDescent="0.25">
      <c r="A245" s="1"/>
      <c r="B245" s="1"/>
      <c r="C245" s="1"/>
      <c r="D245" s="1"/>
      <c r="E245" s="1"/>
    </row>
    <row r="246" spans="1:5" ht="13.2" x14ac:dyDescent="0.25">
      <c r="A246" s="1"/>
      <c r="B246" s="1"/>
      <c r="C246" s="1"/>
      <c r="D246" s="1"/>
      <c r="E246" s="1"/>
    </row>
    <row r="247" spans="1:5" ht="13.2" x14ac:dyDescent="0.25">
      <c r="A247" s="1"/>
      <c r="B247" s="1"/>
      <c r="C247" s="1"/>
      <c r="D247" s="1"/>
      <c r="E247" s="1"/>
    </row>
    <row r="248" spans="1:5" ht="13.2" x14ac:dyDescent="0.25">
      <c r="A248" s="1"/>
      <c r="B248" s="1"/>
      <c r="C248" s="1"/>
      <c r="D248" s="1"/>
      <c r="E248" s="1"/>
    </row>
    <row r="249" spans="1:5" ht="13.2" x14ac:dyDescent="0.25">
      <c r="A249" s="1"/>
      <c r="B249" s="1"/>
      <c r="C249" s="1"/>
      <c r="D249" s="1"/>
      <c r="E249" s="1"/>
    </row>
    <row r="250" spans="1:5" ht="13.2" x14ac:dyDescent="0.25">
      <c r="A250" s="1"/>
      <c r="B250" s="1"/>
      <c r="C250" s="1"/>
      <c r="D250" s="1"/>
      <c r="E250" s="1"/>
    </row>
    <row r="251" spans="1:5" ht="13.2" x14ac:dyDescent="0.25">
      <c r="A251" s="1"/>
      <c r="B251" s="1"/>
      <c r="C251" s="1"/>
      <c r="D251" s="1"/>
      <c r="E251" s="1"/>
    </row>
    <row r="252" spans="1:5" ht="13.2" x14ac:dyDescent="0.25">
      <c r="A252" s="1"/>
      <c r="B252" s="1"/>
      <c r="C252" s="1"/>
      <c r="D252" s="1"/>
      <c r="E252" s="1"/>
    </row>
    <row r="253" spans="1:5" ht="13.2" x14ac:dyDescent="0.25">
      <c r="A253" s="1"/>
      <c r="B253" s="1"/>
      <c r="C253" s="1"/>
      <c r="D253" s="1"/>
      <c r="E253" s="1"/>
    </row>
    <row r="254" spans="1:5" ht="13.2" x14ac:dyDescent="0.25">
      <c r="A254" s="1"/>
      <c r="B254" s="1"/>
      <c r="C254" s="1"/>
      <c r="D254" s="1"/>
      <c r="E254" s="1"/>
    </row>
    <row r="255" spans="1:5" ht="13.2" x14ac:dyDescent="0.25">
      <c r="A255" s="1"/>
      <c r="B255" s="1"/>
      <c r="C255" s="1"/>
      <c r="D255" s="1"/>
      <c r="E255" s="1"/>
    </row>
    <row r="256" spans="1:5" ht="13.2" x14ac:dyDescent="0.25">
      <c r="A256" s="1"/>
      <c r="B256" s="1"/>
      <c r="C256" s="1"/>
      <c r="D256" s="1"/>
      <c r="E256" s="1"/>
    </row>
    <row r="257" spans="1:5" ht="13.2" x14ac:dyDescent="0.25">
      <c r="A257" s="1"/>
      <c r="B257" s="1"/>
      <c r="C257" s="1"/>
      <c r="D257" s="1"/>
      <c r="E257" s="1"/>
    </row>
    <row r="258" spans="1:5" ht="13.2" x14ac:dyDescent="0.25">
      <c r="A258" s="1"/>
      <c r="B258" s="1"/>
      <c r="C258" s="1"/>
      <c r="D258" s="1"/>
      <c r="E258" s="1"/>
    </row>
    <row r="259" spans="1:5" ht="13.2" x14ac:dyDescent="0.25">
      <c r="A259" s="1"/>
      <c r="B259" s="1"/>
      <c r="C259" s="1"/>
      <c r="D259" s="1"/>
      <c r="E259" s="1"/>
    </row>
    <row r="260" spans="1:5" ht="13.2" x14ac:dyDescent="0.25">
      <c r="A260" s="1"/>
      <c r="B260" s="1"/>
      <c r="C260" s="1"/>
      <c r="D260" s="1"/>
      <c r="E260" s="1"/>
    </row>
    <row r="261" spans="1:5" ht="13.2" x14ac:dyDescent="0.25">
      <c r="A261" s="1"/>
      <c r="B261" s="1"/>
      <c r="C261" s="1"/>
      <c r="D261" s="1"/>
      <c r="E261" s="1"/>
    </row>
    <row r="262" spans="1:5" ht="13.2" x14ac:dyDescent="0.25">
      <c r="A262" s="1"/>
      <c r="B262" s="1"/>
      <c r="C262" s="1"/>
      <c r="D262" s="1"/>
      <c r="E262" s="1"/>
    </row>
    <row r="263" spans="1:5" ht="13.2" x14ac:dyDescent="0.25">
      <c r="A263" s="1"/>
      <c r="B263" s="1"/>
      <c r="C263" s="1"/>
      <c r="D263" s="1"/>
      <c r="E263" s="1"/>
    </row>
    <row r="264" spans="1:5" ht="13.2" x14ac:dyDescent="0.25">
      <c r="A264" s="1"/>
      <c r="B264" s="1"/>
      <c r="C264" s="1"/>
      <c r="D264" s="1"/>
      <c r="E264" s="1"/>
    </row>
    <row r="265" spans="1:5" ht="13.2" x14ac:dyDescent="0.25">
      <c r="A265" s="1"/>
      <c r="B265" s="1"/>
      <c r="C265" s="1"/>
      <c r="D265" s="1"/>
      <c r="E265" s="1"/>
    </row>
    <row r="266" spans="1:5" ht="13.2" x14ac:dyDescent="0.25">
      <c r="A266" s="1"/>
      <c r="B266" s="1"/>
      <c r="C266" s="1"/>
      <c r="D266" s="1"/>
      <c r="E266" s="1"/>
    </row>
    <row r="267" spans="1:5" ht="13.2" x14ac:dyDescent="0.25">
      <c r="A267" s="1"/>
      <c r="B267" s="1"/>
      <c r="C267" s="1"/>
      <c r="D267" s="1"/>
      <c r="E267" s="1"/>
    </row>
    <row r="268" spans="1:5" ht="13.2" x14ac:dyDescent="0.25">
      <c r="A268" s="1"/>
      <c r="B268" s="1"/>
      <c r="C268" s="1"/>
      <c r="D268" s="1"/>
      <c r="E268" s="1"/>
    </row>
    <row r="269" spans="1:5" ht="13.2" x14ac:dyDescent="0.25">
      <c r="A269" s="1"/>
      <c r="B269" s="1"/>
      <c r="C269" s="1"/>
      <c r="D269" s="1"/>
      <c r="E269" s="1"/>
    </row>
    <row r="270" spans="1:5" ht="13.2" x14ac:dyDescent="0.25">
      <c r="A270" s="1"/>
      <c r="B270" s="1"/>
      <c r="C270" s="1"/>
      <c r="D270" s="1"/>
      <c r="E270" s="1"/>
    </row>
    <row r="271" spans="1:5" ht="13.2" x14ac:dyDescent="0.25">
      <c r="A271" s="1"/>
      <c r="B271" s="1"/>
      <c r="C271" s="1"/>
      <c r="D271" s="1"/>
      <c r="E271" s="1"/>
    </row>
    <row r="272" spans="1:5" ht="13.2" x14ac:dyDescent="0.25">
      <c r="A272" s="1"/>
      <c r="B272" s="1"/>
      <c r="C272" s="1"/>
      <c r="D272" s="1"/>
      <c r="E272" s="1"/>
    </row>
    <row r="273" spans="1:5" ht="13.2" x14ac:dyDescent="0.25">
      <c r="A273" s="1"/>
      <c r="B273" s="1"/>
      <c r="C273" s="1"/>
      <c r="D273" s="1"/>
      <c r="E273" s="1"/>
    </row>
    <row r="274" spans="1:5" ht="13.2" x14ac:dyDescent="0.25">
      <c r="A274" s="1"/>
      <c r="B274" s="1"/>
      <c r="C274" s="1"/>
      <c r="D274" s="1"/>
      <c r="E274" s="1"/>
    </row>
    <row r="275" spans="1:5" ht="13.2" x14ac:dyDescent="0.25">
      <c r="A275" s="1"/>
      <c r="B275" s="1"/>
      <c r="C275" s="1"/>
      <c r="D275" s="1"/>
      <c r="E275" s="1"/>
    </row>
    <row r="276" spans="1:5" ht="13.2" x14ac:dyDescent="0.25">
      <c r="A276" s="1"/>
      <c r="B276" s="1"/>
      <c r="C276" s="1"/>
      <c r="D276" s="1"/>
      <c r="E276" s="1"/>
    </row>
    <row r="277" spans="1:5" ht="13.2" x14ac:dyDescent="0.25">
      <c r="A277" s="1"/>
      <c r="B277" s="1"/>
      <c r="C277" s="1"/>
      <c r="D277" s="1"/>
      <c r="E277" s="1"/>
    </row>
    <row r="278" spans="1:5" ht="13.2" x14ac:dyDescent="0.25">
      <c r="A278" s="1"/>
      <c r="B278" s="1"/>
      <c r="C278" s="1"/>
      <c r="D278" s="1"/>
      <c r="E278" s="1"/>
    </row>
    <row r="279" spans="1:5" ht="13.2" x14ac:dyDescent="0.25">
      <c r="A279" s="1"/>
      <c r="B279" s="1"/>
      <c r="C279" s="1"/>
      <c r="D279" s="1"/>
      <c r="E279" s="1"/>
    </row>
    <row r="280" spans="1:5" ht="13.2" x14ac:dyDescent="0.25">
      <c r="A280" s="1"/>
      <c r="B280" s="1"/>
      <c r="C280" s="1"/>
      <c r="D280" s="1"/>
      <c r="E280" s="1"/>
    </row>
    <row r="281" spans="1:5" ht="13.2" x14ac:dyDescent="0.25">
      <c r="A281" s="1"/>
      <c r="B281" s="1"/>
      <c r="C281" s="1"/>
      <c r="D281" s="1"/>
      <c r="E281" s="1"/>
    </row>
    <row r="282" spans="1:5" ht="13.2" x14ac:dyDescent="0.25">
      <c r="A282" s="1"/>
      <c r="B282" s="1"/>
      <c r="C282" s="1"/>
      <c r="D282" s="1"/>
      <c r="E282" s="1"/>
    </row>
    <row r="283" spans="1:5" ht="13.2" x14ac:dyDescent="0.25">
      <c r="A283" s="1"/>
      <c r="B283" s="1"/>
      <c r="C283" s="1"/>
      <c r="D283" s="1"/>
      <c r="E283" s="1"/>
    </row>
    <row r="284" spans="1:5" ht="13.2" x14ac:dyDescent="0.25">
      <c r="A284" s="1"/>
      <c r="B284" s="1"/>
      <c r="C284" s="1"/>
      <c r="D284" s="1"/>
      <c r="E284" s="1"/>
    </row>
    <row r="285" spans="1:5" ht="13.2" x14ac:dyDescent="0.25">
      <c r="A285" s="1"/>
      <c r="B285" s="1"/>
      <c r="C285" s="1"/>
      <c r="D285" s="1"/>
      <c r="E285" s="1"/>
    </row>
    <row r="286" spans="1:5" ht="13.2" x14ac:dyDescent="0.25">
      <c r="A286" s="1"/>
      <c r="B286" s="1"/>
      <c r="C286" s="1"/>
      <c r="D286" s="1"/>
      <c r="E286" s="1"/>
    </row>
    <row r="287" spans="1:5" ht="13.2" x14ac:dyDescent="0.25">
      <c r="A287" s="1"/>
      <c r="B287" s="1"/>
      <c r="C287" s="1"/>
      <c r="D287" s="1"/>
      <c r="E287" s="1"/>
    </row>
    <row r="288" spans="1:5" ht="13.2" x14ac:dyDescent="0.25">
      <c r="A288" s="1"/>
      <c r="B288" s="1"/>
      <c r="C288" s="1"/>
      <c r="D288" s="1"/>
      <c r="E288" s="1"/>
    </row>
    <row r="289" spans="1:5" ht="13.2" x14ac:dyDescent="0.25">
      <c r="A289" s="1"/>
      <c r="B289" s="1"/>
      <c r="C289" s="1"/>
      <c r="D289" s="1"/>
      <c r="E289" s="1"/>
    </row>
    <row r="290" spans="1:5" ht="13.2" x14ac:dyDescent="0.25">
      <c r="A290" s="1"/>
      <c r="B290" s="1"/>
      <c r="C290" s="1"/>
      <c r="D290" s="1"/>
      <c r="E290" s="1"/>
    </row>
    <row r="291" spans="1:5" ht="13.2" x14ac:dyDescent="0.25">
      <c r="A291" s="1"/>
      <c r="B291" s="1"/>
      <c r="C291" s="1"/>
      <c r="D291" s="1"/>
      <c r="E291" s="1"/>
    </row>
    <row r="292" spans="1:5" ht="13.2" x14ac:dyDescent="0.25">
      <c r="A292" s="1"/>
      <c r="B292" s="1"/>
      <c r="C292" s="1"/>
      <c r="D292" s="1"/>
      <c r="E292" s="1"/>
    </row>
    <row r="293" spans="1:5" ht="13.2" x14ac:dyDescent="0.25">
      <c r="A293" s="1"/>
      <c r="B293" s="1"/>
      <c r="C293" s="1"/>
      <c r="D293" s="1"/>
      <c r="E293" s="1"/>
    </row>
    <row r="294" spans="1:5" ht="13.2" x14ac:dyDescent="0.25">
      <c r="A294" s="1"/>
      <c r="B294" s="1"/>
      <c r="C294" s="1"/>
      <c r="D294" s="1"/>
      <c r="E294" s="1"/>
    </row>
    <row r="295" spans="1:5" ht="13.2" x14ac:dyDescent="0.25">
      <c r="A295" s="1"/>
      <c r="B295" s="1"/>
      <c r="C295" s="1"/>
      <c r="D295" s="1"/>
      <c r="E295" s="1"/>
    </row>
    <row r="296" spans="1:5" ht="13.2" x14ac:dyDescent="0.25">
      <c r="A296" s="1"/>
      <c r="B296" s="1"/>
      <c r="C296" s="1"/>
      <c r="D296" s="1"/>
      <c r="E296" s="1"/>
    </row>
    <row r="297" spans="1:5" ht="13.2" x14ac:dyDescent="0.25">
      <c r="A297" s="1"/>
      <c r="B297" s="1"/>
      <c r="C297" s="1"/>
      <c r="D297" s="1"/>
      <c r="E297" s="1"/>
    </row>
    <row r="298" spans="1:5" ht="13.2" x14ac:dyDescent="0.25">
      <c r="A298" s="1"/>
      <c r="B298" s="1"/>
      <c r="C298" s="1"/>
      <c r="D298" s="1"/>
      <c r="E298" s="1"/>
    </row>
    <row r="299" spans="1:5" ht="13.2" x14ac:dyDescent="0.25">
      <c r="A299" s="1"/>
      <c r="B299" s="1"/>
      <c r="C299" s="1"/>
      <c r="D299" s="1"/>
      <c r="E299" s="1"/>
    </row>
    <row r="300" spans="1:5" ht="13.2" x14ac:dyDescent="0.25">
      <c r="A300" s="1"/>
      <c r="B300" s="1"/>
      <c r="C300" s="1"/>
      <c r="D300" s="1"/>
      <c r="E300" s="1"/>
    </row>
    <row r="301" spans="1:5" ht="13.2" x14ac:dyDescent="0.25">
      <c r="A301" s="1"/>
      <c r="B301" s="1"/>
      <c r="C301" s="1"/>
      <c r="D301" s="1"/>
      <c r="E301" s="1"/>
    </row>
    <row r="302" spans="1:5" ht="13.2" x14ac:dyDescent="0.25">
      <c r="A302" s="1"/>
      <c r="B302" s="1"/>
      <c r="C302" s="1"/>
      <c r="D302" s="1"/>
      <c r="E302" s="1"/>
    </row>
    <row r="303" spans="1:5" ht="13.2" x14ac:dyDescent="0.25">
      <c r="A303" s="1"/>
      <c r="B303" s="1"/>
      <c r="C303" s="1"/>
      <c r="D303" s="1"/>
      <c r="E303" s="1"/>
    </row>
    <row r="304" spans="1:5" ht="13.2" x14ac:dyDescent="0.25">
      <c r="A304" s="1"/>
      <c r="B304" s="1"/>
      <c r="C304" s="1"/>
      <c r="D304" s="1"/>
      <c r="E304" s="1"/>
    </row>
    <row r="305" spans="1:5" ht="13.2" x14ac:dyDescent="0.25">
      <c r="A305" s="1"/>
      <c r="B305" s="1"/>
      <c r="C305" s="1"/>
      <c r="D305" s="1"/>
      <c r="E305" s="1"/>
    </row>
    <row r="306" spans="1:5" ht="13.2" x14ac:dyDescent="0.25">
      <c r="A306" s="1"/>
      <c r="B306" s="1"/>
      <c r="C306" s="1"/>
      <c r="D306" s="1"/>
      <c r="E306" s="1"/>
    </row>
    <row r="307" spans="1:5" ht="13.2" x14ac:dyDescent="0.25">
      <c r="A307" s="1"/>
      <c r="B307" s="1"/>
      <c r="C307" s="1"/>
      <c r="D307" s="1"/>
      <c r="E307" s="1"/>
    </row>
    <row r="308" spans="1:5" ht="13.2" x14ac:dyDescent="0.25">
      <c r="A308" s="1"/>
      <c r="B308" s="1"/>
      <c r="C308" s="1"/>
      <c r="D308" s="1"/>
      <c r="E308" s="1"/>
    </row>
    <row r="309" spans="1:5" ht="13.2" x14ac:dyDescent="0.25">
      <c r="A309" s="1"/>
      <c r="B309" s="1"/>
      <c r="C309" s="1"/>
      <c r="D309" s="1"/>
      <c r="E309" s="1"/>
    </row>
    <row r="310" spans="1:5" ht="13.2" x14ac:dyDescent="0.25">
      <c r="A310" s="1"/>
      <c r="B310" s="1"/>
      <c r="C310" s="1"/>
      <c r="D310" s="1"/>
      <c r="E310" s="1"/>
    </row>
    <row r="311" spans="1:5" ht="13.2" x14ac:dyDescent="0.25">
      <c r="A311" s="1"/>
      <c r="B311" s="1"/>
      <c r="C311" s="1"/>
      <c r="D311" s="1"/>
      <c r="E311" s="1"/>
    </row>
    <row r="312" spans="1:5" ht="13.2" x14ac:dyDescent="0.25">
      <c r="A312" s="1"/>
      <c r="B312" s="1"/>
      <c r="C312" s="1"/>
      <c r="D312" s="1"/>
      <c r="E312" s="1"/>
    </row>
    <row r="313" spans="1:5" ht="13.2" x14ac:dyDescent="0.25">
      <c r="A313" s="1"/>
      <c r="B313" s="1"/>
      <c r="C313" s="1"/>
      <c r="D313" s="1"/>
      <c r="E313" s="1"/>
    </row>
    <row r="314" spans="1:5" ht="13.2" x14ac:dyDescent="0.25">
      <c r="A314" s="1"/>
      <c r="B314" s="1"/>
      <c r="C314" s="1"/>
      <c r="D314" s="1"/>
      <c r="E314" s="1"/>
    </row>
    <row r="315" spans="1:5" ht="13.2" x14ac:dyDescent="0.25">
      <c r="A315" s="1"/>
      <c r="B315" s="1"/>
      <c r="C315" s="1"/>
      <c r="D315" s="1"/>
      <c r="E315" s="1"/>
    </row>
    <row r="316" spans="1:5" ht="13.2" x14ac:dyDescent="0.25">
      <c r="A316" s="1"/>
      <c r="B316" s="1"/>
      <c r="C316" s="1"/>
      <c r="D316" s="1"/>
      <c r="E316" s="1"/>
    </row>
    <row r="317" spans="1:5" ht="13.2" x14ac:dyDescent="0.25">
      <c r="A317" s="1"/>
      <c r="B317" s="1"/>
      <c r="C317" s="1"/>
      <c r="D317" s="1"/>
      <c r="E317" s="1"/>
    </row>
    <row r="318" spans="1:5" ht="13.2" x14ac:dyDescent="0.25">
      <c r="A318" s="1"/>
      <c r="B318" s="1"/>
      <c r="C318" s="1"/>
      <c r="D318" s="1"/>
      <c r="E318" s="1"/>
    </row>
    <row r="319" spans="1:5" ht="13.2" x14ac:dyDescent="0.25">
      <c r="A319" s="1"/>
      <c r="B319" s="1"/>
      <c r="C319" s="1"/>
      <c r="D319" s="1"/>
      <c r="E319" s="1"/>
    </row>
    <row r="320" spans="1:5" ht="13.2" x14ac:dyDescent="0.25">
      <c r="A320" s="1"/>
      <c r="B320" s="1"/>
      <c r="C320" s="1"/>
      <c r="D320" s="1"/>
      <c r="E320" s="1"/>
    </row>
    <row r="321" spans="1:5" ht="13.2" x14ac:dyDescent="0.25">
      <c r="A321" s="1"/>
      <c r="B321" s="1"/>
      <c r="C321" s="1"/>
      <c r="D321" s="1"/>
      <c r="E321" s="1"/>
    </row>
    <row r="322" spans="1:5" ht="13.2" x14ac:dyDescent="0.25">
      <c r="A322" s="1"/>
      <c r="B322" s="1"/>
      <c r="C322" s="1"/>
      <c r="D322" s="1"/>
      <c r="E322" s="1"/>
    </row>
    <row r="323" spans="1:5" ht="13.2" x14ac:dyDescent="0.25">
      <c r="A323" s="1"/>
      <c r="B323" s="1"/>
      <c r="C323" s="1"/>
      <c r="D323" s="1"/>
      <c r="E323" s="1"/>
    </row>
    <row r="324" spans="1:5" ht="13.2" x14ac:dyDescent="0.25">
      <c r="A324" s="1"/>
      <c r="B324" s="1"/>
      <c r="C324" s="1"/>
      <c r="D324" s="1"/>
      <c r="E324" s="1"/>
    </row>
    <row r="325" spans="1:5" ht="13.2" x14ac:dyDescent="0.25">
      <c r="A325" s="1"/>
      <c r="B325" s="1"/>
      <c r="C325" s="1"/>
      <c r="D325" s="1"/>
      <c r="E325" s="1"/>
    </row>
    <row r="326" spans="1:5" ht="13.2" x14ac:dyDescent="0.25">
      <c r="A326" s="1"/>
      <c r="B326" s="1"/>
      <c r="C326" s="1"/>
      <c r="D326" s="1"/>
      <c r="E326" s="1"/>
    </row>
    <row r="327" spans="1:5" ht="13.2" x14ac:dyDescent="0.25">
      <c r="A327" s="1"/>
      <c r="B327" s="1"/>
      <c r="C327" s="1"/>
      <c r="D327" s="1"/>
      <c r="E327" s="1"/>
    </row>
    <row r="328" spans="1:5" ht="13.2" x14ac:dyDescent="0.25">
      <c r="A328" s="1"/>
      <c r="B328" s="1"/>
      <c r="C328" s="1"/>
      <c r="D328" s="1"/>
      <c r="E328" s="1"/>
    </row>
    <row r="329" spans="1:5" ht="13.2" x14ac:dyDescent="0.25">
      <c r="A329" s="1"/>
      <c r="B329" s="1"/>
      <c r="C329" s="1"/>
      <c r="D329" s="1"/>
      <c r="E329" s="1"/>
    </row>
    <row r="330" spans="1:5" ht="13.2" x14ac:dyDescent="0.25">
      <c r="A330" s="1"/>
      <c r="B330" s="1"/>
      <c r="C330" s="1"/>
      <c r="D330" s="1"/>
      <c r="E330" s="1"/>
    </row>
    <row r="331" spans="1:5" ht="13.2" x14ac:dyDescent="0.25">
      <c r="A331" s="1"/>
      <c r="B331" s="1"/>
      <c r="C331" s="1"/>
      <c r="D331" s="1"/>
      <c r="E331" s="1"/>
    </row>
    <row r="332" spans="1:5" ht="13.2" x14ac:dyDescent="0.25">
      <c r="A332" s="1"/>
      <c r="B332" s="1"/>
      <c r="C332" s="1"/>
      <c r="D332" s="1"/>
      <c r="E332" s="1"/>
    </row>
    <row r="333" spans="1:5" ht="13.2" x14ac:dyDescent="0.25">
      <c r="A333" s="1"/>
      <c r="B333" s="1"/>
      <c r="C333" s="1"/>
      <c r="D333" s="1"/>
      <c r="E333" s="1"/>
    </row>
    <row r="334" spans="1:5" ht="13.2" x14ac:dyDescent="0.25">
      <c r="A334" s="1"/>
      <c r="B334" s="1"/>
      <c r="C334" s="1"/>
      <c r="D334" s="1"/>
      <c r="E334" s="1"/>
    </row>
    <row r="335" spans="1:5" ht="13.2" x14ac:dyDescent="0.25">
      <c r="A335" s="1"/>
      <c r="B335" s="1"/>
      <c r="C335" s="1"/>
      <c r="D335" s="1"/>
      <c r="E335" s="1"/>
    </row>
    <row r="336" spans="1:5" ht="13.2" x14ac:dyDescent="0.25">
      <c r="A336" s="1"/>
      <c r="B336" s="1"/>
      <c r="C336" s="1"/>
      <c r="D336" s="1"/>
      <c r="E336" s="1"/>
    </row>
    <row r="337" spans="1:5" ht="13.2" x14ac:dyDescent="0.25">
      <c r="A337" s="1"/>
      <c r="B337" s="1"/>
      <c r="C337" s="1"/>
      <c r="D337" s="1"/>
      <c r="E337" s="1"/>
    </row>
    <row r="338" spans="1:5" ht="13.2" x14ac:dyDescent="0.25">
      <c r="A338" s="1"/>
      <c r="B338" s="1"/>
      <c r="C338" s="1"/>
      <c r="D338" s="1"/>
      <c r="E338" s="1"/>
    </row>
    <row r="339" spans="1:5" ht="13.2" x14ac:dyDescent="0.25">
      <c r="A339" s="1"/>
      <c r="B339" s="1"/>
      <c r="C339" s="1"/>
      <c r="D339" s="1"/>
      <c r="E339" s="1"/>
    </row>
    <row r="340" spans="1:5" ht="13.2" x14ac:dyDescent="0.25">
      <c r="A340" s="1"/>
      <c r="B340" s="1"/>
      <c r="C340" s="1"/>
      <c r="D340" s="1"/>
      <c r="E340" s="1"/>
    </row>
    <row r="341" spans="1:5" ht="13.2" x14ac:dyDescent="0.25">
      <c r="A341" s="1"/>
      <c r="B341" s="1"/>
      <c r="C341" s="1"/>
      <c r="D341" s="1"/>
      <c r="E341" s="1"/>
    </row>
    <row r="342" spans="1:5" ht="13.2" x14ac:dyDescent="0.25">
      <c r="A342" s="1"/>
      <c r="B342" s="1"/>
      <c r="C342" s="1"/>
      <c r="D342" s="1"/>
      <c r="E342" s="1"/>
    </row>
    <row r="343" spans="1:5" ht="13.2" x14ac:dyDescent="0.25">
      <c r="A343" s="1"/>
      <c r="B343" s="1"/>
      <c r="C343" s="1"/>
      <c r="D343" s="1"/>
      <c r="E343" s="1"/>
    </row>
    <row r="344" spans="1:5" ht="13.2" x14ac:dyDescent="0.25">
      <c r="A344" s="1"/>
      <c r="B344" s="1"/>
      <c r="C344" s="1"/>
      <c r="D344" s="1"/>
      <c r="E344" s="1"/>
    </row>
    <row r="345" spans="1:5" ht="13.2" x14ac:dyDescent="0.25">
      <c r="A345" s="1"/>
      <c r="B345" s="1"/>
      <c r="C345" s="1"/>
      <c r="D345" s="1"/>
      <c r="E345" s="1"/>
    </row>
    <row r="346" spans="1:5" ht="13.2" x14ac:dyDescent="0.25">
      <c r="A346" s="1"/>
      <c r="B346" s="1"/>
      <c r="C346" s="1"/>
      <c r="D346" s="1"/>
      <c r="E346" s="1"/>
    </row>
    <row r="347" spans="1:5" ht="13.2" x14ac:dyDescent="0.25">
      <c r="A347" s="1"/>
      <c r="B347" s="1"/>
      <c r="C347" s="1"/>
      <c r="D347" s="1"/>
      <c r="E347" s="1"/>
    </row>
    <row r="348" spans="1:5" ht="13.2" x14ac:dyDescent="0.25">
      <c r="A348" s="1"/>
      <c r="B348" s="1"/>
      <c r="C348" s="1"/>
      <c r="D348" s="1"/>
      <c r="E348" s="1"/>
    </row>
    <row r="349" spans="1:5" ht="13.2" x14ac:dyDescent="0.25">
      <c r="A349" s="1"/>
      <c r="B349" s="1"/>
      <c r="C349" s="1"/>
      <c r="D349" s="1"/>
      <c r="E349" s="1"/>
    </row>
    <row r="350" spans="1:5" ht="13.2" x14ac:dyDescent="0.25">
      <c r="A350" s="1"/>
      <c r="B350" s="1"/>
      <c r="C350" s="1"/>
      <c r="D350" s="1"/>
      <c r="E350" s="1"/>
    </row>
    <row r="351" spans="1:5" ht="13.2" x14ac:dyDescent="0.25">
      <c r="A351" s="1"/>
      <c r="B351" s="1"/>
      <c r="C351" s="1"/>
      <c r="D351" s="1"/>
      <c r="E351" s="1"/>
    </row>
    <row r="352" spans="1:5" ht="13.2" x14ac:dyDescent="0.25">
      <c r="A352" s="1"/>
      <c r="B352" s="1"/>
      <c r="C352" s="1"/>
      <c r="D352" s="1"/>
      <c r="E352" s="1"/>
    </row>
    <row r="353" spans="1:5" ht="13.2" x14ac:dyDescent="0.25">
      <c r="A353" s="1"/>
      <c r="B353" s="1"/>
      <c r="C353" s="1"/>
      <c r="D353" s="1"/>
      <c r="E353" s="1"/>
    </row>
    <row r="354" spans="1:5" ht="13.2" x14ac:dyDescent="0.25">
      <c r="A354" s="1"/>
      <c r="B354" s="1"/>
      <c r="C354" s="1"/>
      <c r="D354" s="1"/>
      <c r="E354" s="1"/>
    </row>
    <row r="355" spans="1:5" ht="13.2" x14ac:dyDescent="0.25">
      <c r="A355" s="1"/>
      <c r="B355" s="1"/>
      <c r="C355" s="1"/>
      <c r="D355" s="1"/>
      <c r="E355" s="1"/>
    </row>
    <row r="356" spans="1:5" ht="13.2" x14ac:dyDescent="0.25">
      <c r="A356" s="1"/>
      <c r="B356" s="1"/>
      <c r="C356" s="1"/>
      <c r="D356" s="1"/>
      <c r="E356" s="1"/>
    </row>
    <row r="357" spans="1:5" ht="13.2" x14ac:dyDescent="0.25">
      <c r="A357" s="1"/>
      <c r="B357" s="1"/>
      <c r="C357" s="1"/>
      <c r="D357" s="1"/>
      <c r="E357" s="1"/>
    </row>
    <row r="358" spans="1:5" ht="13.2" x14ac:dyDescent="0.25">
      <c r="A358" s="1"/>
      <c r="B358" s="1"/>
      <c r="C358" s="1"/>
      <c r="D358" s="1"/>
      <c r="E358" s="1"/>
    </row>
    <row r="359" spans="1:5" ht="13.2" x14ac:dyDescent="0.25">
      <c r="A359" s="1"/>
      <c r="B359" s="1"/>
      <c r="C359" s="1"/>
      <c r="D359" s="1"/>
      <c r="E359" s="1"/>
    </row>
    <row r="360" spans="1:5" ht="13.2" x14ac:dyDescent="0.25">
      <c r="A360" s="1"/>
      <c r="B360" s="1"/>
      <c r="C360" s="1"/>
      <c r="D360" s="1"/>
      <c r="E360" s="1"/>
    </row>
    <row r="361" spans="1:5" ht="13.2" x14ac:dyDescent="0.25">
      <c r="A361" s="1"/>
      <c r="B361" s="1"/>
      <c r="C361" s="1"/>
      <c r="D361" s="1"/>
      <c r="E361" s="1"/>
    </row>
    <row r="362" spans="1:5" ht="13.2" x14ac:dyDescent="0.25">
      <c r="A362" s="1"/>
      <c r="B362" s="1"/>
      <c r="C362" s="1"/>
      <c r="D362" s="1"/>
      <c r="E362" s="1"/>
    </row>
    <row r="363" spans="1:5" ht="13.2" x14ac:dyDescent="0.25">
      <c r="A363" s="1"/>
      <c r="B363" s="1"/>
      <c r="C363" s="1"/>
      <c r="D363" s="1"/>
      <c r="E363" s="1"/>
    </row>
    <row r="364" spans="1:5" ht="13.2" x14ac:dyDescent="0.25">
      <c r="A364" s="1"/>
      <c r="B364" s="1"/>
      <c r="C364" s="1"/>
      <c r="D364" s="1"/>
      <c r="E364" s="1"/>
    </row>
    <row r="365" spans="1:5" ht="13.2" x14ac:dyDescent="0.25">
      <c r="A365" s="1"/>
      <c r="B365" s="1"/>
      <c r="C365" s="1"/>
      <c r="D365" s="1"/>
      <c r="E365" s="1"/>
    </row>
    <row r="366" spans="1:5" ht="13.2" x14ac:dyDescent="0.25">
      <c r="A366" s="1"/>
      <c r="B366" s="1"/>
      <c r="C366" s="1"/>
      <c r="D366" s="1"/>
      <c r="E366" s="1"/>
    </row>
    <row r="367" spans="1:5" ht="13.2" x14ac:dyDescent="0.25">
      <c r="A367" s="1"/>
      <c r="B367" s="1"/>
      <c r="C367" s="1"/>
      <c r="D367" s="1"/>
      <c r="E367" s="1"/>
    </row>
    <row r="368" spans="1:5" ht="13.2" x14ac:dyDescent="0.25">
      <c r="A368" s="1"/>
      <c r="B368" s="1"/>
      <c r="C368" s="1"/>
      <c r="D368" s="1"/>
      <c r="E368" s="1"/>
    </row>
    <row r="369" spans="1:5" ht="13.2" x14ac:dyDescent="0.25">
      <c r="A369" s="1"/>
      <c r="B369" s="1"/>
      <c r="C369" s="1"/>
      <c r="D369" s="1"/>
      <c r="E369" s="1"/>
    </row>
    <row r="370" spans="1:5" ht="13.2" x14ac:dyDescent="0.25">
      <c r="A370" s="1"/>
      <c r="B370" s="1"/>
      <c r="C370" s="1"/>
      <c r="D370" s="1"/>
      <c r="E370" s="1"/>
    </row>
    <row r="371" spans="1:5" ht="13.2" x14ac:dyDescent="0.25">
      <c r="A371" s="1"/>
      <c r="B371" s="1"/>
      <c r="C371" s="1"/>
      <c r="D371" s="1"/>
      <c r="E371" s="1"/>
    </row>
    <row r="372" spans="1:5" ht="13.2" x14ac:dyDescent="0.25">
      <c r="A372" s="1"/>
      <c r="B372" s="1"/>
      <c r="C372" s="1"/>
      <c r="D372" s="1"/>
      <c r="E372" s="1"/>
    </row>
    <row r="373" spans="1:5" ht="13.2" x14ac:dyDescent="0.25">
      <c r="A373" s="1"/>
      <c r="B373" s="1"/>
      <c r="C373" s="1"/>
      <c r="D373" s="1"/>
      <c r="E373" s="1"/>
    </row>
    <row r="374" spans="1:5" ht="13.2" x14ac:dyDescent="0.25">
      <c r="A374" s="1"/>
      <c r="B374" s="1"/>
      <c r="C374" s="1"/>
      <c r="D374" s="1"/>
      <c r="E374" s="1"/>
    </row>
    <row r="375" spans="1:5" ht="13.2" x14ac:dyDescent="0.25">
      <c r="A375" s="1"/>
      <c r="B375" s="1"/>
      <c r="C375" s="1"/>
      <c r="D375" s="1"/>
      <c r="E375" s="1"/>
    </row>
    <row r="376" spans="1:5" ht="13.2" x14ac:dyDescent="0.25">
      <c r="A376" s="1"/>
      <c r="B376" s="1"/>
      <c r="C376" s="1"/>
      <c r="D376" s="1"/>
      <c r="E376" s="1"/>
    </row>
    <row r="377" spans="1:5" ht="13.2" x14ac:dyDescent="0.25">
      <c r="A377" s="1"/>
      <c r="B377" s="1"/>
      <c r="C377" s="1"/>
      <c r="D377" s="1"/>
      <c r="E377" s="1"/>
    </row>
    <row r="378" spans="1:5" ht="13.2" x14ac:dyDescent="0.25">
      <c r="A378" s="1"/>
      <c r="B378" s="1"/>
      <c r="C378" s="1"/>
      <c r="D378" s="1"/>
      <c r="E378" s="1"/>
    </row>
    <row r="379" spans="1:5" ht="13.2" x14ac:dyDescent="0.25">
      <c r="A379" s="1"/>
      <c r="B379" s="1"/>
      <c r="C379" s="1"/>
      <c r="D379" s="1"/>
      <c r="E379" s="1"/>
    </row>
    <row r="380" spans="1:5" ht="13.2" x14ac:dyDescent="0.25">
      <c r="A380" s="1"/>
      <c r="B380" s="1"/>
      <c r="C380" s="1"/>
      <c r="D380" s="1"/>
      <c r="E380" s="1"/>
    </row>
    <row r="381" spans="1:5" ht="13.2" x14ac:dyDescent="0.25">
      <c r="A381" s="1"/>
      <c r="B381" s="1"/>
      <c r="C381" s="1"/>
      <c r="D381" s="1"/>
      <c r="E381" s="1"/>
    </row>
    <row r="382" spans="1:5" ht="13.2" x14ac:dyDescent="0.25">
      <c r="A382" s="1"/>
      <c r="B382" s="1"/>
      <c r="C382" s="1"/>
      <c r="D382" s="1"/>
      <c r="E382" s="1"/>
    </row>
    <row r="383" spans="1:5" ht="13.2" x14ac:dyDescent="0.25">
      <c r="A383" s="1"/>
      <c r="B383" s="1"/>
      <c r="C383" s="1"/>
      <c r="D383" s="1"/>
      <c r="E383" s="1"/>
    </row>
    <row r="384" spans="1:5" ht="13.2" x14ac:dyDescent="0.25">
      <c r="A384" s="1"/>
      <c r="B384" s="1"/>
      <c r="C384" s="1"/>
      <c r="D384" s="1"/>
      <c r="E384" s="1"/>
    </row>
    <row r="385" spans="1:5" ht="13.2" x14ac:dyDescent="0.25">
      <c r="A385" s="1"/>
      <c r="B385" s="1"/>
      <c r="C385" s="1"/>
      <c r="D385" s="1"/>
      <c r="E385" s="1"/>
    </row>
    <row r="386" spans="1:5" ht="13.2" x14ac:dyDescent="0.25">
      <c r="A386" s="1"/>
      <c r="B386" s="1"/>
      <c r="C386" s="1"/>
      <c r="D386" s="1"/>
      <c r="E386" s="1"/>
    </row>
    <row r="387" spans="1:5" ht="13.2" x14ac:dyDescent="0.25">
      <c r="A387" s="1"/>
      <c r="B387" s="1"/>
      <c r="C387" s="1"/>
      <c r="D387" s="1"/>
      <c r="E387" s="1"/>
    </row>
    <row r="388" spans="1:5" ht="13.2" x14ac:dyDescent="0.25">
      <c r="A388" s="1"/>
      <c r="B388" s="1"/>
      <c r="C388" s="1"/>
      <c r="D388" s="1"/>
      <c r="E388" s="1"/>
    </row>
    <row r="389" spans="1:5" ht="13.2" x14ac:dyDescent="0.25">
      <c r="A389" s="1"/>
      <c r="B389" s="1"/>
      <c r="C389" s="1"/>
      <c r="D389" s="1"/>
      <c r="E389" s="1"/>
    </row>
    <row r="390" spans="1:5" ht="13.2" x14ac:dyDescent="0.25">
      <c r="A390" s="1"/>
      <c r="B390" s="1"/>
      <c r="C390" s="1"/>
      <c r="D390" s="1"/>
      <c r="E390" s="1"/>
    </row>
    <row r="391" spans="1:5" ht="13.2" x14ac:dyDescent="0.25">
      <c r="A391" s="1"/>
      <c r="B391" s="1"/>
      <c r="C391" s="1"/>
      <c r="D391" s="1"/>
      <c r="E391" s="1"/>
    </row>
    <row r="392" spans="1:5" ht="13.2" x14ac:dyDescent="0.25">
      <c r="A392" s="1"/>
      <c r="B392" s="1"/>
      <c r="C392" s="1"/>
      <c r="D392" s="1"/>
      <c r="E392" s="1"/>
    </row>
    <row r="393" spans="1:5" ht="13.2" x14ac:dyDescent="0.25">
      <c r="A393" s="1"/>
      <c r="B393" s="1"/>
      <c r="C393" s="1"/>
      <c r="D393" s="1"/>
      <c r="E393" s="1"/>
    </row>
    <row r="394" spans="1:5" ht="13.2" x14ac:dyDescent="0.25">
      <c r="A394" s="1"/>
      <c r="B394" s="1"/>
      <c r="C394" s="1"/>
      <c r="D394" s="1"/>
      <c r="E394" s="1"/>
    </row>
    <row r="395" spans="1:5" ht="13.2" x14ac:dyDescent="0.25">
      <c r="A395" s="1"/>
      <c r="B395" s="1"/>
      <c r="C395" s="1"/>
      <c r="D395" s="1"/>
      <c r="E395" s="1"/>
    </row>
    <row r="396" spans="1:5" ht="13.2" x14ac:dyDescent="0.25">
      <c r="A396" s="1"/>
      <c r="B396" s="1"/>
      <c r="C396" s="1"/>
      <c r="D396" s="1"/>
      <c r="E396" s="1"/>
    </row>
    <row r="397" spans="1:5" ht="13.2" x14ac:dyDescent="0.25">
      <c r="A397" s="1"/>
      <c r="B397" s="1"/>
      <c r="C397" s="1"/>
      <c r="D397" s="1"/>
      <c r="E397" s="1"/>
    </row>
    <row r="398" spans="1:5" ht="13.2" x14ac:dyDescent="0.25">
      <c r="A398" s="1"/>
      <c r="B398" s="1"/>
      <c r="C398" s="1"/>
      <c r="D398" s="1"/>
      <c r="E398" s="1"/>
    </row>
    <row r="399" spans="1:5" ht="13.2" x14ac:dyDescent="0.25">
      <c r="A399" s="1"/>
      <c r="B399" s="1"/>
      <c r="C399" s="1"/>
      <c r="D399" s="1"/>
      <c r="E399" s="1"/>
    </row>
    <row r="400" spans="1:5" ht="13.2" x14ac:dyDescent="0.25">
      <c r="A400" s="1"/>
      <c r="B400" s="1"/>
      <c r="C400" s="1"/>
      <c r="D400" s="1"/>
      <c r="E400" s="1"/>
    </row>
    <row r="401" spans="1:5" ht="13.2" x14ac:dyDescent="0.25">
      <c r="A401" s="1"/>
      <c r="B401" s="1"/>
      <c r="C401" s="1"/>
      <c r="D401" s="1"/>
      <c r="E401" s="1"/>
    </row>
    <row r="402" spans="1:5" ht="13.2" x14ac:dyDescent="0.25">
      <c r="A402" s="1"/>
      <c r="B402" s="1"/>
      <c r="C402" s="1"/>
      <c r="D402" s="1"/>
      <c r="E402" s="1"/>
    </row>
    <row r="403" spans="1:5" ht="13.2" x14ac:dyDescent="0.25">
      <c r="A403" s="1"/>
      <c r="B403" s="1"/>
      <c r="C403" s="1"/>
      <c r="D403" s="1"/>
      <c r="E403" s="1"/>
    </row>
    <row r="404" spans="1:5" ht="13.2" x14ac:dyDescent="0.25">
      <c r="A404" s="1"/>
      <c r="B404" s="1"/>
      <c r="C404" s="1"/>
      <c r="D404" s="1"/>
      <c r="E404" s="1"/>
    </row>
    <row r="405" spans="1:5" ht="13.2" x14ac:dyDescent="0.25">
      <c r="A405" s="1"/>
      <c r="B405" s="1"/>
      <c r="C405" s="1"/>
      <c r="D405" s="1"/>
      <c r="E405" s="1"/>
    </row>
    <row r="406" spans="1:5" ht="13.2" x14ac:dyDescent="0.25">
      <c r="A406" s="1"/>
      <c r="B406" s="1"/>
      <c r="C406" s="1"/>
      <c r="D406" s="1"/>
      <c r="E406" s="1"/>
    </row>
    <row r="407" spans="1:5" ht="13.2" x14ac:dyDescent="0.25">
      <c r="A407" s="1"/>
      <c r="B407" s="1"/>
      <c r="C407" s="1"/>
      <c r="D407" s="1"/>
      <c r="E407" s="1"/>
    </row>
    <row r="408" spans="1:5" ht="13.2" x14ac:dyDescent="0.25">
      <c r="A408" s="1"/>
      <c r="B408" s="1"/>
      <c r="C408" s="1"/>
      <c r="D408" s="1"/>
      <c r="E408" s="1"/>
    </row>
    <row r="409" spans="1:5" ht="13.2" x14ac:dyDescent="0.25">
      <c r="A409" s="1"/>
      <c r="B409" s="1"/>
      <c r="C409" s="1"/>
      <c r="D409" s="1"/>
      <c r="E409" s="1"/>
    </row>
    <row r="410" spans="1:5" ht="13.2" x14ac:dyDescent="0.25">
      <c r="A410" s="1"/>
      <c r="B410" s="1"/>
      <c r="C410" s="1"/>
      <c r="D410" s="1"/>
      <c r="E410" s="1"/>
    </row>
    <row r="411" spans="1:5" ht="13.2" x14ac:dyDescent="0.25">
      <c r="A411" s="1"/>
      <c r="B411" s="1"/>
      <c r="C411" s="1"/>
      <c r="D411" s="1"/>
      <c r="E411" s="1"/>
    </row>
    <row r="412" spans="1:5" ht="13.2" x14ac:dyDescent="0.25">
      <c r="A412" s="1"/>
      <c r="B412" s="1"/>
      <c r="C412" s="1"/>
      <c r="D412" s="1"/>
      <c r="E412" s="1"/>
    </row>
    <row r="413" spans="1:5" ht="13.2" x14ac:dyDescent="0.25">
      <c r="A413" s="1"/>
      <c r="B413" s="1"/>
      <c r="C413" s="1"/>
      <c r="D413" s="1"/>
      <c r="E413" s="1"/>
    </row>
    <row r="414" spans="1:5" ht="13.2" x14ac:dyDescent="0.25">
      <c r="A414" s="1"/>
      <c r="B414" s="1"/>
      <c r="C414" s="1"/>
      <c r="D414" s="1"/>
      <c r="E414" s="1"/>
    </row>
    <row r="415" spans="1:5" ht="13.2" x14ac:dyDescent="0.25">
      <c r="A415" s="1"/>
      <c r="B415" s="1"/>
      <c r="C415" s="1"/>
      <c r="D415" s="1"/>
      <c r="E415" s="1"/>
    </row>
    <row r="416" spans="1:5" ht="13.2" x14ac:dyDescent="0.25">
      <c r="A416" s="1"/>
      <c r="B416" s="1"/>
      <c r="C416" s="1"/>
      <c r="D416" s="1"/>
      <c r="E416" s="1"/>
    </row>
    <row r="417" spans="1:5" ht="13.2" x14ac:dyDescent="0.25">
      <c r="A417" s="1"/>
      <c r="B417" s="1"/>
      <c r="C417" s="1"/>
      <c r="D417" s="1"/>
      <c r="E417" s="1"/>
    </row>
    <row r="418" spans="1:5" ht="13.2" x14ac:dyDescent="0.25">
      <c r="A418" s="1"/>
      <c r="B418" s="1"/>
      <c r="C418" s="1"/>
      <c r="D418" s="1"/>
      <c r="E418" s="1"/>
    </row>
    <row r="419" spans="1:5" ht="13.2" x14ac:dyDescent="0.25">
      <c r="A419" s="1"/>
      <c r="B419" s="1"/>
      <c r="C419" s="1"/>
      <c r="D419" s="1"/>
      <c r="E419" s="1"/>
    </row>
    <row r="420" spans="1:5" ht="13.2" x14ac:dyDescent="0.25">
      <c r="A420" s="1"/>
      <c r="B420" s="1"/>
      <c r="C420" s="1"/>
      <c r="D420" s="1"/>
      <c r="E420" s="1"/>
    </row>
    <row r="421" spans="1:5" ht="13.2" x14ac:dyDescent="0.25">
      <c r="A421" s="1"/>
      <c r="B421" s="1"/>
      <c r="C421" s="1"/>
      <c r="D421" s="1"/>
      <c r="E421" s="1"/>
    </row>
    <row r="422" spans="1:5" ht="13.2" x14ac:dyDescent="0.25">
      <c r="A422" s="1"/>
      <c r="B422" s="1"/>
      <c r="C422" s="1"/>
      <c r="D422" s="1"/>
      <c r="E422" s="1"/>
    </row>
    <row r="423" spans="1:5" ht="13.2" x14ac:dyDescent="0.25">
      <c r="A423" s="1"/>
      <c r="B423" s="1"/>
      <c r="C423" s="1"/>
      <c r="D423" s="1"/>
      <c r="E423" s="1"/>
    </row>
    <row r="424" spans="1:5" ht="13.2" x14ac:dyDescent="0.25">
      <c r="A424" s="1"/>
      <c r="B424" s="1"/>
      <c r="C424" s="1"/>
      <c r="D424" s="1"/>
      <c r="E424" s="1"/>
    </row>
    <row r="425" spans="1:5" ht="13.2" x14ac:dyDescent="0.25">
      <c r="A425" s="1"/>
      <c r="B425" s="1"/>
      <c r="C425" s="1"/>
      <c r="D425" s="1"/>
      <c r="E425" s="1"/>
    </row>
    <row r="426" spans="1:5" ht="13.2" x14ac:dyDescent="0.25">
      <c r="A426" s="1"/>
      <c r="B426" s="1"/>
      <c r="C426" s="1"/>
      <c r="D426" s="1"/>
      <c r="E426" s="1"/>
    </row>
    <row r="427" spans="1:5" ht="13.2" x14ac:dyDescent="0.25">
      <c r="A427" s="1"/>
      <c r="B427" s="1"/>
      <c r="C427" s="1"/>
      <c r="D427" s="1"/>
      <c r="E427" s="1"/>
    </row>
    <row r="428" spans="1:5" ht="13.2" x14ac:dyDescent="0.25">
      <c r="A428" s="1"/>
      <c r="B428" s="1"/>
      <c r="C428" s="1"/>
      <c r="D428" s="1"/>
      <c r="E428" s="1"/>
    </row>
    <row r="429" spans="1:5" ht="13.2" x14ac:dyDescent="0.25">
      <c r="A429" s="1"/>
      <c r="B429" s="1"/>
      <c r="C429" s="1"/>
      <c r="D429" s="1"/>
      <c r="E429" s="1"/>
    </row>
    <row r="430" spans="1:5" ht="13.2" x14ac:dyDescent="0.25">
      <c r="A430" s="1"/>
      <c r="B430" s="1"/>
      <c r="C430" s="1"/>
      <c r="D430" s="1"/>
      <c r="E430" s="1"/>
    </row>
    <row r="431" spans="1:5" ht="13.2" x14ac:dyDescent="0.25">
      <c r="A431" s="1"/>
      <c r="B431" s="1"/>
      <c r="C431" s="1"/>
      <c r="D431" s="1"/>
      <c r="E431" s="1"/>
    </row>
    <row r="432" spans="1:5" ht="13.2" x14ac:dyDescent="0.25">
      <c r="A432" s="1"/>
      <c r="B432" s="1"/>
      <c r="C432" s="1"/>
      <c r="D432" s="1"/>
      <c r="E432" s="1"/>
    </row>
    <row r="433" spans="1:5" ht="13.2" x14ac:dyDescent="0.25">
      <c r="A433" s="1"/>
      <c r="B433" s="1"/>
      <c r="C433" s="1"/>
      <c r="D433" s="1"/>
      <c r="E433" s="1"/>
    </row>
    <row r="434" spans="1:5" ht="13.2" x14ac:dyDescent="0.25">
      <c r="A434" s="1"/>
      <c r="B434" s="1"/>
      <c r="C434" s="1"/>
      <c r="D434" s="1"/>
      <c r="E434" s="1"/>
    </row>
    <row r="435" spans="1:5" ht="13.2" x14ac:dyDescent="0.25">
      <c r="A435" s="1"/>
      <c r="B435" s="1"/>
      <c r="C435" s="1"/>
      <c r="D435" s="1"/>
      <c r="E435" s="1"/>
    </row>
    <row r="436" spans="1:5" ht="13.2" x14ac:dyDescent="0.25">
      <c r="A436" s="1"/>
      <c r="B436" s="1"/>
      <c r="C436" s="1"/>
      <c r="D436" s="1"/>
      <c r="E436" s="1"/>
    </row>
    <row r="437" spans="1:5" ht="13.2" x14ac:dyDescent="0.25">
      <c r="A437" s="1"/>
      <c r="B437" s="1"/>
      <c r="C437" s="1"/>
      <c r="D437" s="1"/>
      <c r="E437" s="1"/>
    </row>
    <row r="438" spans="1:5" ht="13.2" x14ac:dyDescent="0.25">
      <c r="A438" s="1"/>
      <c r="B438" s="1"/>
      <c r="C438" s="1"/>
      <c r="D438" s="1"/>
      <c r="E438" s="1"/>
    </row>
    <row r="439" spans="1:5" ht="13.2" x14ac:dyDescent="0.25">
      <c r="A439" s="1"/>
      <c r="B439" s="1"/>
      <c r="C439" s="1"/>
      <c r="D439" s="1"/>
      <c r="E439" s="1"/>
    </row>
    <row r="440" spans="1:5" ht="13.2" x14ac:dyDescent="0.25">
      <c r="A440" s="1"/>
      <c r="B440" s="1"/>
      <c r="C440" s="1"/>
      <c r="D440" s="1"/>
      <c r="E440" s="1"/>
    </row>
    <row r="441" spans="1:5" ht="13.2" x14ac:dyDescent="0.25">
      <c r="A441" s="1"/>
      <c r="B441" s="1"/>
      <c r="C441" s="1"/>
      <c r="D441" s="1"/>
      <c r="E441" s="1"/>
    </row>
    <row r="442" spans="1:5" ht="13.2" x14ac:dyDescent="0.25">
      <c r="A442" s="1"/>
      <c r="B442" s="1"/>
      <c r="C442" s="1"/>
      <c r="D442" s="1"/>
      <c r="E442" s="1"/>
    </row>
    <row r="443" spans="1:5" ht="13.2" x14ac:dyDescent="0.25">
      <c r="A443" s="1"/>
      <c r="B443" s="1"/>
      <c r="C443" s="1"/>
      <c r="D443" s="1"/>
      <c r="E443" s="1"/>
    </row>
    <row r="444" spans="1:5" ht="13.2" x14ac:dyDescent="0.25">
      <c r="A444" s="1"/>
      <c r="B444" s="1"/>
      <c r="C444" s="1"/>
      <c r="D444" s="1"/>
      <c r="E444" s="1"/>
    </row>
    <row r="445" spans="1:5" ht="13.2" x14ac:dyDescent="0.25">
      <c r="A445" s="1"/>
      <c r="B445" s="1"/>
      <c r="C445" s="1"/>
      <c r="D445" s="1"/>
      <c r="E445" s="1"/>
    </row>
    <row r="446" spans="1:5" ht="13.2" x14ac:dyDescent="0.25">
      <c r="A446" s="1"/>
      <c r="B446" s="1"/>
      <c r="C446" s="1"/>
      <c r="D446" s="1"/>
      <c r="E446" s="1"/>
    </row>
    <row r="447" spans="1:5" ht="13.2" x14ac:dyDescent="0.25">
      <c r="A447" s="1"/>
      <c r="B447" s="1"/>
      <c r="C447" s="1"/>
      <c r="D447" s="1"/>
      <c r="E447" s="1"/>
    </row>
    <row r="448" spans="1:5" ht="13.2" x14ac:dyDescent="0.25">
      <c r="A448" s="1"/>
      <c r="B448" s="1"/>
      <c r="C448" s="1"/>
      <c r="D448" s="1"/>
      <c r="E448" s="1"/>
    </row>
    <row r="449" spans="1:5" ht="13.2" x14ac:dyDescent="0.25">
      <c r="A449" s="1"/>
      <c r="B449" s="1"/>
      <c r="C449" s="1"/>
      <c r="D449" s="1"/>
      <c r="E449" s="1"/>
    </row>
    <row r="450" spans="1:5" ht="13.2" x14ac:dyDescent="0.25">
      <c r="A450" s="1"/>
      <c r="B450" s="1"/>
      <c r="C450" s="1"/>
      <c r="D450" s="1"/>
      <c r="E450" s="1"/>
    </row>
    <row r="451" spans="1:5" ht="13.2" x14ac:dyDescent="0.25">
      <c r="A451" s="1"/>
      <c r="B451" s="1"/>
      <c r="C451" s="1"/>
      <c r="D451" s="1"/>
      <c r="E451" s="1"/>
    </row>
    <row r="452" spans="1:5" ht="13.2" x14ac:dyDescent="0.25">
      <c r="A452" s="1"/>
      <c r="B452" s="1"/>
      <c r="C452" s="1"/>
      <c r="D452" s="1"/>
      <c r="E452" s="1"/>
    </row>
    <row r="453" spans="1:5" ht="13.2" x14ac:dyDescent="0.25">
      <c r="A453" s="1"/>
      <c r="B453" s="1"/>
      <c r="C453" s="1"/>
      <c r="D453" s="1"/>
      <c r="E453" s="1"/>
    </row>
    <row r="454" spans="1:5" ht="13.2" x14ac:dyDescent="0.25">
      <c r="A454" s="1"/>
      <c r="B454" s="1"/>
      <c r="C454" s="1"/>
      <c r="D454" s="1"/>
      <c r="E454" s="1"/>
    </row>
    <row r="455" spans="1:5" ht="13.2" x14ac:dyDescent="0.25">
      <c r="A455" s="1"/>
      <c r="B455" s="1"/>
      <c r="C455" s="1"/>
      <c r="D455" s="1"/>
      <c r="E455" s="1"/>
    </row>
    <row r="456" spans="1:5" ht="13.2" x14ac:dyDescent="0.25">
      <c r="A456" s="1"/>
      <c r="B456" s="1"/>
      <c r="C456" s="1"/>
      <c r="D456" s="1"/>
      <c r="E456" s="1"/>
    </row>
    <row r="457" spans="1:5" ht="13.2" x14ac:dyDescent="0.25">
      <c r="A457" s="1"/>
      <c r="B457" s="1"/>
      <c r="C457" s="1"/>
      <c r="D457" s="1"/>
      <c r="E457" s="1"/>
    </row>
    <row r="458" spans="1:5" ht="13.2" x14ac:dyDescent="0.25">
      <c r="A458" s="1"/>
      <c r="B458" s="1"/>
      <c r="C458" s="1"/>
      <c r="D458" s="1"/>
      <c r="E458" s="1"/>
    </row>
    <row r="459" spans="1:5" ht="13.2" x14ac:dyDescent="0.25">
      <c r="A459" s="1"/>
      <c r="B459" s="1"/>
      <c r="C459" s="1"/>
      <c r="D459" s="1"/>
      <c r="E459" s="1"/>
    </row>
    <row r="460" spans="1:5" ht="13.2" x14ac:dyDescent="0.25">
      <c r="A460" s="1"/>
      <c r="B460" s="1"/>
      <c r="C460" s="1"/>
      <c r="D460" s="1"/>
      <c r="E460" s="1"/>
    </row>
    <row r="461" spans="1:5" ht="13.2" x14ac:dyDescent="0.25">
      <c r="A461" s="1"/>
      <c r="B461" s="1"/>
      <c r="C461" s="1"/>
      <c r="D461" s="1"/>
      <c r="E461" s="1"/>
    </row>
    <row r="462" spans="1:5" ht="13.2" x14ac:dyDescent="0.25">
      <c r="A462" s="1"/>
      <c r="B462" s="1"/>
      <c r="C462" s="1"/>
      <c r="D462" s="1"/>
      <c r="E462" s="1"/>
    </row>
    <row r="463" spans="1:5" ht="13.2" x14ac:dyDescent="0.25">
      <c r="A463" s="1"/>
      <c r="B463" s="1"/>
      <c r="C463" s="1"/>
      <c r="D463" s="1"/>
      <c r="E463" s="1"/>
    </row>
    <row r="464" spans="1:5" ht="13.2" x14ac:dyDescent="0.25">
      <c r="A464" s="1"/>
      <c r="B464" s="1"/>
      <c r="C464" s="1"/>
      <c r="D464" s="1"/>
      <c r="E464" s="1"/>
    </row>
    <row r="465" spans="1:5" ht="13.2" x14ac:dyDescent="0.25">
      <c r="A465" s="1"/>
      <c r="B465" s="1"/>
      <c r="C465" s="1"/>
      <c r="D465" s="1"/>
      <c r="E465" s="1"/>
    </row>
    <row r="466" spans="1:5" ht="13.2" x14ac:dyDescent="0.25">
      <c r="A466" s="1"/>
      <c r="B466" s="1"/>
      <c r="C466" s="1"/>
      <c r="D466" s="1"/>
      <c r="E466" s="1"/>
    </row>
    <row r="467" spans="1:5" ht="13.2" x14ac:dyDescent="0.25">
      <c r="A467" s="1"/>
      <c r="B467" s="1"/>
      <c r="C467" s="1"/>
      <c r="D467" s="1"/>
      <c r="E467" s="1"/>
    </row>
    <row r="468" spans="1:5" ht="13.2" x14ac:dyDescent="0.25">
      <c r="A468" s="1"/>
      <c r="B468" s="1"/>
      <c r="C468" s="1"/>
      <c r="D468" s="1"/>
      <c r="E468" s="1"/>
    </row>
    <row r="469" spans="1:5" ht="13.2" x14ac:dyDescent="0.25">
      <c r="A469" s="1"/>
      <c r="B469" s="1"/>
      <c r="C469" s="1"/>
      <c r="D469" s="1"/>
      <c r="E469" s="1"/>
    </row>
    <row r="470" spans="1:5" ht="13.2" x14ac:dyDescent="0.25">
      <c r="A470" s="1"/>
      <c r="B470" s="1"/>
      <c r="C470" s="1"/>
      <c r="D470" s="1"/>
      <c r="E470" s="1"/>
    </row>
    <row r="471" spans="1:5" ht="13.2" x14ac:dyDescent="0.25">
      <c r="A471" s="1"/>
      <c r="B471" s="1"/>
      <c r="C471" s="1"/>
      <c r="D471" s="1"/>
      <c r="E471" s="1"/>
    </row>
    <row r="472" spans="1:5" ht="13.2" x14ac:dyDescent="0.25">
      <c r="A472" s="1"/>
      <c r="B472" s="1"/>
      <c r="C472" s="1"/>
      <c r="D472" s="1"/>
      <c r="E472" s="1"/>
    </row>
    <row r="473" spans="1:5" ht="13.2" x14ac:dyDescent="0.25">
      <c r="A473" s="1"/>
      <c r="B473" s="1"/>
      <c r="C473" s="1"/>
      <c r="D473" s="1"/>
      <c r="E473" s="1"/>
    </row>
    <row r="474" spans="1:5" ht="13.2" x14ac:dyDescent="0.25">
      <c r="A474" s="1"/>
      <c r="B474" s="1"/>
      <c r="C474" s="1"/>
      <c r="D474" s="1"/>
      <c r="E474" s="1"/>
    </row>
    <row r="475" spans="1:5" ht="13.2" x14ac:dyDescent="0.25">
      <c r="A475" s="1"/>
      <c r="B475" s="1"/>
      <c r="C475" s="1"/>
      <c r="D475" s="1"/>
      <c r="E475" s="1"/>
    </row>
    <row r="476" spans="1:5" ht="13.2" x14ac:dyDescent="0.25">
      <c r="A476" s="1"/>
      <c r="B476" s="1"/>
      <c r="C476" s="1"/>
      <c r="D476" s="1"/>
      <c r="E476" s="1"/>
    </row>
    <row r="477" spans="1:5" ht="13.2" x14ac:dyDescent="0.25">
      <c r="A477" s="1"/>
      <c r="B477" s="1"/>
      <c r="C477" s="1"/>
      <c r="D477" s="1"/>
      <c r="E477" s="1"/>
    </row>
    <row r="478" spans="1:5" ht="13.2" x14ac:dyDescent="0.25">
      <c r="A478" s="1"/>
      <c r="B478" s="1"/>
      <c r="C478" s="1"/>
      <c r="D478" s="1"/>
      <c r="E478" s="1"/>
    </row>
    <row r="479" spans="1:5" ht="13.2" x14ac:dyDescent="0.25">
      <c r="A479" s="1"/>
      <c r="B479" s="1"/>
      <c r="C479" s="1"/>
      <c r="D479" s="1"/>
      <c r="E479" s="1"/>
    </row>
    <row r="480" spans="1:5" ht="13.2" x14ac:dyDescent="0.25">
      <c r="A480" s="1"/>
      <c r="B480" s="1"/>
      <c r="C480" s="1"/>
      <c r="D480" s="1"/>
      <c r="E480" s="1"/>
    </row>
    <row r="481" spans="1:5" ht="13.2" x14ac:dyDescent="0.25">
      <c r="A481" s="1"/>
      <c r="B481" s="1"/>
      <c r="C481" s="1"/>
      <c r="D481" s="1"/>
      <c r="E481" s="1"/>
    </row>
    <row r="482" spans="1:5" ht="13.2" x14ac:dyDescent="0.25">
      <c r="A482" s="1"/>
      <c r="B482" s="1"/>
      <c r="C482" s="1"/>
      <c r="D482" s="1"/>
      <c r="E482" s="1"/>
    </row>
    <row r="483" spans="1:5" ht="13.2" x14ac:dyDescent="0.25">
      <c r="A483" s="1"/>
      <c r="B483" s="1"/>
      <c r="C483" s="1"/>
      <c r="D483" s="1"/>
      <c r="E483" s="1"/>
    </row>
    <row r="484" spans="1:5" ht="13.2" x14ac:dyDescent="0.25">
      <c r="A484" s="1"/>
      <c r="B484" s="1"/>
      <c r="C484" s="1"/>
      <c r="D484" s="1"/>
      <c r="E484" s="1"/>
    </row>
    <row r="485" spans="1:5" ht="13.2" x14ac:dyDescent="0.25">
      <c r="A485" s="1"/>
      <c r="B485" s="1"/>
      <c r="C485" s="1"/>
      <c r="D485" s="1"/>
      <c r="E485" s="1"/>
    </row>
    <row r="486" spans="1:5" ht="13.2" x14ac:dyDescent="0.25">
      <c r="A486" s="1"/>
      <c r="B486" s="1"/>
      <c r="C486" s="1"/>
      <c r="D486" s="1"/>
      <c r="E486" s="1"/>
    </row>
    <row r="487" spans="1:5" ht="13.2" x14ac:dyDescent="0.25">
      <c r="A487" s="1"/>
      <c r="B487" s="1"/>
      <c r="C487" s="1"/>
      <c r="D487" s="1"/>
      <c r="E487" s="1"/>
    </row>
    <row r="488" spans="1:5" ht="13.2" x14ac:dyDescent="0.25">
      <c r="A488" s="1"/>
      <c r="B488" s="1"/>
      <c r="C488" s="1"/>
      <c r="D488" s="1"/>
      <c r="E488" s="1"/>
    </row>
    <row r="489" spans="1:5" ht="13.2" x14ac:dyDescent="0.25">
      <c r="A489" s="1"/>
      <c r="B489" s="1"/>
      <c r="C489" s="1"/>
      <c r="D489" s="1"/>
      <c r="E489" s="1"/>
    </row>
    <row r="490" spans="1:5" ht="13.2" x14ac:dyDescent="0.25">
      <c r="A490" s="1"/>
      <c r="B490" s="1"/>
      <c r="C490" s="1"/>
      <c r="D490" s="1"/>
      <c r="E490" s="1"/>
    </row>
    <row r="491" spans="1:5" ht="13.2" x14ac:dyDescent="0.25">
      <c r="A491" s="1"/>
      <c r="B491" s="1"/>
      <c r="C491" s="1"/>
      <c r="D491" s="1"/>
      <c r="E491" s="1"/>
    </row>
    <row r="492" spans="1:5" ht="13.2" x14ac:dyDescent="0.25">
      <c r="A492" s="1"/>
      <c r="B492" s="1"/>
      <c r="C492" s="1"/>
      <c r="D492" s="1"/>
      <c r="E492" s="1"/>
    </row>
    <row r="493" spans="1:5" ht="13.2" x14ac:dyDescent="0.25">
      <c r="A493" s="1"/>
      <c r="B493" s="1"/>
      <c r="C493" s="1"/>
      <c r="D493" s="1"/>
      <c r="E493" s="1"/>
    </row>
    <row r="494" spans="1:5" ht="13.2" x14ac:dyDescent="0.25">
      <c r="A494" s="1"/>
      <c r="B494" s="1"/>
      <c r="C494" s="1"/>
      <c r="D494" s="1"/>
      <c r="E494" s="1"/>
    </row>
    <row r="495" spans="1:5" ht="13.2" x14ac:dyDescent="0.25">
      <c r="A495" s="1"/>
      <c r="B495" s="1"/>
      <c r="C495" s="1"/>
      <c r="D495" s="1"/>
      <c r="E495" s="1"/>
    </row>
    <row r="496" spans="1:5" ht="13.2" x14ac:dyDescent="0.25">
      <c r="A496" s="1"/>
      <c r="B496" s="1"/>
      <c r="C496" s="1"/>
      <c r="D496" s="1"/>
      <c r="E496" s="1"/>
    </row>
    <row r="497" spans="1:5" ht="13.2" x14ac:dyDescent="0.25">
      <c r="A497" s="1"/>
      <c r="B497" s="1"/>
      <c r="C497" s="1"/>
      <c r="D497" s="1"/>
      <c r="E497" s="1"/>
    </row>
    <row r="498" spans="1:5" ht="13.2" x14ac:dyDescent="0.25">
      <c r="A498" s="1"/>
      <c r="B498" s="1"/>
      <c r="C498" s="1"/>
      <c r="D498" s="1"/>
      <c r="E498" s="1"/>
    </row>
    <row r="499" spans="1:5" ht="13.2" x14ac:dyDescent="0.25">
      <c r="A499" s="1"/>
      <c r="B499" s="1"/>
      <c r="C499" s="1"/>
      <c r="D499" s="1"/>
      <c r="E499" s="1"/>
    </row>
    <row r="500" spans="1:5" ht="13.2" x14ac:dyDescent="0.25">
      <c r="A500" s="1"/>
      <c r="B500" s="1"/>
      <c r="C500" s="1"/>
      <c r="D500" s="1"/>
      <c r="E500" s="1"/>
    </row>
    <row r="501" spans="1:5" ht="13.2" x14ac:dyDescent="0.25">
      <c r="A501" s="1"/>
      <c r="B501" s="1"/>
      <c r="C501" s="1"/>
      <c r="D501" s="1"/>
      <c r="E501" s="1"/>
    </row>
    <row r="502" spans="1:5" ht="13.2" x14ac:dyDescent="0.25">
      <c r="A502" s="1"/>
      <c r="B502" s="1"/>
      <c r="C502" s="1"/>
      <c r="D502" s="1"/>
      <c r="E502" s="1"/>
    </row>
    <row r="503" spans="1:5" ht="13.2" x14ac:dyDescent="0.25">
      <c r="A503" s="1"/>
      <c r="B503" s="1"/>
      <c r="C503" s="1"/>
      <c r="D503" s="1"/>
      <c r="E503" s="1"/>
    </row>
    <row r="504" spans="1:5" ht="13.2" x14ac:dyDescent="0.25">
      <c r="A504" s="1"/>
      <c r="B504" s="1"/>
      <c r="C504" s="1"/>
      <c r="D504" s="1"/>
      <c r="E504" s="1"/>
    </row>
    <row r="505" spans="1:5" ht="13.2" x14ac:dyDescent="0.25">
      <c r="A505" s="1"/>
      <c r="B505" s="1"/>
      <c r="C505" s="1"/>
      <c r="D505" s="1"/>
      <c r="E505" s="1"/>
    </row>
    <row r="506" spans="1:5" ht="13.2" x14ac:dyDescent="0.25">
      <c r="A506" s="1"/>
      <c r="B506" s="1"/>
      <c r="C506" s="1"/>
      <c r="D506" s="1"/>
      <c r="E506" s="1"/>
    </row>
    <row r="507" spans="1:5" ht="13.2" x14ac:dyDescent="0.25">
      <c r="A507" s="1"/>
      <c r="B507" s="1"/>
      <c r="C507" s="1"/>
      <c r="D507" s="1"/>
      <c r="E507" s="1"/>
    </row>
    <row r="508" spans="1:5" ht="13.2" x14ac:dyDescent="0.25">
      <c r="A508" s="1"/>
      <c r="B508" s="1"/>
      <c r="C508" s="1"/>
      <c r="D508" s="1"/>
      <c r="E508" s="1"/>
    </row>
    <row r="509" spans="1:5" ht="13.2" x14ac:dyDescent="0.25">
      <c r="A509" s="1"/>
      <c r="B509" s="1"/>
      <c r="C509" s="1"/>
      <c r="D509" s="1"/>
      <c r="E509" s="1"/>
    </row>
    <row r="510" spans="1:5" ht="13.2" x14ac:dyDescent="0.25">
      <c r="A510" s="1"/>
      <c r="B510" s="1"/>
      <c r="C510" s="1"/>
      <c r="D510" s="1"/>
      <c r="E510" s="1"/>
    </row>
    <row r="511" spans="1:5" ht="13.2" x14ac:dyDescent="0.25">
      <c r="A511" s="1"/>
      <c r="B511" s="1"/>
      <c r="C511" s="1"/>
      <c r="D511" s="1"/>
      <c r="E511" s="1"/>
    </row>
    <row r="512" spans="1:5" ht="13.2" x14ac:dyDescent="0.25">
      <c r="A512" s="1"/>
      <c r="B512" s="1"/>
      <c r="C512" s="1"/>
      <c r="D512" s="1"/>
      <c r="E512" s="1"/>
    </row>
    <row r="513" spans="1:5" ht="13.2" x14ac:dyDescent="0.25">
      <c r="A513" s="1"/>
      <c r="B513" s="1"/>
      <c r="C513" s="1"/>
      <c r="D513" s="1"/>
      <c r="E513" s="1"/>
    </row>
    <row r="514" spans="1:5" ht="13.2" x14ac:dyDescent="0.25">
      <c r="A514" s="1"/>
      <c r="B514" s="1"/>
      <c r="C514" s="1"/>
      <c r="D514" s="1"/>
      <c r="E514" s="1"/>
    </row>
    <row r="515" spans="1:5" ht="13.2" x14ac:dyDescent="0.25">
      <c r="A515" s="1"/>
      <c r="B515" s="1"/>
      <c r="C515" s="1"/>
      <c r="D515" s="1"/>
      <c r="E515" s="1"/>
    </row>
    <row r="516" spans="1:5" ht="13.2" x14ac:dyDescent="0.25">
      <c r="A516" s="1"/>
      <c r="B516" s="1"/>
      <c r="C516" s="1"/>
      <c r="D516" s="1"/>
      <c r="E516" s="1"/>
    </row>
    <row r="517" spans="1:5" ht="13.2" x14ac:dyDescent="0.25">
      <c r="A517" s="1"/>
      <c r="B517" s="1"/>
      <c r="C517" s="1"/>
      <c r="D517" s="1"/>
      <c r="E517" s="1"/>
    </row>
    <row r="518" spans="1:5" ht="13.2" x14ac:dyDescent="0.25">
      <c r="A518" s="1"/>
      <c r="B518" s="1"/>
      <c r="C518" s="1"/>
      <c r="D518" s="1"/>
      <c r="E518" s="1"/>
    </row>
    <row r="519" spans="1:5" ht="13.2" x14ac:dyDescent="0.25">
      <c r="A519" s="1"/>
      <c r="B519" s="1"/>
      <c r="C519" s="1"/>
      <c r="D519" s="1"/>
      <c r="E519" s="1"/>
    </row>
    <row r="520" spans="1:5" ht="13.2" x14ac:dyDescent="0.25">
      <c r="A520" s="1"/>
      <c r="B520" s="1"/>
      <c r="C520" s="1"/>
      <c r="D520" s="1"/>
      <c r="E520" s="1"/>
    </row>
    <row r="521" spans="1:5" ht="13.2" x14ac:dyDescent="0.25">
      <c r="A521" s="1"/>
      <c r="B521" s="1"/>
      <c r="C521" s="1"/>
      <c r="D521" s="1"/>
      <c r="E521" s="1"/>
    </row>
    <row r="522" spans="1:5" ht="13.2" x14ac:dyDescent="0.25">
      <c r="A522" s="1"/>
      <c r="B522" s="1"/>
      <c r="C522" s="1"/>
      <c r="D522" s="1"/>
      <c r="E522" s="1"/>
    </row>
    <row r="523" spans="1:5" ht="13.2" x14ac:dyDescent="0.25">
      <c r="A523" s="1"/>
      <c r="B523" s="1"/>
      <c r="C523" s="1"/>
      <c r="D523" s="1"/>
      <c r="E523" s="1"/>
    </row>
    <row r="524" spans="1:5" ht="13.2" x14ac:dyDescent="0.25">
      <c r="A524" s="1"/>
      <c r="B524" s="1"/>
      <c r="C524" s="1"/>
      <c r="D524" s="1"/>
      <c r="E524" s="1"/>
    </row>
    <row r="525" spans="1:5" ht="13.2" x14ac:dyDescent="0.25">
      <c r="A525" s="1"/>
      <c r="B525" s="1"/>
      <c r="C525" s="1"/>
      <c r="D525" s="1"/>
      <c r="E525" s="1"/>
    </row>
    <row r="526" spans="1:5" ht="13.2" x14ac:dyDescent="0.25">
      <c r="A526" s="1"/>
      <c r="B526" s="1"/>
      <c r="C526" s="1"/>
      <c r="D526" s="1"/>
      <c r="E526" s="1"/>
    </row>
    <row r="527" spans="1:5" ht="13.2" x14ac:dyDescent="0.25">
      <c r="A527" s="1"/>
      <c r="B527" s="1"/>
      <c r="C527" s="1"/>
      <c r="D527" s="1"/>
      <c r="E527" s="1"/>
    </row>
    <row r="528" spans="1:5" ht="13.2" x14ac:dyDescent="0.25">
      <c r="A528" s="1"/>
      <c r="B528" s="1"/>
      <c r="C528" s="1"/>
      <c r="D528" s="1"/>
      <c r="E528" s="1"/>
    </row>
    <row r="529" spans="1:5" ht="13.2" x14ac:dyDescent="0.25">
      <c r="A529" s="1"/>
      <c r="B529" s="1"/>
      <c r="C529" s="1"/>
      <c r="D529" s="1"/>
      <c r="E529" s="1"/>
    </row>
    <row r="530" spans="1:5" ht="13.2" x14ac:dyDescent="0.25">
      <c r="A530" s="1"/>
      <c r="B530" s="1"/>
      <c r="C530" s="1"/>
      <c r="D530" s="1"/>
      <c r="E530" s="1"/>
    </row>
    <row r="531" spans="1:5" ht="13.2" x14ac:dyDescent="0.25">
      <c r="A531" s="1"/>
      <c r="B531" s="1"/>
      <c r="C531" s="1"/>
      <c r="D531" s="1"/>
      <c r="E531" s="1"/>
    </row>
    <row r="532" spans="1:5" ht="13.2" x14ac:dyDescent="0.25">
      <c r="A532" s="1"/>
      <c r="B532" s="1"/>
      <c r="C532" s="1"/>
      <c r="D532" s="1"/>
      <c r="E532" s="1"/>
    </row>
    <row r="533" spans="1:5" ht="13.2" x14ac:dyDescent="0.25">
      <c r="A533" s="1"/>
      <c r="B533" s="1"/>
      <c r="C533" s="1"/>
      <c r="D533" s="1"/>
      <c r="E533" s="1"/>
    </row>
    <row r="534" spans="1:5" ht="13.2" x14ac:dyDescent="0.25">
      <c r="A534" s="1"/>
      <c r="B534" s="1"/>
      <c r="C534" s="1"/>
      <c r="D534" s="1"/>
      <c r="E534" s="1"/>
    </row>
    <row r="535" spans="1:5" ht="13.2" x14ac:dyDescent="0.25">
      <c r="A535" s="1"/>
      <c r="B535" s="1"/>
      <c r="C535" s="1"/>
      <c r="D535" s="1"/>
      <c r="E535" s="1"/>
    </row>
    <row r="536" spans="1:5" ht="13.2" x14ac:dyDescent="0.25">
      <c r="A536" s="1"/>
      <c r="B536" s="1"/>
      <c r="C536" s="1"/>
      <c r="D536" s="1"/>
      <c r="E536" s="1"/>
    </row>
    <row r="537" spans="1:5" ht="13.2" x14ac:dyDescent="0.25">
      <c r="A537" s="1"/>
      <c r="B537" s="1"/>
      <c r="C537" s="1"/>
      <c r="D537" s="1"/>
      <c r="E537" s="1"/>
    </row>
    <row r="538" spans="1:5" ht="13.2" x14ac:dyDescent="0.25">
      <c r="A538" s="1"/>
      <c r="B538" s="1"/>
      <c r="C538" s="1"/>
      <c r="D538" s="1"/>
      <c r="E538" s="1"/>
    </row>
    <row r="539" spans="1:5" ht="13.2" x14ac:dyDescent="0.25">
      <c r="A539" s="1"/>
      <c r="B539" s="1"/>
      <c r="C539" s="1"/>
      <c r="D539" s="1"/>
      <c r="E539" s="1"/>
    </row>
    <row r="540" spans="1:5" ht="13.2" x14ac:dyDescent="0.25">
      <c r="A540" s="1"/>
      <c r="B540" s="1"/>
      <c r="C540" s="1"/>
      <c r="D540" s="1"/>
      <c r="E540" s="1"/>
    </row>
    <row r="541" spans="1:5" ht="13.2" x14ac:dyDescent="0.25">
      <c r="A541" s="1"/>
      <c r="B541" s="1"/>
      <c r="C541" s="1"/>
      <c r="D541" s="1"/>
      <c r="E541" s="1"/>
    </row>
    <row r="542" spans="1:5" ht="13.2" x14ac:dyDescent="0.25">
      <c r="A542" s="1"/>
      <c r="B542" s="1"/>
      <c r="C542" s="1"/>
      <c r="D542" s="1"/>
      <c r="E542" s="1"/>
    </row>
    <row r="543" spans="1:5" ht="13.2" x14ac:dyDescent="0.25">
      <c r="A543" s="1"/>
      <c r="B543" s="1"/>
      <c r="C543" s="1"/>
      <c r="D543" s="1"/>
      <c r="E543" s="1"/>
    </row>
    <row r="544" spans="1:5" ht="13.2" x14ac:dyDescent="0.25">
      <c r="A544" s="1"/>
      <c r="B544" s="1"/>
      <c r="C544" s="1"/>
      <c r="D544" s="1"/>
      <c r="E544" s="1"/>
    </row>
    <row r="545" spans="1:5" ht="13.2" x14ac:dyDescent="0.25">
      <c r="A545" s="1"/>
      <c r="B545" s="1"/>
      <c r="C545" s="1"/>
      <c r="D545" s="1"/>
      <c r="E545" s="1"/>
    </row>
    <row r="546" spans="1:5" ht="13.2" x14ac:dyDescent="0.25">
      <c r="A546" s="1"/>
      <c r="B546" s="1"/>
      <c r="C546" s="1"/>
      <c r="D546" s="1"/>
      <c r="E546" s="1"/>
    </row>
    <row r="547" spans="1:5" ht="13.2" x14ac:dyDescent="0.25">
      <c r="A547" s="1"/>
      <c r="B547" s="1"/>
      <c r="C547" s="1"/>
      <c r="D547" s="1"/>
      <c r="E547" s="1"/>
    </row>
    <row r="548" spans="1:5" ht="13.2" x14ac:dyDescent="0.25">
      <c r="A548" s="1"/>
      <c r="B548" s="1"/>
      <c r="C548" s="1"/>
      <c r="D548" s="1"/>
      <c r="E548" s="1"/>
    </row>
    <row r="549" spans="1:5" ht="13.2" x14ac:dyDescent="0.25">
      <c r="A549" s="1"/>
      <c r="B549" s="1"/>
      <c r="C549" s="1"/>
      <c r="D549" s="1"/>
      <c r="E549" s="1"/>
    </row>
    <row r="550" spans="1:5" ht="13.2" x14ac:dyDescent="0.25">
      <c r="A550" s="1"/>
      <c r="B550" s="1"/>
      <c r="C550" s="1"/>
      <c r="D550" s="1"/>
      <c r="E550" s="1"/>
    </row>
    <row r="551" spans="1:5" ht="13.2" x14ac:dyDescent="0.25">
      <c r="A551" s="1"/>
      <c r="B551" s="1"/>
      <c r="C551" s="1"/>
      <c r="D551" s="1"/>
      <c r="E551" s="1"/>
    </row>
    <row r="552" spans="1:5" ht="13.2" x14ac:dyDescent="0.25">
      <c r="A552" s="1"/>
      <c r="B552" s="1"/>
      <c r="C552" s="1"/>
      <c r="D552" s="1"/>
      <c r="E552" s="1"/>
    </row>
    <row r="553" spans="1:5" ht="13.2" x14ac:dyDescent="0.25">
      <c r="A553" s="1"/>
      <c r="B553" s="1"/>
      <c r="C553" s="1"/>
      <c r="D553" s="1"/>
      <c r="E553" s="1"/>
    </row>
    <row r="554" spans="1:5" ht="13.2" x14ac:dyDescent="0.25">
      <c r="A554" s="1"/>
      <c r="B554" s="1"/>
      <c r="C554" s="1"/>
      <c r="D554" s="1"/>
      <c r="E554" s="1"/>
    </row>
    <row r="555" spans="1:5" ht="13.2" x14ac:dyDescent="0.25">
      <c r="A555" s="1"/>
      <c r="B555" s="1"/>
      <c r="C555" s="1"/>
      <c r="D555" s="1"/>
      <c r="E555" s="1"/>
    </row>
    <row r="556" spans="1:5" ht="13.2" x14ac:dyDescent="0.25">
      <c r="A556" s="1"/>
      <c r="B556" s="1"/>
      <c r="C556" s="1"/>
      <c r="D556" s="1"/>
      <c r="E556" s="1"/>
    </row>
    <row r="557" spans="1:5" ht="13.2" x14ac:dyDescent="0.25">
      <c r="A557" s="1"/>
      <c r="B557" s="1"/>
      <c r="C557" s="1"/>
      <c r="D557" s="1"/>
      <c r="E557" s="1"/>
    </row>
    <row r="558" spans="1:5" ht="13.2" x14ac:dyDescent="0.25">
      <c r="A558" s="1"/>
      <c r="B558" s="1"/>
      <c r="C558" s="1"/>
      <c r="D558" s="1"/>
      <c r="E558" s="1"/>
    </row>
    <row r="559" spans="1:5" ht="13.2" x14ac:dyDescent="0.25">
      <c r="A559" s="1"/>
      <c r="B559" s="1"/>
      <c r="C559" s="1"/>
      <c r="D559" s="1"/>
      <c r="E559" s="1"/>
    </row>
    <row r="560" spans="1:5" ht="13.2" x14ac:dyDescent="0.25">
      <c r="A560" s="1"/>
      <c r="B560" s="1"/>
      <c r="C560" s="1"/>
      <c r="D560" s="1"/>
      <c r="E560" s="1"/>
    </row>
    <row r="561" spans="1:5" ht="13.2" x14ac:dyDescent="0.25">
      <c r="A561" s="1"/>
      <c r="B561" s="1"/>
      <c r="C561" s="1"/>
      <c r="D561" s="1"/>
      <c r="E561" s="1"/>
    </row>
    <row r="562" spans="1:5" ht="13.2" x14ac:dyDescent="0.25">
      <c r="A562" s="1"/>
      <c r="B562" s="1"/>
      <c r="C562" s="1"/>
      <c r="D562" s="1"/>
      <c r="E562" s="1"/>
    </row>
    <row r="563" spans="1:5" ht="13.2" x14ac:dyDescent="0.25">
      <c r="A563" s="1"/>
      <c r="B563" s="1"/>
      <c r="C563" s="1"/>
      <c r="D563" s="1"/>
      <c r="E563" s="1"/>
    </row>
    <row r="564" spans="1:5" ht="13.2" x14ac:dyDescent="0.25">
      <c r="A564" s="1"/>
      <c r="B564" s="1"/>
      <c r="C564" s="1"/>
      <c r="D564" s="1"/>
      <c r="E564" s="1"/>
    </row>
    <row r="565" spans="1:5" ht="13.2" x14ac:dyDescent="0.25">
      <c r="A565" s="1"/>
      <c r="B565" s="1"/>
      <c r="C565" s="1"/>
      <c r="D565" s="1"/>
      <c r="E565" s="1"/>
    </row>
    <row r="566" spans="1:5" ht="13.2" x14ac:dyDescent="0.25">
      <c r="A566" s="1"/>
      <c r="B566" s="1"/>
      <c r="C566" s="1"/>
      <c r="D566" s="1"/>
      <c r="E566" s="1"/>
    </row>
    <row r="567" spans="1:5" ht="13.2" x14ac:dyDescent="0.25">
      <c r="A567" s="1"/>
      <c r="B567" s="1"/>
      <c r="C567" s="1"/>
      <c r="D567" s="1"/>
      <c r="E567" s="1"/>
    </row>
    <row r="568" spans="1:5" ht="13.2" x14ac:dyDescent="0.25">
      <c r="A568" s="1"/>
      <c r="B568" s="1"/>
      <c r="C568" s="1"/>
      <c r="D568" s="1"/>
      <c r="E568" s="1"/>
    </row>
    <row r="569" spans="1:5" ht="13.2" x14ac:dyDescent="0.25">
      <c r="A569" s="1"/>
      <c r="B569" s="1"/>
      <c r="C569" s="1"/>
      <c r="D569" s="1"/>
      <c r="E569" s="1"/>
    </row>
    <row r="570" spans="1:5" ht="13.2" x14ac:dyDescent="0.25">
      <c r="A570" s="1"/>
      <c r="B570" s="1"/>
      <c r="C570" s="1"/>
      <c r="D570" s="1"/>
      <c r="E570" s="1"/>
    </row>
    <row r="571" spans="1:5" ht="13.2" x14ac:dyDescent="0.25">
      <c r="A571" s="1"/>
      <c r="B571" s="1"/>
      <c r="C571" s="1"/>
      <c r="D571" s="1"/>
      <c r="E571" s="1"/>
    </row>
    <row r="572" spans="1:5" ht="13.2" x14ac:dyDescent="0.25">
      <c r="A572" s="1"/>
      <c r="B572" s="1"/>
      <c r="C572" s="1"/>
      <c r="D572" s="1"/>
      <c r="E572" s="1"/>
    </row>
    <row r="573" spans="1:5" ht="13.2" x14ac:dyDescent="0.25">
      <c r="A573" s="1"/>
      <c r="B573" s="1"/>
      <c r="C573" s="1"/>
      <c r="D573" s="1"/>
      <c r="E573" s="1"/>
    </row>
    <row r="574" spans="1:5" ht="13.2" x14ac:dyDescent="0.25">
      <c r="A574" s="1"/>
      <c r="B574" s="1"/>
      <c r="C574" s="1"/>
      <c r="D574" s="1"/>
      <c r="E574" s="1"/>
    </row>
    <row r="575" spans="1:5" ht="13.2" x14ac:dyDescent="0.25">
      <c r="A575" s="1"/>
      <c r="B575" s="1"/>
      <c r="C575" s="1"/>
      <c r="D575" s="1"/>
      <c r="E575" s="1"/>
    </row>
    <row r="576" spans="1:5" ht="13.2" x14ac:dyDescent="0.25">
      <c r="A576" s="1"/>
      <c r="B576" s="1"/>
      <c r="C576" s="1"/>
      <c r="D576" s="1"/>
      <c r="E576" s="1"/>
    </row>
    <row r="577" spans="1:5" ht="13.2" x14ac:dyDescent="0.25">
      <c r="A577" s="1"/>
      <c r="B577" s="1"/>
      <c r="C577" s="1"/>
      <c r="D577" s="1"/>
      <c r="E577" s="1"/>
    </row>
    <row r="578" spans="1:5" ht="13.2" x14ac:dyDescent="0.25">
      <c r="A578" s="1"/>
      <c r="B578" s="1"/>
      <c r="C578" s="1"/>
      <c r="D578" s="1"/>
      <c r="E578" s="1"/>
    </row>
    <row r="579" spans="1:5" ht="13.2" x14ac:dyDescent="0.25">
      <c r="A579" s="1"/>
      <c r="B579" s="1"/>
      <c r="C579" s="1"/>
      <c r="D579" s="1"/>
      <c r="E579" s="1"/>
    </row>
    <row r="580" spans="1:5" ht="13.2" x14ac:dyDescent="0.25">
      <c r="A580" s="1"/>
      <c r="B580" s="1"/>
      <c r="C580" s="1"/>
      <c r="D580" s="1"/>
      <c r="E580" s="1"/>
    </row>
    <row r="581" spans="1:5" ht="13.2" x14ac:dyDescent="0.25">
      <c r="A581" s="1"/>
      <c r="B581" s="1"/>
      <c r="C581" s="1"/>
      <c r="D581" s="1"/>
      <c r="E581" s="1"/>
    </row>
    <row r="582" spans="1:5" ht="13.2" x14ac:dyDescent="0.25">
      <c r="A582" s="1"/>
      <c r="B582" s="1"/>
      <c r="C582" s="1"/>
      <c r="D582" s="1"/>
      <c r="E582" s="1"/>
    </row>
    <row r="583" spans="1:5" ht="13.2" x14ac:dyDescent="0.25">
      <c r="A583" s="1"/>
      <c r="B583" s="1"/>
      <c r="C583" s="1"/>
      <c r="D583" s="1"/>
      <c r="E583" s="1"/>
    </row>
    <row r="584" spans="1:5" ht="13.2" x14ac:dyDescent="0.25">
      <c r="A584" s="1"/>
      <c r="B584" s="1"/>
      <c r="C584" s="1"/>
      <c r="D584" s="1"/>
      <c r="E584" s="1"/>
    </row>
    <row r="585" spans="1:5" ht="13.2" x14ac:dyDescent="0.25">
      <c r="A585" s="1"/>
      <c r="B585" s="1"/>
      <c r="C585" s="1"/>
      <c r="D585" s="1"/>
      <c r="E585" s="1"/>
    </row>
    <row r="586" spans="1:5" ht="13.2" x14ac:dyDescent="0.25">
      <c r="A586" s="1"/>
      <c r="B586" s="1"/>
      <c r="C586" s="1"/>
      <c r="D586" s="1"/>
      <c r="E586" s="1"/>
    </row>
    <row r="587" spans="1:5" ht="13.2" x14ac:dyDescent="0.25">
      <c r="A587" s="1"/>
      <c r="B587" s="1"/>
      <c r="C587" s="1"/>
      <c r="D587" s="1"/>
      <c r="E587" s="1"/>
    </row>
    <row r="588" spans="1:5" ht="13.2" x14ac:dyDescent="0.25">
      <c r="A588" s="1"/>
      <c r="B588" s="1"/>
      <c r="C588" s="1"/>
      <c r="D588" s="1"/>
      <c r="E588" s="1"/>
    </row>
    <row r="589" spans="1:5" ht="13.2" x14ac:dyDescent="0.25">
      <c r="A589" s="1"/>
      <c r="B589" s="1"/>
      <c r="C589" s="1"/>
      <c r="D589" s="1"/>
      <c r="E589" s="1"/>
    </row>
    <row r="590" spans="1:5" ht="13.2" x14ac:dyDescent="0.25">
      <c r="A590" s="1"/>
      <c r="B590" s="1"/>
      <c r="C590" s="1"/>
      <c r="D590" s="1"/>
      <c r="E590" s="1"/>
    </row>
    <row r="591" spans="1:5" ht="13.2" x14ac:dyDescent="0.25">
      <c r="A591" s="1"/>
      <c r="B591" s="1"/>
      <c r="C591" s="1"/>
      <c r="D591" s="1"/>
      <c r="E591" s="1"/>
    </row>
    <row r="592" spans="1:5" ht="13.2" x14ac:dyDescent="0.25">
      <c r="A592" s="1"/>
      <c r="B592" s="1"/>
      <c r="C592" s="1"/>
      <c r="D592" s="1"/>
      <c r="E592" s="1"/>
    </row>
    <row r="593" spans="1:5" ht="13.2" x14ac:dyDescent="0.25">
      <c r="A593" s="1"/>
      <c r="B593" s="1"/>
      <c r="C593" s="1"/>
      <c r="D593" s="1"/>
      <c r="E593" s="1"/>
    </row>
    <row r="594" spans="1:5" ht="13.2" x14ac:dyDescent="0.25">
      <c r="A594" s="1"/>
      <c r="B594" s="1"/>
      <c r="C594" s="1"/>
      <c r="D594" s="1"/>
      <c r="E594" s="1"/>
    </row>
    <row r="595" spans="1:5" ht="13.2" x14ac:dyDescent="0.25">
      <c r="A595" s="1"/>
      <c r="B595" s="1"/>
      <c r="C595" s="1"/>
      <c r="D595" s="1"/>
      <c r="E595" s="1"/>
    </row>
    <row r="596" spans="1:5" ht="13.2" x14ac:dyDescent="0.25">
      <c r="A596" s="1"/>
      <c r="B596" s="1"/>
      <c r="C596" s="1"/>
      <c r="D596" s="1"/>
      <c r="E596" s="1"/>
    </row>
    <row r="597" spans="1:5" ht="13.2" x14ac:dyDescent="0.25">
      <c r="A597" s="1"/>
      <c r="B597" s="1"/>
      <c r="C597" s="1"/>
      <c r="D597" s="1"/>
      <c r="E597" s="1"/>
    </row>
    <row r="598" spans="1:5" ht="13.2" x14ac:dyDescent="0.25">
      <c r="A598" s="1"/>
      <c r="B598" s="1"/>
      <c r="C598" s="1"/>
      <c r="D598" s="1"/>
      <c r="E598" s="1"/>
    </row>
    <row r="599" spans="1:5" ht="13.2" x14ac:dyDescent="0.25">
      <c r="A599" s="1"/>
      <c r="B599" s="1"/>
      <c r="C599" s="1"/>
      <c r="D599" s="1"/>
      <c r="E599" s="1"/>
    </row>
    <row r="600" spans="1:5" ht="13.2" x14ac:dyDescent="0.25">
      <c r="A600" s="1"/>
      <c r="B600" s="1"/>
      <c r="C600" s="1"/>
      <c r="D600" s="1"/>
      <c r="E600" s="1"/>
    </row>
    <row r="601" spans="1:5" ht="13.2" x14ac:dyDescent="0.25">
      <c r="A601" s="1"/>
      <c r="B601" s="1"/>
      <c r="C601" s="1"/>
      <c r="D601" s="1"/>
      <c r="E601" s="1"/>
    </row>
    <row r="602" spans="1:5" ht="13.2" x14ac:dyDescent="0.25">
      <c r="A602" s="1"/>
      <c r="B602" s="1"/>
      <c r="C602" s="1"/>
      <c r="D602" s="1"/>
      <c r="E602" s="1"/>
    </row>
    <row r="603" spans="1:5" ht="13.2" x14ac:dyDescent="0.25">
      <c r="A603" s="1"/>
      <c r="B603" s="1"/>
      <c r="C603" s="1"/>
      <c r="D603" s="1"/>
      <c r="E603" s="1"/>
    </row>
    <row r="604" spans="1:5" ht="13.2" x14ac:dyDescent="0.25">
      <c r="A604" s="1"/>
      <c r="B604" s="1"/>
      <c r="C604" s="1"/>
      <c r="D604" s="1"/>
      <c r="E604" s="1"/>
    </row>
    <row r="605" spans="1:5" ht="13.2" x14ac:dyDescent="0.25">
      <c r="A605" s="1"/>
      <c r="B605" s="1"/>
      <c r="C605" s="1"/>
      <c r="D605" s="1"/>
      <c r="E605" s="1"/>
    </row>
    <row r="606" spans="1:5" ht="13.2" x14ac:dyDescent="0.25">
      <c r="A606" s="1"/>
      <c r="B606" s="1"/>
      <c r="C606" s="1"/>
      <c r="D606" s="1"/>
      <c r="E606" s="1"/>
    </row>
    <row r="607" spans="1:5" ht="13.2" x14ac:dyDescent="0.25">
      <c r="A607" s="1"/>
      <c r="B607" s="1"/>
      <c r="C607" s="1"/>
      <c r="D607" s="1"/>
      <c r="E607" s="1"/>
    </row>
    <row r="608" spans="1:5" ht="13.2" x14ac:dyDescent="0.25">
      <c r="A608" s="1"/>
      <c r="B608" s="1"/>
      <c r="C608" s="1"/>
      <c r="D608" s="1"/>
      <c r="E608" s="1"/>
    </row>
    <row r="609" spans="1:5" ht="13.2" x14ac:dyDescent="0.25">
      <c r="A609" s="1"/>
      <c r="B609" s="1"/>
      <c r="C609" s="1"/>
      <c r="D609" s="1"/>
      <c r="E609" s="1"/>
    </row>
    <row r="610" spans="1:5" ht="13.2" x14ac:dyDescent="0.25">
      <c r="A610" s="1"/>
      <c r="B610" s="1"/>
      <c r="C610" s="1"/>
      <c r="D610" s="1"/>
      <c r="E610" s="1"/>
    </row>
    <row r="611" spans="1:5" ht="13.2" x14ac:dyDescent="0.25">
      <c r="A611" s="1"/>
      <c r="B611" s="1"/>
      <c r="C611" s="1"/>
      <c r="D611" s="1"/>
      <c r="E611" s="1"/>
    </row>
    <row r="612" spans="1:5" ht="13.2" x14ac:dyDescent="0.25">
      <c r="A612" s="1"/>
      <c r="B612" s="1"/>
      <c r="C612" s="1"/>
      <c r="D612" s="1"/>
      <c r="E612" s="1"/>
    </row>
    <row r="613" spans="1:5" ht="13.2" x14ac:dyDescent="0.25">
      <c r="A613" s="1"/>
      <c r="B613" s="1"/>
      <c r="C613" s="1"/>
      <c r="D613" s="1"/>
      <c r="E613" s="1"/>
    </row>
    <row r="614" spans="1:5" ht="13.2" x14ac:dyDescent="0.25">
      <c r="A614" s="1"/>
      <c r="B614" s="1"/>
      <c r="C614" s="1"/>
      <c r="D614" s="1"/>
      <c r="E614" s="1"/>
    </row>
    <row r="615" spans="1:5" ht="13.2" x14ac:dyDescent="0.25">
      <c r="A615" s="1"/>
      <c r="B615" s="1"/>
      <c r="C615" s="1"/>
      <c r="D615" s="1"/>
      <c r="E615" s="1"/>
    </row>
    <row r="616" spans="1:5" ht="13.2" x14ac:dyDescent="0.25">
      <c r="A616" s="1"/>
      <c r="B616" s="1"/>
      <c r="C616" s="1"/>
      <c r="D616" s="1"/>
      <c r="E616" s="1"/>
    </row>
    <row r="617" spans="1:5" ht="13.2" x14ac:dyDescent="0.25">
      <c r="A617" s="1"/>
      <c r="B617" s="1"/>
      <c r="C617" s="1"/>
      <c r="D617" s="1"/>
      <c r="E617" s="1"/>
    </row>
    <row r="618" spans="1:5" ht="13.2" x14ac:dyDescent="0.25">
      <c r="A618" s="1"/>
      <c r="B618" s="1"/>
      <c r="C618" s="1"/>
      <c r="D618" s="1"/>
      <c r="E618" s="1"/>
    </row>
    <row r="619" spans="1:5" ht="13.2" x14ac:dyDescent="0.25">
      <c r="A619" s="1"/>
      <c r="B619" s="1"/>
      <c r="C619" s="1"/>
      <c r="D619" s="1"/>
      <c r="E619" s="1"/>
    </row>
    <row r="620" spans="1:5" ht="13.2" x14ac:dyDescent="0.25">
      <c r="A620" s="1"/>
      <c r="B620" s="1"/>
      <c r="C620" s="1"/>
      <c r="D620" s="1"/>
      <c r="E620" s="1"/>
    </row>
    <row r="621" spans="1:5" ht="13.2" x14ac:dyDescent="0.25">
      <c r="A621" s="1"/>
      <c r="B621" s="1"/>
      <c r="C621" s="1"/>
      <c r="D621" s="1"/>
      <c r="E621" s="1"/>
    </row>
    <row r="622" spans="1:5" ht="13.2" x14ac:dyDescent="0.25">
      <c r="A622" s="1"/>
      <c r="B622" s="1"/>
      <c r="C622" s="1"/>
      <c r="D622" s="1"/>
      <c r="E622" s="1"/>
    </row>
    <row r="623" spans="1:5" ht="13.2" x14ac:dyDescent="0.25">
      <c r="A623" s="1"/>
      <c r="B623" s="1"/>
      <c r="C623" s="1"/>
      <c r="D623" s="1"/>
      <c r="E623" s="1"/>
    </row>
    <row r="624" spans="1:5" ht="13.2" x14ac:dyDescent="0.25">
      <c r="A624" s="1"/>
      <c r="B624" s="1"/>
      <c r="C624" s="1"/>
      <c r="D624" s="1"/>
      <c r="E624" s="1"/>
    </row>
    <row r="625" spans="1:5" ht="13.2" x14ac:dyDescent="0.25">
      <c r="A625" s="1"/>
      <c r="B625" s="1"/>
      <c r="C625" s="1"/>
      <c r="D625" s="1"/>
      <c r="E625" s="1"/>
    </row>
    <row r="626" spans="1:5" ht="13.2" x14ac:dyDescent="0.25">
      <c r="A626" s="1"/>
      <c r="B626" s="1"/>
      <c r="C626" s="1"/>
      <c r="D626" s="1"/>
      <c r="E626" s="1"/>
    </row>
    <row r="627" spans="1:5" ht="13.2" x14ac:dyDescent="0.25">
      <c r="A627" s="1"/>
      <c r="B627" s="1"/>
      <c r="C627" s="1"/>
      <c r="D627" s="1"/>
      <c r="E627" s="1"/>
    </row>
    <row r="628" spans="1:5" ht="13.2" x14ac:dyDescent="0.25">
      <c r="A628" s="1"/>
      <c r="B628" s="1"/>
      <c r="C628" s="1"/>
      <c r="D628" s="1"/>
      <c r="E628" s="1"/>
    </row>
    <row r="629" spans="1:5" ht="13.2" x14ac:dyDescent="0.25">
      <c r="A629" s="1"/>
      <c r="B629" s="1"/>
      <c r="C629" s="1"/>
      <c r="D629" s="1"/>
      <c r="E629" s="1"/>
    </row>
    <row r="630" spans="1:5" ht="13.2" x14ac:dyDescent="0.25">
      <c r="A630" s="1"/>
      <c r="B630" s="1"/>
      <c r="C630" s="1"/>
      <c r="D630" s="1"/>
      <c r="E630" s="1"/>
    </row>
    <row r="631" spans="1:5" ht="13.2" x14ac:dyDescent="0.25">
      <c r="A631" s="1"/>
      <c r="B631" s="1"/>
      <c r="C631" s="1"/>
      <c r="D631" s="1"/>
      <c r="E631" s="1"/>
    </row>
    <row r="632" spans="1:5" ht="13.2" x14ac:dyDescent="0.25">
      <c r="A632" s="1"/>
      <c r="B632" s="1"/>
      <c r="C632" s="1"/>
      <c r="D632" s="1"/>
      <c r="E632" s="1"/>
    </row>
    <row r="633" spans="1:5" ht="13.2" x14ac:dyDescent="0.25">
      <c r="A633" s="1"/>
      <c r="B633" s="1"/>
      <c r="C633" s="1"/>
      <c r="D633" s="1"/>
      <c r="E633" s="1"/>
    </row>
    <row r="634" spans="1:5" ht="13.2" x14ac:dyDescent="0.25">
      <c r="A634" s="1"/>
      <c r="B634" s="1"/>
      <c r="C634" s="1"/>
      <c r="D634" s="1"/>
      <c r="E634" s="1"/>
    </row>
    <row r="635" spans="1:5" ht="13.2" x14ac:dyDescent="0.25">
      <c r="A635" s="1"/>
      <c r="B635" s="1"/>
      <c r="C635" s="1"/>
      <c r="D635" s="1"/>
      <c r="E635" s="1"/>
    </row>
    <row r="636" spans="1:5" ht="13.2" x14ac:dyDescent="0.25">
      <c r="A636" s="1"/>
      <c r="B636" s="1"/>
      <c r="C636" s="1"/>
      <c r="D636" s="1"/>
      <c r="E636" s="1"/>
    </row>
    <row r="637" spans="1:5" ht="13.2" x14ac:dyDescent="0.25">
      <c r="A637" s="1"/>
      <c r="B637" s="1"/>
      <c r="C637" s="1"/>
      <c r="D637" s="1"/>
      <c r="E637" s="1"/>
    </row>
    <row r="638" spans="1:5" ht="13.2" x14ac:dyDescent="0.25">
      <c r="A638" s="1"/>
      <c r="B638" s="1"/>
      <c r="C638" s="1"/>
      <c r="D638" s="1"/>
      <c r="E638" s="1"/>
    </row>
    <row r="639" spans="1:5" ht="13.2" x14ac:dyDescent="0.25">
      <c r="A639" s="1"/>
      <c r="B639" s="1"/>
      <c r="C639" s="1"/>
      <c r="D639" s="1"/>
      <c r="E639" s="1"/>
    </row>
    <row r="640" spans="1:5" ht="13.2" x14ac:dyDescent="0.25">
      <c r="A640" s="1"/>
      <c r="B640" s="1"/>
      <c r="C640" s="1"/>
      <c r="D640" s="1"/>
      <c r="E640" s="1"/>
    </row>
    <row r="641" spans="1:5" ht="13.2" x14ac:dyDescent="0.25">
      <c r="A641" s="1"/>
      <c r="B641" s="1"/>
      <c r="C641" s="1"/>
      <c r="D641" s="1"/>
      <c r="E641" s="1"/>
    </row>
    <row r="642" spans="1:5" ht="13.2" x14ac:dyDescent="0.25">
      <c r="A642" s="1"/>
      <c r="B642" s="1"/>
      <c r="C642" s="1"/>
      <c r="D642" s="1"/>
      <c r="E642" s="1"/>
    </row>
    <row r="643" spans="1:5" ht="13.2" x14ac:dyDescent="0.25">
      <c r="A643" s="1"/>
      <c r="B643" s="1"/>
      <c r="C643" s="1"/>
      <c r="D643" s="1"/>
      <c r="E643" s="1"/>
    </row>
    <row r="644" spans="1:5" ht="13.2" x14ac:dyDescent="0.25">
      <c r="A644" s="1"/>
      <c r="B644" s="1"/>
      <c r="C644" s="1"/>
      <c r="D644" s="1"/>
      <c r="E644" s="1"/>
    </row>
    <row r="645" spans="1:5" ht="13.2" x14ac:dyDescent="0.25">
      <c r="A645" s="1"/>
      <c r="B645" s="1"/>
      <c r="C645" s="1"/>
      <c r="D645" s="1"/>
      <c r="E645" s="1"/>
    </row>
    <row r="646" spans="1:5" ht="13.2" x14ac:dyDescent="0.25">
      <c r="A646" s="1"/>
      <c r="B646" s="1"/>
      <c r="C646" s="1"/>
      <c r="D646" s="1"/>
      <c r="E646" s="1"/>
    </row>
    <row r="647" spans="1:5" ht="13.2" x14ac:dyDescent="0.25">
      <c r="A647" s="1"/>
      <c r="B647" s="1"/>
      <c r="C647" s="1"/>
      <c r="D647" s="1"/>
      <c r="E647" s="1"/>
    </row>
    <row r="648" spans="1:5" ht="13.2" x14ac:dyDescent="0.25">
      <c r="A648" s="1"/>
      <c r="B648" s="1"/>
      <c r="C648" s="1"/>
      <c r="D648" s="1"/>
      <c r="E648" s="1"/>
    </row>
    <row r="649" spans="1:5" ht="13.2" x14ac:dyDescent="0.25">
      <c r="A649" s="1"/>
      <c r="B649" s="1"/>
      <c r="C649" s="1"/>
      <c r="D649" s="1"/>
      <c r="E649" s="1"/>
    </row>
    <row r="650" spans="1:5" ht="13.2" x14ac:dyDescent="0.25">
      <c r="A650" s="1"/>
      <c r="B650" s="1"/>
      <c r="C650" s="1"/>
      <c r="D650" s="1"/>
      <c r="E650" s="1"/>
    </row>
    <row r="651" spans="1:5" ht="13.2" x14ac:dyDescent="0.25">
      <c r="A651" s="1"/>
      <c r="B651" s="1"/>
      <c r="C651" s="1"/>
      <c r="D651" s="1"/>
      <c r="E651" s="1"/>
    </row>
    <row r="652" spans="1:5" ht="13.2" x14ac:dyDescent="0.25">
      <c r="A652" s="1"/>
      <c r="B652" s="1"/>
      <c r="C652" s="1"/>
      <c r="D652" s="1"/>
      <c r="E652" s="1"/>
    </row>
    <row r="653" spans="1:5" ht="13.2" x14ac:dyDescent="0.25">
      <c r="A653" s="1"/>
      <c r="B653" s="1"/>
      <c r="C653" s="1"/>
      <c r="D653" s="1"/>
      <c r="E653" s="1"/>
    </row>
    <row r="654" spans="1:5" ht="13.2" x14ac:dyDescent="0.25">
      <c r="A654" s="1"/>
      <c r="B654" s="1"/>
      <c r="C654" s="1"/>
      <c r="D654" s="1"/>
      <c r="E654" s="1"/>
    </row>
    <row r="655" spans="1:5" ht="13.2" x14ac:dyDescent="0.25">
      <c r="A655" s="1"/>
      <c r="B655" s="1"/>
      <c r="C655" s="1"/>
      <c r="D655" s="1"/>
      <c r="E655" s="1"/>
    </row>
    <row r="656" spans="1:5" ht="13.2" x14ac:dyDescent="0.25">
      <c r="A656" s="1"/>
      <c r="B656" s="1"/>
      <c r="C656" s="1"/>
      <c r="D656" s="1"/>
      <c r="E656" s="1"/>
    </row>
    <row r="657" spans="1:5" ht="13.2" x14ac:dyDescent="0.25">
      <c r="A657" s="1"/>
      <c r="B657" s="1"/>
      <c r="C657" s="1"/>
      <c r="D657" s="1"/>
      <c r="E657" s="1"/>
    </row>
    <row r="658" spans="1:5" ht="13.2" x14ac:dyDescent="0.25">
      <c r="A658" s="1"/>
      <c r="B658" s="1"/>
      <c r="C658" s="1"/>
      <c r="D658" s="1"/>
      <c r="E658" s="1"/>
    </row>
    <row r="659" spans="1:5" ht="13.2" x14ac:dyDescent="0.25">
      <c r="A659" s="1"/>
      <c r="B659" s="1"/>
      <c r="C659" s="1"/>
      <c r="D659" s="1"/>
      <c r="E659" s="1"/>
    </row>
    <row r="660" spans="1:5" ht="13.2" x14ac:dyDescent="0.25">
      <c r="A660" s="1"/>
      <c r="B660" s="1"/>
      <c r="C660" s="1"/>
      <c r="D660" s="1"/>
      <c r="E660" s="1"/>
    </row>
    <row r="661" spans="1:5" ht="13.2" x14ac:dyDescent="0.25">
      <c r="A661" s="1"/>
      <c r="B661" s="1"/>
      <c r="C661" s="1"/>
      <c r="D661" s="1"/>
      <c r="E661" s="1"/>
    </row>
    <row r="662" spans="1:5" ht="13.2" x14ac:dyDescent="0.25">
      <c r="A662" s="1"/>
      <c r="B662" s="1"/>
      <c r="C662" s="1"/>
      <c r="D662" s="1"/>
      <c r="E662" s="1"/>
    </row>
    <row r="663" spans="1:5" ht="13.2" x14ac:dyDescent="0.25">
      <c r="A663" s="1"/>
      <c r="B663" s="1"/>
      <c r="C663" s="1"/>
      <c r="D663" s="1"/>
      <c r="E663" s="1"/>
    </row>
    <row r="664" spans="1:5" ht="13.2" x14ac:dyDescent="0.25">
      <c r="A664" s="1"/>
      <c r="B664" s="1"/>
      <c r="C664" s="1"/>
      <c r="D664" s="1"/>
      <c r="E664" s="1"/>
    </row>
    <row r="665" spans="1:5" ht="13.2" x14ac:dyDescent="0.25">
      <c r="A665" s="1"/>
      <c r="B665" s="1"/>
      <c r="C665" s="1"/>
      <c r="D665" s="1"/>
      <c r="E665" s="1"/>
    </row>
    <row r="666" spans="1:5" ht="13.2" x14ac:dyDescent="0.25">
      <c r="A666" s="1"/>
      <c r="B666" s="1"/>
      <c r="C666" s="1"/>
      <c r="D666" s="1"/>
      <c r="E666" s="1"/>
    </row>
    <row r="667" spans="1:5" ht="13.2" x14ac:dyDescent="0.25">
      <c r="A667" s="1"/>
      <c r="B667" s="1"/>
      <c r="C667" s="1"/>
      <c r="D667" s="1"/>
      <c r="E667" s="1"/>
    </row>
    <row r="668" spans="1:5" ht="13.2" x14ac:dyDescent="0.25">
      <c r="A668" s="1"/>
      <c r="B668" s="1"/>
      <c r="C668" s="1"/>
      <c r="D668" s="1"/>
      <c r="E668" s="1"/>
    </row>
    <row r="669" spans="1:5" ht="13.2" x14ac:dyDescent="0.25">
      <c r="A669" s="1"/>
      <c r="B669" s="1"/>
      <c r="C669" s="1"/>
      <c r="D669" s="1"/>
      <c r="E669" s="1"/>
    </row>
    <row r="670" spans="1:5" ht="13.2" x14ac:dyDescent="0.25">
      <c r="A670" s="1"/>
      <c r="B670" s="1"/>
      <c r="C670" s="1"/>
      <c r="D670" s="1"/>
      <c r="E670" s="1"/>
    </row>
    <row r="671" spans="1:5" ht="13.2" x14ac:dyDescent="0.25">
      <c r="A671" s="1"/>
      <c r="B671" s="1"/>
      <c r="C671" s="1"/>
      <c r="D671" s="1"/>
      <c r="E671" s="1"/>
    </row>
    <row r="672" spans="1:5" ht="13.2" x14ac:dyDescent="0.25">
      <c r="A672" s="1"/>
      <c r="B672" s="1"/>
      <c r="C672" s="1"/>
      <c r="D672" s="1"/>
      <c r="E672" s="1"/>
    </row>
    <row r="673" spans="1:5" ht="13.2" x14ac:dyDescent="0.25">
      <c r="A673" s="1"/>
      <c r="B673" s="1"/>
      <c r="C673" s="1"/>
      <c r="D673" s="1"/>
      <c r="E673" s="1"/>
    </row>
    <row r="674" spans="1:5" ht="13.2" x14ac:dyDescent="0.25">
      <c r="A674" s="1"/>
      <c r="B674" s="1"/>
      <c r="C674" s="1"/>
      <c r="D674" s="1"/>
      <c r="E674" s="1"/>
    </row>
    <row r="675" spans="1:5" ht="13.2" x14ac:dyDescent="0.25">
      <c r="A675" s="1"/>
      <c r="B675" s="1"/>
      <c r="C675" s="1"/>
      <c r="D675" s="1"/>
      <c r="E675" s="1"/>
    </row>
    <row r="676" spans="1:5" ht="13.2" x14ac:dyDescent="0.25">
      <c r="A676" s="1"/>
      <c r="B676" s="1"/>
      <c r="C676" s="1"/>
      <c r="D676" s="1"/>
      <c r="E676" s="1"/>
    </row>
    <row r="677" spans="1:5" ht="13.2" x14ac:dyDescent="0.25">
      <c r="A677" s="1"/>
      <c r="B677" s="1"/>
      <c r="C677" s="1"/>
      <c r="D677" s="1"/>
      <c r="E677" s="1"/>
    </row>
    <row r="678" spans="1:5" ht="13.2" x14ac:dyDescent="0.25">
      <c r="A678" s="1"/>
      <c r="B678" s="1"/>
      <c r="C678" s="1"/>
      <c r="D678" s="1"/>
      <c r="E678" s="1"/>
    </row>
    <row r="679" spans="1:5" ht="13.2" x14ac:dyDescent="0.25">
      <c r="A679" s="1"/>
      <c r="B679" s="1"/>
      <c r="C679" s="1"/>
      <c r="D679" s="1"/>
      <c r="E679" s="1"/>
    </row>
    <row r="680" spans="1:5" ht="13.2" x14ac:dyDescent="0.25">
      <c r="A680" s="1"/>
      <c r="B680" s="1"/>
      <c r="C680" s="1"/>
      <c r="D680" s="1"/>
      <c r="E680" s="1"/>
    </row>
    <row r="681" spans="1:5" ht="13.2" x14ac:dyDescent="0.25">
      <c r="A681" s="1"/>
      <c r="B681" s="1"/>
      <c r="C681" s="1"/>
      <c r="D681" s="1"/>
      <c r="E681" s="1"/>
    </row>
    <row r="682" spans="1:5" ht="13.2" x14ac:dyDescent="0.25">
      <c r="A682" s="1"/>
      <c r="B682" s="1"/>
      <c r="C682" s="1"/>
      <c r="D682" s="1"/>
      <c r="E682" s="1"/>
    </row>
    <row r="683" spans="1:5" ht="13.2" x14ac:dyDescent="0.25">
      <c r="A683" s="1"/>
      <c r="B683" s="1"/>
      <c r="C683" s="1"/>
      <c r="D683" s="1"/>
      <c r="E683" s="1"/>
    </row>
    <row r="684" spans="1:5" ht="13.2" x14ac:dyDescent="0.25">
      <c r="A684" s="1"/>
      <c r="B684" s="1"/>
      <c r="C684" s="1"/>
      <c r="D684" s="1"/>
      <c r="E684" s="1"/>
    </row>
    <row r="685" spans="1:5" ht="13.2" x14ac:dyDescent="0.25">
      <c r="A685" s="1"/>
      <c r="B685" s="1"/>
      <c r="C685" s="1"/>
      <c r="D685" s="1"/>
      <c r="E685" s="1"/>
    </row>
    <row r="686" spans="1:5" ht="13.2" x14ac:dyDescent="0.25">
      <c r="A686" s="1"/>
      <c r="B686" s="1"/>
      <c r="C686" s="1"/>
      <c r="D686" s="1"/>
      <c r="E686" s="1"/>
    </row>
    <row r="687" spans="1:5" ht="13.2" x14ac:dyDescent="0.25">
      <c r="A687" s="1"/>
      <c r="B687" s="1"/>
      <c r="C687" s="1"/>
      <c r="D687" s="1"/>
      <c r="E687" s="1"/>
    </row>
    <row r="688" spans="1:5" ht="13.2" x14ac:dyDescent="0.25">
      <c r="A688" s="1"/>
      <c r="B688" s="1"/>
      <c r="C688" s="1"/>
      <c r="D688" s="1"/>
      <c r="E688" s="1"/>
    </row>
    <row r="689" spans="1:5" ht="13.2" x14ac:dyDescent="0.25">
      <c r="A689" s="1"/>
      <c r="B689" s="1"/>
      <c r="C689" s="1"/>
      <c r="D689" s="1"/>
      <c r="E689" s="1"/>
    </row>
    <row r="690" spans="1:5" ht="13.2" x14ac:dyDescent="0.25">
      <c r="A690" s="1"/>
      <c r="B690" s="1"/>
      <c r="C690" s="1"/>
      <c r="D690" s="1"/>
      <c r="E690" s="1"/>
    </row>
    <row r="691" spans="1:5" ht="13.2" x14ac:dyDescent="0.25">
      <c r="A691" s="1"/>
      <c r="B691" s="1"/>
      <c r="C691" s="1"/>
      <c r="D691" s="1"/>
      <c r="E691" s="1"/>
    </row>
    <row r="692" spans="1:5" ht="13.2" x14ac:dyDescent="0.25">
      <c r="A692" s="1"/>
      <c r="B692" s="1"/>
      <c r="C692" s="1"/>
      <c r="D692" s="1"/>
      <c r="E692" s="1"/>
    </row>
    <row r="693" spans="1:5" ht="13.2" x14ac:dyDescent="0.25">
      <c r="A693" s="1"/>
      <c r="B693" s="1"/>
      <c r="C693" s="1"/>
      <c r="D693" s="1"/>
      <c r="E693" s="1"/>
    </row>
    <row r="694" spans="1:5" ht="13.2" x14ac:dyDescent="0.25">
      <c r="A694" s="1"/>
      <c r="B694" s="1"/>
      <c r="C694" s="1"/>
      <c r="D694" s="1"/>
      <c r="E694" s="1"/>
    </row>
    <row r="695" spans="1:5" ht="13.2" x14ac:dyDescent="0.25">
      <c r="A695" s="1"/>
      <c r="B695" s="1"/>
      <c r="C695" s="1"/>
      <c r="D695" s="1"/>
      <c r="E695" s="1"/>
    </row>
    <row r="696" spans="1:5" ht="13.2" x14ac:dyDescent="0.25">
      <c r="A696" s="1"/>
      <c r="B696" s="1"/>
      <c r="C696" s="1"/>
      <c r="D696" s="1"/>
      <c r="E696" s="1"/>
    </row>
    <row r="697" spans="1:5" ht="13.2" x14ac:dyDescent="0.25">
      <c r="A697" s="1"/>
      <c r="B697" s="1"/>
      <c r="C697" s="1"/>
      <c r="D697" s="1"/>
      <c r="E697" s="1"/>
    </row>
    <row r="698" spans="1:5" ht="13.2" x14ac:dyDescent="0.25">
      <c r="A698" s="1"/>
      <c r="B698" s="1"/>
      <c r="C698" s="1"/>
      <c r="D698" s="1"/>
      <c r="E698" s="1"/>
    </row>
    <row r="699" spans="1:5" ht="13.2" x14ac:dyDescent="0.25">
      <c r="A699" s="1"/>
      <c r="B699" s="1"/>
      <c r="C699" s="1"/>
      <c r="D699" s="1"/>
      <c r="E699" s="1"/>
    </row>
    <row r="700" spans="1:5" ht="13.2" x14ac:dyDescent="0.25">
      <c r="A700" s="1"/>
      <c r="B700" s="1"/>
      <c r="C700" s="1"/>
      <c r="D700" s="1"/>
      <c r="E700" s="1"/>
    </row>
    <row r="701" spans="1:5" ht="13.2" x14ac:dyDescent="0.25">
      <c r="A701" s="1"/>
      <c r="B701" s="1"/>
      <c r="C701" s="1"/>
      <c r="D701" s="1"/>
      <c r="E701" s="1"/>
    </row>
    <row r="702" spans="1:5" ht="13.2" x14ac:dyDescent="0.25">
      <c r="A702" s="1"/>
      <c r="B702" s="1"/>
      <c r="C702" s="1"/>
      <c r="D702" s="1"/>
      <c r="E702" s="1"/>
    </row>
    <row r="703" spans="1:5" ht="13.2" x14ac:dyDescent="0.25">
      <c r="A703" s="1"/>
      <c r="B703" s="1"/>
      <c r="C703" s="1"/>
      <c r="D703" s="1"/>
      <c r="E703" s="1"/>
    </row>
    <row r="704" spans="1:5" ht="13.2" x14ac:dyDescent="0.25">
      <c r="A704" s="1"/>
      <c r="B704" s="1"/>
      <c r="C704" s="1"/>
      <c r="D704" s="1"/>
      <c r="E704" s="1"/>
    </row>
    <row r="705" spans="1:5" ht="13.2" x14ac:dyDescent="0.25">
      <c r="A705" s="1"/>
      <c r="B705" s="1"/>
      <c r="C705" s="1"/>
      <c r="D705" s="1"/>
      <c r="E705" s="1"/>
    </row>
    <row r="706" spans="1:5" ht="13.2" x14ac:dyDescent="0.25">
      <c r="A706" s="1"/>
      <c r="B706" s="1"/>
      <c r="C706" s="1"/>
      <c r="D706" s="1"/>
      <c r="E706" s="1"/>
    </row>
    <row r="707" spans="1:5" ht="13.2" x14ac:dyDescent="0.25">
      <c r="A707" s="1"/>
      <c r="B707" s="1"/>
      <c r="C707" s="1"/>
      <c r="D707" s="1"/>
      <c r="E707" s="1"/>
    </row>
    <row r="708" spans="1:5" ht="13.2" x14ac:dyDescent="0.25">
      <c r="A708" s="1"/>
      <c r="B708" s="1"/>
      <c r="C708" s="1"/>
      <c r="D708" s="1"/>
      <c r="E708" s="1"/>
    </row>
    <row r="709" spans="1:5" ht="13.2" x14ac:dyDescent="0.25">
      <c r="A709" s="1"/>
      <c r="B709" s="1"/>
      <c r="C709" s="1"/>
      <c r="D709" s="1"/>
      <c r="E709" s="1"/>
    </row>
    <row r="710" spans="1:5" ht="13.2" x14ac:dyDescent="0.25">
      <c r="A710" s="1"/>
      <c r="B710" s="1"/>
      <c r="C710" s="1"/>
      <c r="D710" s="1"/>
      <c r="E710" s="1"/>
    </row>
    <row r="711" spans="1:5" ht="13.2" x14ac:dyDescent="0.25">
      <c r="A711" s="1"/>
      <c r="B711" s="1"/>
      <c r="C711" s="1"/>
      <c r="D711" s="1"/>
      <c r="E711" s="1"/>
    </row>
    <row r="712" spans="1:5" ht="13.2" x14ac:dyDescent="0.25">
      <c r="A712" s="1"/>
      <c r="B712" s="1"/>
      <c r="C712" s="1"/>
      <c r="D712" s="1"/>
      <c r="E712" s="1"/>
    </row>
    <row r="713" spans="1:5" ht="13.2" x14ac:dyDescent="0.25">
      <c r="A713" s="1"/>
      <c r="B713" s="1"/>
      <c r="C713" s="1"/>
      <c r="D713" s="1"/>
      <c r="E713" s="1"/>
    </row>
    <row r="714" spans="1:5" ht="13.2" x14ac:dyDescent="0.25">
      <c r="A714" s="1"/>
      <c r="B714" s="1"/>
      <c r="C714" s="1"/>
      <c r="D714" s="1"/>
      <c r="E714" s="1"/>
    </row>
    <row r="715" spans="1:5" ht="13.2" x14ac:dyDescent="0.25">
      <c r="A715" s="1"/>
      <c r="B715" s="1"/>
      <c r="C715" s="1"/>
      <c r="D715" s="1"/>
      <c r="E715" s="1"/>
    </row>
    <row r="716" spans="1:5" ht="13.2" x14ac:dyDescent="0.25">
      <c r="A716" s="1"/>
      <c r="B716" s="1"/>
      <c r="C716" s="1"/>
      <c r="D716" s="1"/>
      <c r="E716" s="1"/>
    </row>
    <row r="717" spans="1:5" ht="13.2" x14ac:dyDescent="0.25">
      <c r="A717" s="1"/>
      <c r="B717" s="1"/>
      <c r="C717" s="1"/>
      <c r="D717" s="1"/>
      <c r="E717" s="1"/>
    </row>
    <row r="718" spans="1:5" ht="13.2" x14ac:dyDescent="0.25">
      <c r="A718" s="1"/>
      <c r="B718" s="1"/>
      <c r="C718" s="1"/>
      <c r="D718" s="1"/>
      <c r="E718" s="1"/>
    </row>
    <row r="719" spans="1:5" ht="13.2" x14ac:dyDescent="0.25">
      <c r="A719" s="1"/>
      <c r="B719" s="1"/>
      <c r="C719" s="1"/>
      <c r="D719" s="1"/>
      <c r="E719" s="1"/>
    </row>
    <row r="720" spans="1:5" ht="13.2" x14ac:dyDescent="0.25">
      <c r="A720" s="1"/>
      <c r="B720" s="1"/>
      <c r="C720" s="1"/>
      <c r="D720" s="1"/>
      <c r="E720" s="1"/>
    </row>
    <row r="721" spans="1:5" ht="13.2" x14ac:dyDescent="0.25">
      <c r="A721" s="1"/>
      <c r="B721" s="1"/>
      <c r="C721" s="1"/>
      <c r="D721" s="1"/>
      <c r="E721" s="1"/>
    </row>
    <row r="722" spans="1:5" ht="13.2" x14ac:dyDescent="0.25">
      <c r="A722" s="1"/>
      <c r="B722" s="1"/>
      <c r="C722" s="1"/>
      <c r="D722" s="1"/>
      <c r="E722" s="1"/>
    </row>
    <row r="723" spans="1:5" ht="13.2" x14ac:dyDescent="0.25">
      <c r="A723" s="1"/>
      <c r="B723" s="1"/>
      <c r="C723" s="1"/>
      <c r="D723" s="1"/>
      <c r="E723" s="1"/>
    </row>
    <row r="724" spans="1:5" ht="13.2" x14ac:dyDescent="0.25">
      <c r="A724" s="1"/>
      <c r="B724" s="1"/>
      <c r="C724" s="1"/>
      <c r="D724" s="1"/>
      <c r="E724" s="1"/>
    </row>
    <row r="725" spans="1:5" ht="13.2" x14ac:dyDescent="0.25">
      <c r="A725" s="1"/>
      <c r="B725" s="1"/>
      <c r="C725" s="1"/>
      <c r="D725" s="1"/>
      <c r="E725" s="1"/>
    </row>
    <row r="726" spans="1:5" ht="13.2" x14ac:dyDescent="0.25">
      <c r="A726" s="1"/>
      <c r="B726" s="1"/>
      <c r="C726" s="1"/>
      <c r="D726" s="1"/>
      <c r="E726" s="1"/>
    </row>
    <row r="727" spans="1:5" ht="13.2" x14ac:dyDescent="0.25">
      <c r="A727" s="1"/>
      <c r="B727" s="1"/>
      <c r="C727" s="1"/>
      <c r="D727" s="1"/>
      <c r="E727" s="1"/>
    </row>
    <row r="728" spans="1:5" ht="13.2" x14ac:dyDescent="0.25">
      <c r="A728" s="1"/>
      <c r="B728" s="1"/>
      <c r="C728" s="1"/>
      <c r="D728" s="1"/>
      <c r="E728" s="1"/>
    </row>
    <row r="729" spans="1:5" ht="13.2" x14ac:dyDescent="0.25">
      <c r="A729" s="1"/>
      <c r="B729" s="1"/>
      <c r="C729" s="1"/>
      <c r="D729" s="1"/>
      <c r="E729" s="1"/>
    </row>
    <row r="730" spans="1:5" ht="13.2" x14ac:dyDescent="0.25">
      <c r="A730" s="1"/>
      <c r="B730" s="1"/>
      <c r="C730" s="1"/>
      <c r="D730" s="1"/>
      <c r="E730" s="1"/>
    </row>
    <row r="731" spans="1:5" ht="13.2" x14ac:dyDescent="0.25">
      <c r="A731" s="1"/>
      <c r="B731" s="1"/>
      <c r="C731" s="1"/>
      <c r="D731" s="1"/>
      <c r="E731" s="1"/>
    </row>
    <row r="732" spans="1:5" ht="13.2" x14ac:dyDescent="0.25">
      <c r="A732" s="1"/>
      <c r="B732" s="1"/>
      <c r="C732" s="1"/>
      <c r="D732" s="1"/>
      <c r="E732" s="1"/>
    </row>
    <row r="733" spans="1:5" ht="13.2" x14ac:dyDescent="0.25">
      <c r="A733" s="1"/>
      <c r="B733" s="1"/>
      <c r="C733" s="1"/>
      <c r="D733" s="1"/>
      <c r="E733" s="1"/>
    </row>
    <row r="734" spans="1:5" ht="13.2" x14ac:dyDescent="0.25">
      <c r="A734" s="1"/>
      <c r="B734" s="1"/>
      <c r="C734" s="1"/>
      <c r="D734" s="1"/>
      <c r="E734" s="1"/>
    </row>
    <row r="735" spans="1:5" ht="13.2" x14ac:dyDescent="0.25">
      <c r="A735" s="1"/>
      <c r="B735" s="1"/>
      <c r="C735" s="1"/>
      <c r="D735" s="1"/>
      <c r="E735" s="1"/>
    </row>
    <row r="736" spans="1:5" ht="13.2" x14ac:dyDescent="0.25">
      <c r="A736" s="1"/>
      <c r="B736" s="1"/>
      <c r="C736" s="1"/>
      <c r="D736" s="1"/>
      <c r="E736" s="1"/>
    </row>
    <row r="737" spans="1:5" ht="13.2" x14ac:dyDescent="0.25">
      <c r="A737" s="1"/>
      <c r="B737" s="1"/>
      <c r="C737" s="1"/>
      <c r="D737" s="1"/>
      <c r="E737" s="1"/>
    </row>
    <row r="738" spans="1:5" ht="13.2" x14ac:dyDescent="0.25">
      <c r="A738" s="1"/>
      <c r="B738" s="1"/>
      <c r="C738" s="1"/>
      <c r="D738" s="1"/>
      <c r="E738" s="1"/>
    </row>
    <row r="739" spans="1:5" ht="13.2" x14ac:dyDescent="0.25">
      <c r="A739" s="1"/>
      <c r="B739" s="1"/>
      <c r="C739" s="1"/>
      <c r="D739" s="1"/>
      <c r="E739" s="1"/>
    </row>
    <row r="740" spans="1:5" ht="13.2" x14ac:dyDescent="0.25">
      <c r="A740" s="1"/>
      <c r="B740" s="1"/>
      <c r="C740" s="1"/>
      <c r="D740" s="1"/>
      <c r="E740" s="1"/>
    </row>
    <row r="741" spans="1:5" ht="13.2" x14ac:dyDescent="0.25">
      <c r="A741" s="1"/>
      <c r="B741" s="1"/>
      <c r="C741" s="1"/>
      <c r="D741" s="1"/>
      <c r="E741" s="1"/>
    </row>
    <row r="742" spans="1:5" ht="13.2" x14ac:dyDescent="0.25">
      <c r="A742" s="1"/>
      <c r="B742" s="1"/>
      <c r="C742" s="1"/>
      <c r="D742" s="1"/>
      <c r="E742" s="1"/>
    </row>
    <row r="743" spans="1:5" ht="13.2" x14ac:dyDescent="0.25">
      <c r="A743" s="1"/>
      <c r="B743" s="1"/>
      <c r="C743" s="1"/>
      <c r="D743" s="1"/>
      <c r="E743" s="1"/>
    </row>
    <row r="744" spans="1:5" ht="13.2" x14ac:dyDescent="0.25">
      <c r="A744" s="1"/>
      <c r="B744" s="1"/>
      <c r="C744" s="1"/>
      <c r="D744" s="1"/>
      <c r="E744" s="1"/>
    </row>
    <row r="745" spans="1:5" ht="13.2" x14ac:dyDescent="0.25">
      <c r="A745" s="1"/>
      <c r="B745" s="1"/>
      <c r="C745" s="1"/>
      <c r="D745" s="1"/>
      <c r="E745" s="1"/>
    </row>
    <row r="746" spans="1:5" ht="13.2" x14ac:dyDescent="0.25">
      <c r="A746" s="1"/>
      <c r="B746" s="1"/>
      <c r="C746" s="1"/>
      <c r="D746" s="1"/>
      <c r="E746" s="1"/>
    </row>
    <row r="747" spans="1:5" ht="13.2" x14ac:dyDescent="0.25">
      <c r="A747" s="1"/>
      <c r="B747" s="1"/>
      <c r="C747" s="1"/>
      <c r="D747" s="1"/>
      <c r="E747" s="1"/>
    </row>
    <row r="748" spans="1:5" ht="13.2" x14ac:dyDescent="0.25">
      <c r="A748" s="1"/>
      <c r="B748" s="1"/>
      <c r="C748" s="1"/>
      <c r="D748" s="1"/>
      <c r="E748" s="1"/>
    </row>
    <row r="749" spans="1:5" ht="13.2" x14ac:dyDescent="0.25">
      <c r="A749" s="1"/>
      <c r="B749" s="1"/>
      <c r="C749" s="1"/>
      <c r="D749" s="1"/>
      <c r="E749" s="1"/>
    </row>
    <row r="750" spans="1:5" ht="13.2" x14ac:dyDescent="0.25">
      <c r="A750" s="1"/>
      <c r="B750" s="1"/>
      <c r="C750" s="1"/>
      <c r="D750" s="1"/>
      <c r="E750" s="1"/>
    </row>
    <row r="751" spans="1:5" ht="13.2" x14ac:dyDescent="0.25">
      <c r="A751" s="1"/>
      <c r="B751" s="1"/>
      <c r="C751" s="1"/>
      <c r="D751" s="1"/>
      <c r="E751" s="1"/>
    </row>
    <row r="752" spans="1:5" ht="13.2" x14ac:dyDescent="0.25">
      <c r="A752" s="1"/>
      <c r="B752" s="1"/>
      <c r="C752" s="1"/>
      <c r="D752" s="1"/>
      <c r="E752" s="1"/>
    </row>
    <row r="753" spans="1:5" ht="13.2" x14ac:dyDescent="0.25">
      <c r="A753" s="1"/>
      <c r="B753" s="1"/>
      <c r="C753" s="1"/>
      <c r="D753" s="1"/>
      <c r="E753" s="1"/>
    </row>
    <row r="754" spans="1:5" ht="13.2" x14ac:dyDescent="0.25">
      <c r="A754" s="1"/>
      <c r="B754" s="1"/>
      <c r="C754" s="1"/>
      <c r="D754" s="1"/>
      <c r="E754" s="1"/>
    </row>
    <row r="755" spans="1:5" ht="13.2" x14ac:dyDescent="0.25">
      <c r="A755" s="1"/>
      <c r="B755" s="1"/>
      <c r="C755" s="1"/>
      <c r="D755" s="1"/>
      <c r="E755" s="1"/>
    </row>
    <row r="756" spans="1:5" ht="13.2" x14ac:dyDescent="0.25">
      <c r="A756" s="1"/>
      <c r="B756" s="1"/>
      <c r="C756" s="1"/>
      <c r="D756" s="1"/>
      <c r="E756" s="1"/>
    </row>
    <row r="757" spans="1:5" ht="13.2" x14ac:dyDescent="0.25">
      <c r="A757" s="1"/>
      <c r="B757" s="1"/>
      <c r="C757" s="1"/>
      <c r="D757" s="1"/>
      <c r="E757" s="1"/>
    </row>
    <row r="758" spans="1:5" ht="13.2" x14ac:dyDescent="0.25">
      <c r="A758" s="1"/>
      <c r="B758" s="1"/>
      <c r="C758" s="1"/>
      <c r="D758" s="1"/>
      <c r="E758" s="1"/>
    </row>
    <row r="759" spans="1:5" ht="13.2" x14ac:dyDescent="0.25">
      <c r="A759" s="1"/>
      <c r="B759" s="1"/>
      <c r="C759" s="1"/>
      <c r="D759" s="1"/>
      <c r="E759" s="1"/>
    </row>
    <row r="760" spans="1:5" ht="13.2" x14ac:dyDescent="0.25">
      <c r="A760" s="1"/>
      <c r="B760" s="1"/>
      <c r="C760" s="1"/>
      <c r="D760" s="1"/>
      <c r="E760" s="1"/>
    </row>
    <row r="761" spans="1:5" ht="13.2" x14ac:dyDescent="0.25">
      <c r="A761" s="1"/>
      <c r="B761" s="1"/>
      <c r="C761" s="1"/>
      <c r="D761" s="1"/>
      <c r="E761" s="1"/>
    </row>
    <row r="762" spans="1:5" ht="13.2" x14ac:dyDescent="0.25">
      <c r="A762" s="1"/>
      <c r="B762" s="1"/>
      <c r="C762" s="1"/>
      <c r="D762" s="1"/>
      <c r="E762" s="1"/>
    </row>
    <row r="763" spans="1:5" ht="13.2" x14ac:dyDescent="0.25">
      <c r="A763" s="1"/>
      <c r="B763" s="1"/>
      <c r="C763" s="1"/>
      <c r="D763" s="1"/>
      <c r="E763" s="1"/>
    </row>
    <row r="764" spans="1:5" ht="13.2" x14ac:dyDescent="0.25">
      <c r="A764" s="1"/>
      <c r="B764" s="1"/>
      <c r="C764" s="1"/>
      <c r="D764" s="1"/>
      <c r="E764" s="1"/>
    </row>
    <row r="765" spans="1:5" ht="13.2" x14ac:dyDescent="0.25">
      <c r="A765" s="1"/>
      <c r="B765" s="1"/>
      <c r="C765" s="1"/>
      <c r="D765" s="1"/>
      <c r="E765" s="1"/>
    </row>
    <row r="766" spans="1:5" ht="13.2" x14ac:dyDescent="0.25">
      <c r="A766" s="1"/>
      <c r="B766" s="1"/>
      <c r="C766" s="1"/>
      <c r="D766" s="1"/>
      <c r="E766" s="1"/>
    </row>
    <row r="767" spans="1:5" ht="13.2" x14ac:dyDescent="0.25">
      <c r="A767" s="1"/>
      <c r="B767" s="1"/>
      <c r="C767" s="1"/>
      <c r="D767" s="1"/>
      <c r="E767" s="1"/>
    </row>
    <row r="768" spans="1:5" ht="13.2" x14ac:dyDescent="0.25">
      <c r="A768" s="1"/>
      <c r="B768" s="1"/>
      <c r="C768" s="1"/>
      <c r="D768" s="1"/>
      <c r="E768" s="1"/>
    </row>
    <row r="769" spans="1:5" ht="13.2" x14ac:dyDescent="0.25">
      <c r="A769" s="1"/>
      <c r="B769" s="1"/>
      <c r="C769" s="1"/>
      <c r="D769" s="1"/>
      <c r="E769" s="1"/>
    </row>
    <row r="770" spans="1:5" ht="13.2" x14ac:dyDescent="0.25">
      <c r="A770" s="1"/>
      <c r="B770" s="1"/>
      <c r="C770" s="1"/>
      <c r="D770" s="1"/>
      <c r="E770" s="1"/>
    </row>
    <row r="771" spans="1:5" ht="13.2" x14ac:dyDescent="0.25">
      <c r="A771" s="1"/>
      <c r="B771" s="1"/>
      <c r="C771" s="1"/>
      <c r="D771" s="1"/>
      <c r="E771" s="1"/>
    </row>
    <row r="772" spans="1:5" ht="13.2" x14ac:dyDescent="0.25">
      <c r="A772" s="1"/>
      <c r="B772" s="1"/>
      <c r="C772" s="1"/>
      <c r="D772" s="1"/>
      <c r="E772" s="1"/>
    </row>
    <row r="773" spans="1:5" ht="13.2" x14ac:dyDescent="0.25">
      <c r="A773" s="1"/>
      <c r="B773" s="1"/>
      <c r="C773" s="1"/>
      <c r="D773" s="1"/>
      <c r="E773" s="1"/>
    </row>
    <row r="774" spans="1:5" ht="13.2" x14ac:dyDescent="0.25">
      <c r="A774" s="1"/>
      <c r="B774" s="1"/>
      <c r="C774" s="1"/>
      <c r="D774" s="1"/>
      <c r="E774" s="1"/>
    </row>
    <row r="775" spans="1:5" ht="13.2" x14ac:dyDescent="0.25">
      <c r="A775" s="1"/>
      <c r="B775" s="1"/>
      <c r="C775" s="1"/>
      <c r="D775" s="1"/>
      <c r="E775" s="1"/>
    </row>
    <row r="776" spans="1:5" ht="13.2" x14ac:dyDescent="0.25">
      <c r="A776" s="1"/>
      <c r="B776" s="1"/>
      <c r="C776" s="1"/>
      <c r="D776" s="1"/>
      <c r="E776" s="1"/>
    </row>
    <row r="777" spans="1:5" ht="13.2" x14ac:dyDescent="0.25">
      <c r="A777" s="1"/>
      <c r="B777" s="1"/>
      <c r="C777" s="1"/>
      <c r="D777" s="1"/>
      <c r="E777" s="1"/>
    </row>
    <row r="778" spans="1:5" ht="13.2" x14ac:dyDescent="0.25">
      <c r="A778" s="1"/>
      <c r="B778" s="1"/>
      <c r="C778" s="1"/>
      <c r="D778" s="1"/>
      <c r="E778" s="1"/>
    </row>
    <row r="779" spans="1:5" ht="13.2" x14ac:dyDescent="0.25">
      <c r="A779" s="1"/>
      <c r="B779" s="1"/>
      <c r="C779" s="1"/>
      <c r="D779" s="1"/>
      <c r="E779" s="1"/>
    </row>
    <row r="780" spans="1:5" ht="13.2" x14ac:dyDescent="0.25">
      <c r="A780" s="1"/>
      <c r="B780" s="1"/>
      <c r="C780" s="1"/>
      <c r="D780" s="1"/>
      <c r="E780" s="1"/>
    </row>
    <row r="781" spans="1:5" ht="13.2" x14ac:dyDescent="0.25">
      <c r="A781" s="1"/>
      <c r="B781" s="1"/>
      <c r="C781" s="1"/>
      <c r="D781" s="1"/>
      <c r="E781" s="1"/>
    </row>
    <row r="782" spans="1:5" ht="13.2" x14ac:dyDescent="0.25">
      <c r="A782" s="1"/>
      <c r="B782" s="1"/>
      <c r="C782" s="1"/>
      <c r="D782" s="1"/>
      <c r="E782" s="1"/>
    </row>
    <row r="783" spans="1:5" ht="13.2" x14ac:dyDescent="0.25">
      <c r="A783" s="1"/>
      <c r="B783" s="1"/>
      <c r="C783" s="1"/>
      <c r="D783" s="1"/>
      <c r="E783" s="1"/>
    </row>
    <row r="784" spans="1:5" ht="13.2" x14ac:dyDescent="0.25">
      <c r="A784" s="1"/>
      <c r="B784" s="1"/>
      <c r="C784" s="1"/>
      <c r="D784" s="1"/>
      <c r="E784" s="1"/>
    </row>
    <row r="785" spans="1:5" ht="13.2" x14ac:dyDescent="0.25">
      <c r="A785" s="1"/>
      <c r="B785" s="1"/>
      <c r="C785" s="1"/>
      <c r="D785" s="1"/>
      <c r="E785" s="1"/>
    </row>
    <row r="786" spans="1:5" ht="13.2" x14ac:dyDescent="0.25">
      <c r="A786" s="1"/>
      <c r="B786" s="1"/>
      <c r="C786" s="1"/>
      <c r="D786" s="1"/>
      <c r="E786" s="1"/>
    </row>
    <row r="787" spans="1:5" ht="13.2" x14ac:dyDescent="0.25">
      <c r="A787" s="1"/>
      <c r="B787" s="1"/>
      <c r="C787" s="1"/>
      <c r="D787" s="1"/>
      <c r="E787" s="1"/>
    </row>
    <row r="788" spans="1:5" ht="13.2" x14ac:dyDescent="0.25">
      <c r="A788" s="1"/>
      <c r="B788" s="1"/>
      <c r="C788" s="1"/>
      <c r="D788" s="1"/>
      <c r="E788" s="1"/>
    </row>
    <row r="789" spans="1:5" ht="13.2" x14ac:dyDescent="0.25">
      <c r="A789" s="1"/>
      <c r="B789" s="1"/>
      <c r="C789" s="1"/>
      <c r="D789" s="1"/>
      <c r="E789" s="1"/>
    </row>
    <row r="790" spans="1:5" ht="13.2" x14ac:dyDescent="0.25">
      <c r="A790" s="1"/>
      <c r="B790" s="1"/>
      <c r="C790" s="1"/>
      <c r="D790" s="1"/>
      <c r="E790" s="1"/>
    </row>
    <row r="791" spans="1:5" ht="13.2" x14ac:dyDescent="0.25">
      <c r="A791" s="1"/>
      <c r="B791" s="1"/>
      <c r="C791" s="1"/>
      <c r="D791" s="1"/>
      <c r="E791" s="1"/>
    </row>
    <row r="792" spans="1:5" ht="13.2" x14ac:dyDescent="0.25">
      <c r="A792" s="1"/>
      <c r="B792" s="1"/>
      <c r="C792" s="1"/>
      <c r="D792" s="1"/>
      <c r="E792" s="1"/>
    </row>
    <row r="793" spans="1:5" ht="13.2" x14ac:dyDescent="0.25">
      <c r="A793" s="1"/>
      <c r="B793" s="1"/>
      <c r="C793" s="1"/>
      <c r="D793" s="1"/>
      <c r="E793" s="1"/>
    </row>
    <row r="794" spans="1:5" ht="13.2" x14ac:dyDescent="0.25">
      <c r="A794" s="1"/>
      <c r="B794" s="1"/>
      <c r="C794" s="1"/>
      <c r="D794" s="1"/>
      <c r="E794" s="1"/>
    </row>
    <row r="795" spans="1:5" ht="13.2" x14ac:dyDescent="0.25">
      <c r="A795" s="1"/>
      <c r="B795" s="1"/>
      <c r="C795" s="1"/>
      <c r="D795" s="1"/>
      <c r="E795" s="1"/>
    </row>
    <row r="796" spans="1:5" ht="13.2" x14ac:dyDescent="0.25">
      <c r="A796" s="1"/>
      <c r="B796" s="1"/>
      <c r="C796" s="1"/>
      <c r="D796" s="1"/>
      <c r="E796" s="1"/>
    </row>
    <row r="797" spans="1:5" ht="13.2" x14ac:dyDescent="0.25">
      <c r="A797" s="1"/>
      <c r="B797" s="1"/>
      <c r="C797" s="1"/>
      <c r="D797" s="1"/>
      <c r="E797" s="1"/>
    </row>
    <row r="798" spans="1:5" ht="13.2" x14ac:dyDescent="0.25">
      <c r="A798" s="1"/>
      <c r="B798" s="1"/>
      <c r="C798" s="1"/>
      <c r="D798" s="1"/>
      <c r="E798" s="1"/>
    </row>
    <row r="799" spans="1:5" ht="13.2" x14ac:dyDescent="0.25">
      <c r="A799" s="1"/>
      <c r="B799" s="1"/>
      <c r="C799" s="1"/>
      <c r="D799" s="1"/>
      <c r="E799" s="1"/>
    </row>
    <row r="800" spans="1:5" ht="13.2" x14ac:dyDescent="0.25">
      <c r="A800" s="1"/>
      <c r="B800" s="1"/>
      <c r="C800" s="1"/>
      <c r="D800" s="1"/>
      <c r="E800" s="1"/>
    </row>
    <row r="801" spans="1:5" ht="13.2" x14ac:dyDescent="0.25">
      <c r="A801" s="1"/>
      <c r="B801" s="1"/>
      <c r="C801" s="1"/>
      <c r="D801" s="1"/>
      <c r="E801" s="1"/>
    </row>
    <row r="802" spans="1:5" ht="13.2" x14ac:dyDescent="0.25">
      <c r="A802" s="1"/>
      <c r="B802" s="1"/>
      <c r="C802" s="1"/>
      <c r="D802" s="1"/>
      <c r="E802" s="1"/>
    </row>
    <row r="803" spans="1:5" ht="13.2" x14ac:dyDescent="0.25">
      <c r="A803" s="1"/>
      <c r="B803" s="1"/>
      <c r="C803" s="1"/>
      <c r="D803" s="1"/>
      <c r="E803" s="1"/>
    </row>
    <row r="804" spans="1:5" ht="13.2" x14ac:dyDescent="0.25">
      <c r="A804" s="1"/>
      <c r="B804" s="1"/>
      <c r="C804" s="1"/>
      <c r="D804" s="1"/>
      <c r="E804" s="1"/>
    </row>
    <row r="805" spans="1:5" ht="13.2" x14ac:dyDescent="0.25">
      <c r="A805" s="1"/>
      <c r="B805" s="1"/>
      <c r="C805" s="1"/>
      <c r="D805" s="1"/>
      <c r="E805" s="1"/>
    </row>
    <row r="806" spans="1:5" ht="13.2" x14ac:dyDescent="0.25">
      <c r="A806" s="1"/>
      <c r="B806" s="1"/>
      <c r="C806" s="1"/>
      <c r="D806" s="1"/>
      <c r="E806" s="1"/>
    </row>
    <row r="807" spans="1:5" ht="13.2" x14ac:dyDescent="0.25">
      <c r="A807" s="1"/>
      <c r="B807" s="1"/>
      <c r="C807" s="1"/>
      <c r="D807" s="1"/>
      <c r="E807" s="1"/>
    </row>
    <row r="808" spans="1:5" ht="13.2" x14ac:dyDescent="0.25">
      <c r="A808" s="1"/>
      <c r="B808" s="1"/>
      <c r="C808" s="1"/>
      <c r="D808" s="1"/>
      <c r="E808" s="1"/>
    </row>
    <row r="809" spans="1:5" ht="13.2" x14ac:dyDescent="0.25">
      <c r="A809" s="1"/>
      <c r="B809" s="1"/>
      <c r="C809" s="1"/>
      <c r="D809" s="1"/>
      <c r="E809" s="1"/>
    </row>
    <row r="810" spans="1:5" ht="13.2" x14ac:dyDescent="0.25">
      <c r="A810" s="1"/>
      <c r="B810" s="1"/>
      <c r="C810" s="1"/>
      <c r="D810" s="1"/>
      <c r="E810" s="1"/>
    </row>
    <row r="811" spans="1:5" ht="13.2" x14ac:dyDescent="0.25">
      <c r="A811" s="1"/>
      <c r="B811" s="1"/>
      <c r="C811" s="1"/>
      <c r="D811" s="1"/>
      <c r="E811" s="1"/>
    </row>
    <row r="812" spans="1:5" ht="13.2" x14ac:dyDescent="0.25">
      <c r="A812" s="1"/>
      <c r="B812" s="1"/>
      <c r="C812" s="1"/>
      <c r="D812" s="1"/>
      <c r="E812" s="1"/>
    </row>
    <row r="813" spans="1:5" ht="13.2" x14ac:dyDescent="0.25">
      <c r="A813" s="1"/>
      <c r="B813" s="1"/>
      <c r="C813" s="1"/>
      <c r="D813" s="1"/>
      <c r="E813" s="1"/>
    </row>
    <row r="814" spans="1:5" ht="13.2" x14ac:dyDescent="0.25">
      <c r="A814" s="1"/>
      <c r="B814" s="1"/>
      <c r="C814" s="1"/>
      <c r="D814" s="1"/>
      <c r="E814" s="1"/>
    </row>
    <row r="815" spans="1:5" ht="13.2" x14ac:dyDescent="0.25">
      <c r="A815" s="1"/>
      <c r="B815" s="1"/>
      <c r="C815" s="1"/>
      <c r="D815" s="1"/>
      <c r="E815" s="1"/>
    </row>
    <row r="816" spans="1:5" ht="13.2" x14ac:dyDescent="0.25">
      <c r="A816" s="1"/>
      <c r="B816" s="1"/>
      <c r="C816" s="1"/>
      <c r="D816" s="1"/>
      <c r="E816" s="1"/>
    </row>
    <row r="817" spans="1:5" ht="13.2" x14ac:dyDescent="0.25">
      <c r="A817" s="1"/>
      <c r="B817" s="1"/>
      <c r="C817" s="1"/>
      <c r="D817" s="1"/>
      <c r="E817" s="1"/>
    </row>
    <row r="818" spans="1:5" ht="13.2" x14ac:dyDescent="0.25">
      <c r="A818" s="1"/>
      <c r="B818" s="1"/>
      <c r="C818" s="1"/>
      <c r="D818" s="1"/>
      <c r="E818" s="1"/>
    </row>
    <row r="819" spans="1:5" ht="13.2" x14ac:dyDescent="0.25">
      <c r="A819" s="1"/>
      <c r="B819" s="1"/>
      <c r="C819" s="1"/>
      <c r="D819" s="1"/>
      <c r="E819" s="1"/>
    </row>
    <row r="820" spans="1:5" ht="13.2" x14ac:dyDescent="0.25">
      <c r="A820" s="1"/>
      <c r="B820" s="1"/>
      <c r="C820" s="1"/>
      <c r="D820" s="1"/>
      <c r="E820" s="1"/>
    </row>
    <row r="821" spans="1:5" ht="13.2" x14ac:dyDescent="0.25">
      <c r="A821" s="1"/>
      <c r="B821" s="1"/>
      <c r="C821" s="1"/>
      <c r="D821" s="1"/>
      <c r="E821" s="1"/>
    </row>
    <row r="822" spans="1:5" ht="13.2" x14ac:dyDescent="0.25">
      <c r="A822" s="1"/>
      <c r="B822" s="1"/>
      <c r="C822" s="1"/>
      <c r="D822" s="1"/>
      <c r="E822" s="1"/>
    </row>
    <row r="823" spans="1:5" ht="13.2" x14ac:dyDescent="0.25">
      <c r="A823" s="1"/>
      <c r="B823" s="1"/>
      <c r="C823" s="1"/>
      <c r="D823" s="1"/>
      <c r="E823" s="1"/>
    </row>
    <row r="824" spans="1:5" ht="13.2" x14ac:dyDescent="0.25">
      <c r="A824" s="1"/>
      <c r="B824" s="1"/>
      <c r="C824" s="1"/>
      <c r="D824" s="1"/>
      <c r="E824" s="1"/>
    </row>
    <row r="825" spans="1:5" ht="13.2" x14ac:dyDescent="0.25">
      <c r="A825" s="1"/>
      <c r="B825" s="1"/>
      <c r="C825" s="1"/>
      <c r="D825" s="1"/>
      <c r="E825" s="1"/>
    </row>
    <row r="826" spans="1:5" ht="13.2" x14ac:dyDescent="0.25">
      <c r="A826" s="1"/>
      <c r="B826" s="1"/>
      <c r="C826" s="1"/>
      <c r="D826" s="1"/>
      <c r="E826" s="1"/>
    </row>
    <row r="827" spans="1:5" ht="13.2" x14ac:dyDescent="0.25">
      <c r="A827" s="1"/>
      <c r="B827" s="1"/>
      <c r="C827" s="1"/>
      <c r="D827" s="1"/>
      <c r="E827" s="1"/>
    </row>
    <row r="828" spans="1:5" ht="13.2" x14ac:dyDescent="0.25">
      <c r="A828" s="1"/>
      <c r="B828" s="1"/>
      <c r="C828" s="1"/>
      <c r="D828" s="1"/>
      <c r="E828" s="1"/>
    </row>
    <row r="829" spans="1:5" ht="13.2" x14ac:dyDescent="0.25">
      <c r="A829" s="1"/>
      <c r="B829" s="1"/>
      <c r="C829" s="1"/>
      <c r="D829" s="1"/>
      <c r="E829" s="1"/>
    </row>
    <row r="830" spans="1:5" ht="13.2" x14ac:dyDescent="0.25">
      <c r="A830" s="1"/>
      <c r="B830" s="1"/>
      <c r="C830" s="1"/>
      <c r="D830" s="1"/>
      <c r="E830" s="1"/>
    </row>
    <row r="831" spans="1:5" ht="13.2" x14ac:dyDescent="0.25">
      <c r="A831" s="1"/>
      <c r="B831" s="1"/>
      <c r="C831" s="1"/>
      <c r="D831" s="1"/>
      <c r="E831" s="1"/>
    </row>
    <row r="832" spans="1:5" ht="13.2" x14ac:dyDescent="0.25">
      <c r="A832" s="1"/>
      <c r="B832" s="1"/>
      <c r="C832" s="1"/>
      <c r="D832" s="1"/>
      <c r="E832" s="1"/>
    </row>
    <row r="833" spans="1:5" ht="13.2" x14ac:dyDescent="0.25">
      <c r="A833" s="1"/>
      <c r="B833" s="1"/>
      <c r="C833" s="1"/>
      <c r="D833" s="1"/>
      <c r="E833" s="1"/>
    </row>
    <row r="834" spans="1:5" ht="13.2" x14ac:dyDescent="0.25">
      <c r="A834" s="1"/>
      <c r="B834" s="1"/>
      <c r="C834" s="1"/>
      <c r="D834" s="1"/>
      <c r="E834" s="1"/>
    </row>
    <row r="835" spans="1:5" ht="13.2" x14ac:dyDescent="0.25">
      <c r="A835" s="1"/>
      <c r="B835" s="1"/>
      <c r="C835" s="1"/>
      <c r="D835" s="1"/>
      <c r="E835" s="1"/>
    </row>
    <row r="836" spans="1:5" ht="13.2" x14ac:dyDescent="0.25">
      <c r="A836" s="1"/>
      <c r="B836" s="1"/>
      <c r="C836" s="1"/>
      <c r="D836" s="1"/>
      <c r="E836" s="1"/>
    </row>
    <row r="837" spans="1:5" ht="13.2" x14ac:dyDescent="0.25">
      <c r="A837" s="1"/>
      <c r="B837" s="1"/>
      <c r="C837" s="1"/>
      <c r="D837" s="1"/>
      <c r="E837" s="1"/>
    </row>
    <row r="838" spans="1:5" ht="13.2" x14ac:dyDescent="0.25">
      <c r="A838" s="1"/>
      <c r="B838" s="1"/>
      <c r="C838" s="1"/>
      <c r="D838" s="1"/>
      <c r="E838" s="1"/>
    </row>
    <row r="839" spans="1:5" ht="13.2" x14ac:dyDescent="0.25">
      <c r="A839" s="1"/>
      <c r="B839" s="1"/>
      <c r="C839" s="1"/>
      <c r="D839" s="1"/>
      <c r="E839" s="1"/>
    </row>
    <row r="840" spans="1:5" ht="13.2" x14ac:dyDescent="0.25">
      <c r="A840" s="1"/>
      <c r="B840" s="1"/>
      <c r="C840" s="1"/>
      <c r="D840" s="1"/>
      <c r="E840" s="1"/>
    </row>
    <row r="841" spans="1:5" ht="13.2" x14ac:dyDescent="0.25">
      <c r="A841" s="1"/>
      <c r="B841" s="1"/>
      <c r="C841" s="1"/>
      <c r="D841" s="1"/>
      <c r="E841" s="1"/>
    </row>
    <row r="842" spans="1:5" ht="13.2" x14ac:dyDescent="0.25">
      <c r="A842" s="1"/>
      <c r="B842" s="1"/>
      <c r="C842" s="1"/>
      <c r="D842" s="1"/>
      <c r="E842" s="1"/>
    </row>
    <row r="843" spans="1:5" ht="13.2" x14ac:dyDescent="0.25">
      <c r="A843" s="1"/>
      <c r="B843" s="1"/>
      <c r="C843" s="1"/>
      <c r="D843" s="1"/>
      <c r="E843" s="1"/>
    </row>
    <row r="844" spans="1:5" ht="13.2" x14ac:dyDescent="0.25">
      <c r="A844" s="1"/>
      <c r="B844" s="1"/>
      <c r="C844" s="1"/>
      <c r="D844" s="1"/>
      <c r="E844" s="1"/>
    </row>
    <row r="845" spans="1:5" ht="13.2" x14ac:dyDescent="0.25">
      <c r="A845" s="1"/>
      <c r="B845" s="1"/>
      <c r="C845" s="1"/>
      <c r="D845" s="1"/>
      <c r="E845" s="1"/>
    </row>
    <row r="846" spans="1:5" ht="13.2" x14ac:dyDescent="0.25">
      <c r="A846" s="1"/>
      <c r="B846" s="1"/>
      <c r="C846" s="1"/>
      <c r="D846" s="1"/>
      <c r="E846" s="1"/>
    </row>
    <row r="847" spans="1:5" ht="13.2" x14ac:dyDescent="0.25">
      <c r="A847" s="1"/>
      <c r="B847" s="1"/>
      <c r="C847" s="1"/>
      <c r="D847" s="1"/>
      <c r="E847" s="1"/>
    </row>
    <row r="848" spans="1:5" ht="13.2" x14ac:dyDescent="0.25">
      <c r="A848" s="1"/>
      <c r="B848" s="1"/>
      <c r="C848" s="1"/>
      <c r="D848" s="1"/>
      <c r="E848" s="1"/>
    </row>
    <row r="849" spans="1:5" ht="13.2" x14ac:dyDescent="0.25">
      <c r="A849" s="1"/>
      <c r="B849" s="1"/>
      <c r="C849" s="1"/>
      <c r="D849" s="1"/>
      <c r="E849" s="1"/>
    </row>
    <row r="850" spans="1:5" ht="13.2" x14ac:dyDescent="0.25">
      <c r="A850" s="1"/>
      <c r="B850" s="1"/>
      <c r="C850" s="1"/>
      <c r="D850" s="1"/>
      <c r="E850" s="1"/>
    </row>
    <row r="851" spans="1:5" ht="13.2" x14ac:dyDescent="0.25">
      <c r="A851" s="1"/>
      <c r="B851" s="1"/>
      <c r="C851" s="1"/>
      <c r="D851" s="1"/>
      <c r="E851" s="1"/>
    </row>
    <row r="852" spans="1:5" ht="13.2" x14ac:dyDescent="0.25">
      <c r="A852" s="1"/>
      <c r="B852" s="1"/>
      <c r="C852" s="1"/>
      <c r="D852" s="1"/>
      <c r="E852" s="1"/>
    </row>
    <row r="853" spans="1:5" ht="13.2" x14ac:dyDescent="0.25">
      <c r="A853" s="1"/>
      <c r="B853" s="1"/>
      <c r="C853" s="1"/>
      <c r="D853" s="1"/>
      <c r="E853" s="1"/>
    </row>
    <row r="854" spans="1:5" ht="13.2" x14ac:dyDescent="0.25">
      <c r="A854" s="1"/>
      <c r="B854" s="1"/>
      <c r="C854" s="1"/>
      <c r="D854" s="1"/>
      <c r="E854" s="1"/>
    </row>
    <row r="855" spans="1:5" ht="13.2" x14ac:dyDescent="0.25">
      <c r="A855" s="1"/>
      <c r="B855" s="1"/>
      <c r="C855" s="1"/>
      <c r="D855" s="1"/>
      <c r="E855" s="1"/>
    </row>
    <row r="856" spans="1:5" ht="13.2" x14ac:dyDescent="0.25">
      <c r="A856" s="1"/>
      <c r="B856" s="1"/>
      <c r="C856" s="1"/>
      <c r="D856" s="1"/>
      <c r="E856" s="1"/>
    </row>
    <row r="857" spans="1:5" ht="13.2" x14ac:dyDescent="0.25">
      <c r="A857" s="1"/>
      <c r="B857" s="1"/>
      <c r="C857" s="1"/>
      <c r="D857" s="1"/>
      <c r="E857" s="1"/>
    </row>
    <row r="858" spans="1:5" ht="13.2" x14ac:dyDescent="0.25">
      <c r="A858" s="1"/>
      <c r="B858" s="1"/>
      <c r="C858" s="1"/>
      <c r="D858" s="1"/>
      <c r="E858" s="1"/>
    </row>
    <row r="859" spans="1:5" ht="13.2" x14ac:dyDescent="0.25">
      <c r="A859" s="1"/>
      <c r="B859" s="1"/>
      <c r="C859" s="1"/>
      <c r="D859" s="1"/>
      <c r="E859" s="1"/>
    </row>
    <row r="860" spans="1:5" ht="13.2" x14ac:dyDescent="0.25">
      <c r="A860" s="1"/>
      <c r="B860" s="1"/>
      <c r="C860" s="1"/>
      <c r="D860" s="1"/>
      <c r="E860" s="1"/>
    </row>
    <row r="861" spans="1:5" ht="13.2" x14ac:dyDescent="0.25">
      <c r="A861" s="1"/>
      <c r="B861" s="1"/>
      <c r="C861" s="1"/>
      <c r="D861" s="1"/>
      <c r="E861" s="1"/>
    </row>
    <row r="862" spans="1:5" ht="13.2" x14ac:dyDescent="0.25">
      <c r="A862" s="1"/>
      <c r="B862" s="1"/>
      <c r="C862" s="1"/>
      <c r="D862" s="1"/>
      <c r="E862" s="1"/>
    </row>
    <row r="863" spans="1:5" ht="13.2" x14ac:dyDescent="0.25">
      <c r="A863" s="1"/>
      <c r="B863" s="1"/>
      <c r="C863" s="1"/>
      <c r="D863" s="1"/>
      <c r="E863" s="1"/>
    </row>
    <row r="864" spans="1:5" ht="13.2" x14ac:dyDescent="0.25">
      <c r="A864" s="1"/>
      <c r="B864" s="1"/>
      <c r="C864" s="1"/>
      <c r="D864" s="1"/>
      <c r="E864" s="1"/>
    </row>
    <row r="865" spans="1:5" ht="13.2" x14ac:dyDescent="0.25">
      <c r="A865" s="1"/>
      <c r="B865" s="1"/>
      <c r="C865" s="1"/>
      <c r="D865" s="1"/>
      <c r="E865" s="1"/>
    </row>
    <row r="866" spans="1:5" ht="13.2" x14ac:dyDescent="0.25">
      <c r="A866" s="1"/>
      <c r="B866" s="1"/>
      <c r="C866" s="1"/>
      <c r="D866" s="1"/>
      <c r="E866" s="1"/>
    </row>
    <row r="867" spans="1:5" ht="13.2" x14ac:dyDescent="0.25">
      <c r="A867" s="1"/>
      <c r="B867" s="1"/>
      <c r="C867" s="1"/>
      <c r="D867" s="1"/>
      <c r="E867" s="1"/>
    </row>
    <row r="868" spans="1:5" ht="13.2" x14ac:dyDescent="0.25">
      <c r="A868" s="1"/>
      <c r="B868" s="1"/>
      <c r="C868" s="1"/>
      <c r="D868" s="1"/>
      <c r="E868" s="1"/>
    </row>
    <row r="869" spans="1:5" ht="13.2" x14ac:dyDescent="0.25">
      <c r="A869" s="1"/>
      <c r="B869" s="1"/>
      <c r="C869" s="1"/>
      <c r="D869" s="1"/>
      <c r="E869" s="1"/>
    </row>
    <row r="870" spans="1:5" ht="13.2" x14ac:dyDescent="0.25">
      <c r="A870" s="1"/>
      <c r="B870" s="1"/>
      <c r="C870" s="1"/>
      <c r="D870" s="1"/>
      <c r="E870" s="1"/>
    </row>
    <row r="871" spans="1:5" ht="13.2" x14ac:dyDescent="0.25">
      <c r="A871" s="1"/>
      <c r="B871" s="1"/>
      <c r="C871" s="1"/>
      <c r="D871" s="1"/>
      <c r="E871" s="1"/>
    </row>
    <row r="872" spans="1:5" ht="13.2" x14ac:dyDescent="0.25">
      <c r="A872" s="1"/>
      <c r="B872" s="1"/>
      <c r="C872" s="1"/>
      <c r="D872" s="1"/>
      <c r="E872" s="1"/>
    </row>
    <row r="873" spans="1:5" ht="13.2" x14ac:dyDescent="0.25">
      <c r="A873" s="1"/>
      <c r="B873" s="1"/>
      <c r="C873" s="1"/>
      <c r="D873" s="1"/>
      <c r="E873" s="1"/>
    </row>
    <row r="874" spans="1:5" ht="13.2" x14ac:dyDescent="0.25">
      <c r="A874" s="1"/>
      <c r="B874" s="1"/>
      <c r="C874" s="1"/>
      <c r="D874" s="1"/>
      <c r="E874" s="1"/>
    </row>
    <row r="875" spans="1:5" ht="13.2" x14ac:dyDescent="0.25">
      <c r="A875" s="1"/>
      <c r="B875" s="1"/>
      <c r="C875" s="1"/>
      <c r="D875" s="1"/>
      <c r="E875" s="1"/>
    </row>
    <row r="876" spans="1:5" ht="13.2" x14ac:dyDescent="0.25">
      <c r="A876" s="1"/>
      <c r="B876" s="1"/>
      <c r="C876" s="1"/>
      <c r="D876" s="1"/>
      <c r="E876" s="1"/>
    </row>
    <row r="877" spans="1:5" ht="13.2" x14ac:dyDescent="0.25">
      <c r="A877" s="1"/>
      <c r="B877" s="1"/>
      <c r="C877" s="1"/>
      <c r="D877" s="1"/>
      <c r="E877" s="1"/>
    </row>
    <row r="878" spans="1:5" ht="13.2" x14ac:dyDescent="0.25">
      <c r="A878" s="1"/>
      <c r="B878" s="1"/>
      <c r="C878" s="1"/>
      <c r="D878" s="1"/>
      <c r="E878" s="1"/>
    </row>
    <row r="879" spans="1:5" ht="13.2" x14ac:dyDescent="0.25">
      <c r="A879" s="1"/>
      <c r="B879" s="1"/>
      <c r="C879" s="1"/>
      <c r="D879" s="1"/>
      <c r="E879" s="1"/>
    </row>
    <row r="880" spans="1:5" ht="13.2" x14ac:dyDescent="0.25">
      <c r="A880" s="1"/>
      <c r="B880" s="1"/>
      <c r="C880" s="1"/>
      <c r="D880" s="1"/>
      <c r="E880" s="1"/>
    </row>
    <row r="881" spans="1:5" ht="13.2" x14ac:dyDescent="0.25">
      <c r="A881" s="1"/>
      <c r="B881" s="1"/>
      <c r="C881" s="1"/>
      <c r="D881" s="1"/>
      <c r="E881" s="1"/>
    </row>
    <row r="882" spans="1:5" ht="13.2" x14ac:dyDescent="0.25">
      <c r="A882" s="1"/>
      <c r="B882" s="1"/>
      <c r="C882" s="1"/>
      <c r="D882" s="1"/>
      <c r="E882" s="1"/>
    </row>
    <row r="883" spans="1:5" ht="13.2" x14ac:dyDescent="0.25">
      <c r="A883" s="1"/>
      <c r="B883" s="1"/>
      <c r="C883" s="1"/>
      <c r="D883" s="1"/>
      <c r="E883" s="1"/>
    </row>
    <row r="884" spans="1:5" ht="13.2" x14ac:dyDescent="0.25">
      <c r="A884" s="1"/>
      <c r="B884" s="1"/>
      <c r="C884" s="1"/>
      <c r="D884" s="1"/>
      <c r="E884" s="1"/>
    </row>
    <row r="885" spans="1:5" ht="13.2" x14ac:dyDescent="0.25">
      <c r="A885" s="1"/>
      <c r="B885" s="1"/>
      <c r="C885" s="1"/>
      <c r="D885" s="1"/>
      <c r="E885" s="1"/>
    </row>
    <row r="886" spans="1:5" ht="13.2" x14ac:dyDescent="0.25">
      <c r="A886" s="1"/>
      <c r="B886" s="1"/>
      <c r="C886" s="1"/>
      <c r="D886" s="1"/>
      <c r="E886" s="1"/>
    </row>
    <row r="887" spans="1:5" ht="13.2" x14ac:dyDescent="0.25">
      <c r="A887" s="1"/>
      <c r="B887" s="1"/>
      <c r="C887" s="1"/>
      <c r="D887" s="1"/>
      <c r="E887" s="1"/>
    </row>
    <row r="888" spans="1:5" ht="13.2" x14ac:dyDescent="0.25">
      <c r="A888" s="1"/>
      <c r="B888" s="1"/>
      <c r="C888" s="1"/>
      <c r="D888" s="1"/>
      <c r="E888" s="1"/>
    </row>
    <row r="889" spans="1:5" ht="13.2" x14ac:dyDescent="0.25">
      <c r="A889" s="1"/>
      <c r="B889" s="1"/>
      <c r="C889" s="1"/>
      <c r="D889" s="1"/>
      <c r="E889" s="1"/>
    </row>
    <row r="890" spans="1:5" ht="13.2" x14ac:dyDescent="0.25">
      <c r="A890" s="1"/>
      <c r="B890" s="1"/>
      <c r="C890" s="1"/>
      <c r="D890" s="1"/>
      <c r="E890" s="1"/>
    </row>
    <row r="891" spans="1:5" ht="13.2" x14ac:dyDescent="0.25">
      <c r="A891" s="1"/>
      <c r="B891" s="1"/>
      <c r="C891" s="1"/>
      <c r="D891" s="1"/>
      <c r="E891" s="1"/>
    </row>
    <row r="892" spans="1:5" ht="13.2" x14ac:dyDescent="0.25">
      <c r="A892" s="1"/>
      <c r="B892" s="1"/>
      <c r="C892" s="1"/>
      <c r="D892" s="1"/>
      <c r="E892" s="1"/>
    </row>
    <row r="893" spans="1:5" ht="13.2" x14ac:dyDescent="0.25">
      <c r="A893" s="1"/>
      <c r="B893" s="1"/>
      <c r="C893" s="1"/>
      <c r="D893" s="1"/>
      <c r="E893" s="1"/>
    </row>
    <row r="894" spans="1:5" ht="13.2" x14ac:dyDescent="0.25">
      <c r="A894" s="1"/>
      <c r="B894" s="1"/>
      <c r="C894" s="1"/>
      <c r="D894" s="1"/>
      <c r="E894" s="1"/>
    </row>
    <row r="895" spans="1:5" ht="13.2" x14ac:dyDescent="0.25">
      <c r="A895" s="1"/>
      <c r="B895" s="1"/>
      <c r="C895" s="1"/>
      <c r="D895" s="1"/>
      <c r="E895" s="1"/>
    </row>
    <row r="896" spans="1:5" ht="13.2" x14ac:dyDescent="0.25">
      <c r="A896" s="1"/>
      <c r="B896" s="1"/>
      <c r="C896" s="1"/>
      <c r="D896" s="1"/>
      <c r="E896" s="1"/>
    </row>
    <row r="897" spans="1:5" ht="13.2" x14ac:dyDescent="0.25">
      <c r="A897" s="1"/>
      <c r="B897" s="1"/>
      <c r="C897" s="1"/>
      <c r="D897" s="1"/>
      <c r="E897" s="1"/>
    </row>
    <row r="898" spans="1:5" ht="13.2" x14ac:dyDescent="0.25">
      <c r="A898" s="1"/>
      <c r="B898" s="1"/>
      <c r="C898" s="1"/>
      <c r="D898" s="1"/>
      <c r="E898" s="1"/>
    </row>
    <row r="899" spans="1:5" ht="13.2" x14ac:dyDescent="0.25">
      <c r="A899" s="1"/>
      <c r="B899" s="1"/>
      <c r="C899" s="1"/>
      <c r="D899" s="1"/>
      <c r="E899" s="1"/>
    </row>
    <row r="900" spans="1:5" ht="13.2" x14ac:dyDescent="0.25">
      <c r="A900" s="1"/>
      <c r="B900" s="1"/>
      <c r="C900" s="1"/>
      <c r="D900" s="1"/>
      <c r="E900" s="1"/>
    </row>
    <row r="901" spans="1:5" ht="13.2" x14ac:dyDescent="0.25">
      <c r="A901" s="1"/>
      <c r="B901" s="1"/>
      <c r="C901" s="1"/>
      <c r="D901" s="1"/>
      <c r="E901" s="1"/>
    </row>
    <row r="902" spans="1:5" ht="13.2" x14ac:dyDescent="0.25">
      <c r="A902" s="1"/>
      <c r="B902" s="1"/>
      <c r="C902" s="1"/>
      <c r="D902" s="1"/>
      <c r="E902" s="1"/>
    </row>
    <row r="903" spans="1:5" ht="13.2" x14ac:dyDescent="0.25">
      <c r="A903" s="1"/>
      <c r="B903" s="1"/>
      <c r="C903" s="1"/>
      <c r="D903" s="1"/>
      <c r="E903" s="1"/>
    </row>
    <row r="904" spans="1:5" ht="13.2" x14ac:dyDescent="0.25">
      <c r="A904" s="1"/>
      <c r="B904" s="1"/>
      <c r="C904" s="1"/>
      <c r="D904" s="1"/>
      <c r="E904" s="1"/>
    </row>
    <row r="905" spans="1:5" ht="13.2" x14ac:dyDescent="0.25">
      <c r="A905" s="1"/>
      <c r="B905" s="1"/>
      <c r="C905" s="1"/>
      <c r="D905" s="1"/>
      <c r="E905" s="1"/>
    </row>
    <row r="906" spans="1:5" ht="13.2" x14ac:dyDescent="0.25">
      <c r="A906" s="1"/>
      <c r="B906" s="1"/>
      <c r="C906" s="1"/>
      <c r="D906" s="1"/>
      <c r="E906" s="1"/>
    </row>
    <row r="907" spans="1:5" ht="13.2" x14ac:dyDescent="0.25">
      <c r="A907" s="1"/>
      <c r="B907" s="1"/>
      <c r="C907" s="1"/>
      <c r="D907" s="1"/>
      <c r="E907" s="1"/>
    </row>
    <row r="908" spans="1:5" ht="13.2" x14ac:dyDescent="0.25">
      <c r="A908" s="1"/>
      <c r="B908" s="1"/>
      <c r="C908" s="1"/>
      <c r="D908" s="1"/>
      <c r="E908" s="1"/>
    </row>
    <row r="909" spans="1:5" ht="13.2" x14ac:dyDescent="0.25">
      <c r="A909" s="1"/>
      <c r="B909" s="1"/>
      <c r="C909" s="1"/>
      <c r="D909" s="1"/>
      <c r="E909" s="1"/>
    </row>
    <row r="910" spans="1:5" ht="13.2" x14ac:dyDescent="0.25">
      <c r="A910" s="1"/>
      <c r="B910" s="1"/>
      <c r="C910" s="1"/>
      <c r="D910" s="1"/>
      <c r="E910" s="1"/>
    </row>
    <row r="911" spans="1:5" ht="13.2" x14ac:dyDescent="0.25">
      <c r="A911" s="1"/>
      <c r="B911" s="1"/>
      <c r="C911" s="1"/>
      <c r="D911" s="1"/>
      <c r="E911" s="1"/>
    </row>
    <row r="912" spans="1:5" ht="13.2" x14ac:dyDescent="0.25">
      <c r="A912" s="1"/>
      <c r="B912" s="1"/>
      <c r="C912" s="1"/>
      <c r="D912" s="1"/>
      <c r="E912" s="1"/>
    </row>
    <row r="913" spans="1:5" ht="13.2" x14ac:dyDescent="0.25">
      <c r="A913" s="1"/>
      <c r="B913" s="1"/>
      <c r="C913" s="1"/>
      <c r="D913" s="1"/>
      <c r="E913" s="1"/>
    </row>
    <row r="914" spans="1:5" ht="13.2" x14ac:dyDescent="0.25">
      <c r="A914" s="1"/>
      <c r="B914" s="1"/>
      <c r="C914" s="1"/>
      <c r="D914" s="1"/>
      <c r="E914" s="1"/>
    </row>
    <row r="915" spans="1:5" ht="13.2" x14ac:dyDescent="0.25">
      <c r="A915" s="1"/>
      <c r="B915" s="1"/>
      <c r="C915" s="1"/>
      <c r="D915" s="1"/>
      <c r="E915" s="1"/>
    </row>
    <row r="916" spans="1:5" ht="13.2" x14ac:dyDescent="0.25">
      <c r="A916" s="1"/>
      <c r="B916" s="1"/>
      <c r="C916" s="1"/>
      <c r="D916" s="1"/>
      <c r="E916" s="1"/>
    </row>
    <row r="917" spans="1:5" ht="13.2" x14ac:dyDescent="0.25">
      <c r="A917" s="1"/>
      <c r="B917" s="1"/>
      <c r="C917" s="1"/>
      <c r="D917" s="1"/>
      <c r="E917" s="1"/>
    </row>
    <row r="918" spans="1:5" ht="13.2" x14ac:dyDescent="0.25">
      <c r="A918" s="1"/>
      <c r="B918" s="1"/>
      <c r="C918" s="1"/>
      <c r="D918" s="1"/>
      <c r="E918" s="1"/>
    </row>
    <row r="919" spans="1:5" ht="13.2" x14ac:dyDescent="0.25">
      <c r="A919" s="1"/>
      <c r="B919" s="1"/>
      <c r="C919" s="1"/>
      <c r="D919" s="1"/>
      <c r="E919" s="1"/>
    </row>
    <row r="920" spans="1:5" ht="13.2" x14ac:dyDescent="0.25">
      <c r="A920" s="1"/>
      <c r="B920" s="1"/>
      <c r="C920" s="1"/>
      <c r="D920" s="1"/>
      <c r="E920" s="1"/>
    </row>
    <row r="921" spans="1:5" ht="13.2" x14ac:dyDescent="0.25">
      <c r="A921" s="1"/>
      <c r="B921" s="1"/>
      <c r="C921" s="1"/>
      <c r="D921" s="1"/>
      <c r="E921" s="1"/>
    </row>
    <row r="922" spans="1:5" ht="13.2" x14ac:dyDescent="0.25">
      <c r="A922" s="1"/>
      <c r="B922" s="1"/>
      <c r="C922" s="1"/>
      <c r="D922" s="1"/>
      <c r="E922" s="1"/>
    </row>
    <row r="923" spans="1:5" ht="13.2" x14ac:dyDescent="0.25">
      <c r="A923" s="1"/>
      <c r="B923" s="1"/>
      <c r="C923" s="1"/>
      <c r="D923" s="1"/>
      <c r="E923" s="1"/>
    </row>
    <row r="924" spans="1:5" ht="13.2" x14ac:dyDescent="0.25">
      <c r="A924" s="1"/>
      <c r="B924" s="1"/>
      <c r="C924" s="1"/>
      <c r="D924" s="1"/>
      <c r="E924" s="1"/>
    </row>
    <row r="925" spans="1:5" ht="13.2" x14ac:dyDescent="0.25">
      <c r="A925" s="1"/>
      <c r="B925" s="1"/>
      <c r="C925" s="1"/>
      <c r="D925" s="1"/>
      <c r="E925" s="1"/>
    </row>
    <row r="926" spans="1:5" ht="13.2" x14ac:dyDescent="0.25">
      <c r="A926" s="1"/>
      <c r="B926" s="1"/>
      <c r="C926" s="1"/>
      <c r="D926" s="1"/>
      <c r="E926" s="1"/>
    </row>
    <row r="927" spans="1:5" ht="13.2" x14ac:dyDescent="0.25">
      <c r="A927" s="1"/>
      <c r="B927" s="1"/>
      <c r="C927" s="1"/>
      <c r="D927" s="1"/>
      <c r="E927" s="1"/>
    </row>
    <row r="928" spans="1:5" ht="13.2" x14ac:dyDescent="0.25">
      <c r="A928" s="1"/>
      <c r="B928" s="1"/>
      <c r="C928" s="1"/>
      <c r="D928" s="1"/>
      <c r="E928" s="1"/>
    </row>
    <row r="929" spans="1:5" ht="13.2" x14ac:dyDescent="0.25">
      <c r="A929" s="1"/>
      <c r="B929" s="1"/>
      <c r="C929" s="1"/>
      <c r="D929" s="1"/>
      <c r="E929" s="1"/>
    </row>
    <row r="930" spans="1:5" ht="13.2" x14ac:dyDescent="0.25">
      <c r="A930" s="1"/>
      <c r="B930" s="1"/>
      <c r="C930" s="1"/>
      <c r="D930" s="1"/>
      <c r="E930" s="1"/>
    </row>
    <row r="931" spans="1:5" ht="13.2" x14ac:dyDescent="0.25">
      <c r="A931" s="1"/>
      <c r="B931" s="1"/>
      <c r="C931" s="1"/>
      <c r="D931" s="1"/>
      <c r="E931" s="1"/>
    </row>
    <row r="932" spans="1:5" ht="13.2" x14ac:dyDescent="0.25">
      <c r="A932" s="1"/>
      <c r="B932" s="1"/>
      <c r="C932" s="1"/>
      <c r="D932" s="1"/>
      <c r="E932" s="1"/>
    </row>
    <row r="933" spans="1:5" ht="13.2" x14ac:dyDescent="0.25">
      <c r="A933" s="1"/>
      <c r="B933" s="1"/>
      <c r="C933" s="1"/>
      <c r="D933" s="1"/>
      <c r="E933" s="1"/>
    </row>
    <row r="934" spans="1:5" ht="13.2" x14ac:dyDescent="0.25">
      <c r="A934" s="1"/>
      <c r="B934" s="1"/>
      <c r="C934" s="1"/>
      <c r="D934" s="1"/>
      <c r="E934" s="1"/>
    </row>
    <row r="935" spans="1:5" ht="13.2" x14ac:dyDescent="0.25">
      <c r="A935" s="1"/>
      <c r="B935" s="1"/>
      <c r="C935" s="1"/>
      <c r="D935" s="1"/>
      <c r="E935" s="1"/>
    </row>
    <row r="936" spans="1:5" ht="13.2" x14ac:dyDescent="0.25">
      <c r="A936" s="1"/>
      <c r="B936" s="1"/>
      <c r="C936" s="1"/>
      <c r="D936" s="1"/>
      <c r="E936" s="1"/>
    </row>
    <row r="937" spans="1:5" ht="13.2" x14ac:dyDescent="0.25">
      <c r="A937" s="1"/>
      <c r="B937" s="1"/>
      <c r="C937" s="1"/>
      <c r="D937" s="1"/>
      <c r="E937" s="1"/>
    </row>
    <row r="938" spans="1:5" ht="13.2" x14ac:dyDescent="0.25">
      <c r="A938" s="1"/>
      <c r="B938" s="1"/>
      <c r="C938" s="1"/>
      <c r="D938" s="1"/>
      <c r="E938" s="1"/>
    </row>
    <row r="939" spans="1:5" ht="13.2" x14ac:dyDescent="0.25">
      <c r="A939" s="1"/>
      <c r="B939" s="1"/>
      <c r="C939" s="1"/>
      <c r="D939" s="1"/>
      <c r="E939" s="1"/>
    </row>
    <row r="940" spans="1:5" ht="13.2" x14ac:dyDescent="0.25">
      <c r="A940" s="1"/>
      <c r="B940" s="1"/>
      <c r="C940" s="1"/>
      <c r="D940" s="1"/>
      <c r="E940" s="1"/>
    </row>
    <row r="941" spans="1:5" ht="13.2" x14ac:dyDescent="0.25">
      <c r="A941" s="1"/>
      <c r="B941" s="1"/>
      <c r="C941" s="1"/>
      <c r="D941" s="1"/>
      <c r="E941" s="1"/>
    </row>
    <row r="942" spans="1:5" ht="13.2" x14ac:dyDescent="0.25">
      <c r="A942" s="1"/>
      <c r="B942" s="1"/>
      <c r="C942" s="1"/>
      <c r="D942" s="1"/>
      <c r="E942" s="1"/>
    </row>
    <row r="943" spans="1:5" ht="13.2" x14ac:dyDescent="0.25">
      <c r="A943" s="1"/>
      <c r="B943" s="1"/>
      <c r="C943" s="1"/>
      <c r="D943" s="1"/>
      <c r="E943" s="1"/>
    </row>
    <row r="944" spans="1:5" ht="13.2" x14ac:dyDescent="0.25">
      <c r="A944" s="1"/>
      <c r="B944" s="1"/>
      <c r="C944" s="1"/>
      <c r="D944" s="1"/>
      <c r="E944" s="1"/>
    </row>
    <row r="945" spans="1:5" ht="13.2" x14ac:dyDescent="0.25">
      <c r="A945" s="1"/>
      <c r="B945" s="1"/>
      <c r="C945" s="1"/>
      <c r="D945" s="1"/>
      <c r="E945" s="1"/>
    </row>
    <row r="946" spans="1:5" ht="13.2" x14ac:dyDescent="0.25">
      <c r="A946" s="1"/>
      <c r="B946" s="1"/>
      <c r="C946" s="1"/>
      <c r="D946" s="1"/>
      <c r="E946" s="1"/>
    </row>
    <row r="947" spans="1:5" ht="13.2" x14ac:dyDescent="0.25">
      <c r="A947" s="1"/>
      <c r="B947" s="1"/>
      <c r="C947" s="1"/>
      <c r="D947" s="1"/>
      <c r="E947" s="1"/>
    </row>
    <row r="948" spans="1:5" ht="13.2" x14ac:dyDescent="0.25">
      <c r="A948" s="1"/>
      <c r="B948" s="1"/>
      <c r="C948" s="1"/>
      <c r="D948" s="1"/>
      <c r="E948" s="1"/>
    </row>
    <row r="949" spans="1:5" ht="13.2" x14ac:dyDescent="0.25">
      <c r="A949" s="1"/>
      <c r="B949" s="1"/>
      <c r="C949" s="1"/>
      <c r="D949" s="1"/>
      <c r="E949" s="1"/>
    </row>
    <row r="950" spans="1:5" ht="13.2" x14ac:dyDescent="0.25">
      <c r="A950" s="1"/>
      <c r="B950" s="1"/>
      <c r="C950" s="1"/>
      <c r="D950" s="1"/>
      <c r="E950" s="1"/>
    </row>
    <row r="951" spans="1:5" ht="13.2" x14ac:dyDescent="0.25">
      <c r="A951" s="1"/>
      <c r="B951" s="1"/>
      <c r="C951" s="1"/>
      <c r="D951" s="1"/>
      <c r="E951" s="1"/>
    </row>
    <row r="952" spans="1:5" ht="13.2" x14ac:dyDescent="0.25">
      <c r="A952" s="1"/>
      <c r="B952" s="1"/>
      <c r="C952" s="1"/>
      <c r="D952" s="1"/>
      <c r="E952" s="1"/>
    </row>
    <row r="953" spans="1:5" ht="13.2" x14ac:dyDescent="0.25">
      <c r="A953" s="1"/>
      <c r="B953" s="1"/>
      <c r="C953" s="1"/>
      <c r="D953" s="1"/>
      <c r="E953" s="1"/>
    </row>
    <row r="954" spans="1:5" ht="13.2" x14ac:dyDescent="0.25">
      <c r="A954" s="1"/>
      <c r="B954" s="1"/>
      <c r="C954" s="1"/>
      <c r="D954" s="1"/>
      <c r="E954" s="1"/>
    </row>
    <row r="955" spans="1:5" ht="13.2" x14ac:dyDescent="0.25">
      <c r="A955" s="1"/>
      <c r="B955" s="1"/>
      <c r="C955" s="1"/>
      <c r="D955" s="1"/>
      <c r="E955" s="1"/>
    </row>
    <row r="956" spans="1:5" ht="13.2" x14ac:dyDescent="0.25">
      <c r="A956" s="1"/>
      <c r="B956" s="1"/>
      <c r="C956" s="1"/>
      <c r="D956" s="1"/>
      <c r="E956" s="1"/>
    </row>
    <row r="957" spans="1:5" ht="13.2" x14ac:dyDescent="0.25">
      <c r="A957" s="1"/>
      <c r="B957" s="1"/>
      <c r="C957" s="1"/>
      <c r="D957" s="1"/>
      <c r="E957" s="1"/>
    </row>
    <row r="958" spans="1:5" ht="13.2" x14ac:dyDescent="0.25">
      <c r="A958" s="1"/>
      <c r="B958" s="1"/>
      <c r="C958" s="1"/>
      <c r="D958" s="1"/>
      <c r="E958" s="1"/>
    </row>
    <row r="959" spans="1:5" ht="13.2" x14ac:dyDescent="0.25">
      <c r="A959" s="1"/>
      <c r="B959" s="1"/>
      <c r="C959" s="1"/>
      <c r="D959" s="1"/>
      <c r="E959" s="1"/>
    </row>
    <row r="960" spans="1:5" ht="13.2" x14ac:dyDescent="0.25">
      <c r="A960" s="1"/>
      <c r="B960" s="1"/>
      <c r="C960" s="1"/>
      <c r="D960" s="1"/>
      <c r="E960" s="1"/>
    </row>
    <row r="961" spans="1:5" ht="13.2" x14ac:dyDescent="0.25">
      <c r="A961" s="1"/>
      <c r="B961" s="1"/>
      <c r="C961" s="1"/>
      <c r="D961" s="1"/>
      <c r="E961" s="1"/>
    </row>
    <row r="962" spans="1:5" ht="13.2" x14ac:dyDescent="0.25">
      <c r="A962" s="1"/>
      <c r="B962" s="1"/>
      <c r="C962" s="1"/>
      <c r="D962" s="1"/>
      <c r="E962" s="1"/>
    </row>
    <row r="963" spans="1:5" ht="13.2" x14ac:dyDescent="0.25">
      <c r="A963" s="1"/>
      <c r="B963" s="1"/>
      <c r="C963" s="1"/>
      <c r="D963" s="1"/>
      <c r="E963" s="1"/>
    </row>
    <row r="964" spans="1:5" ht="13.2" x14ac:dyDescent="0.25">
      <c r="A964" s="1"/>
      <c r="B964" s="1"/>
      <c r="C964" s="1"/>
      <c r="D964" s="1"/>
      <c r="E964" s="1"/>
    </row>
    <row r="965" spans="1:5" ht="13.2" x14ac:dyDescent="0.25">
      <c r="A965" s="1"/>
      <c r="B965" s="1"/>
      <c r="C965" s="1"/>
      <c r="D965" s="1"/>
      <c r="E965" s="1"/>
    </row>
    <row r="966" spans="1:5" ht="13.2" x14ac:dyDescent="0.25">
      <c r="A966" s="1"/>
      <c r="B966" s="1"/>
      <c r="C966" s="1"/>
      <c r="D966" s="1"/>
      <c r="E966" s="1"/>
    </row>
    <row r="967" spans="1:5" ht="13.2" x14ac:dyDescent="0.25">
      <c r="A967" s="1"/>
      <c r="B967" s="1"/>
      <c r="C967" s="1"/>
      <c r="D967" s="1"/>
      <c r="E967" s="1"/>
    </row>
    <row r="968" spans="1:5" ht="13.2" x14ac:dyDescent="0.25">
      <c r="A968" s="1"/>
      <c r="B968" s="1"/>
      <c r="C968" s="1"/>
      <c r="D968" s="1"/>
      <c r="E968" s="1"/>
    </row>
    <row r="969" spans="1:5" ht="13.2" x14ac:dyDescent="0.25">
      <c r="A969" s="1"/>
      <c r="B969" s="1"/>
      <c r="C969" s="1"/>
      <c r="D969" s="1"/>
      <c r="E969" s="1"/>
    </row>
    <row r="970" spans="1:5" ht="13.2" x14ac:dyDescent="0.25">
      <c r="A970" s="1"/>
      <c r="B970" s="1"/>
      <c r="C970" s="1"/>
      <c r="D970" s="1"/>
      <c r="E970" s="1"/>
    </row>
    <row r="971" spans="1:5" ht="13.2" x14ac:dyDescent="0.25">
      <c r="A971" s="1"/>
      <c r="B971" s="1"/>
      <c r="C971" s="1"/>
      <c r="D971" s="1"/>
      <c r="E971" s="1"/>
    </row>
    <row r="972" spans="1:5" ht="13.2" x14ac:dyDescent="0.25">
      <c r="A972" s="1"/>
      <c r="B972" s="1"/>
      <c r="C972" s="1"/>
      <c r="D972" s="1"/>
      <c r="E972" s="1"/>
    </row>
    <row r="973" spans="1:5" ht="13.2" x14ac:dyDescent="0.25">
      <c r="A973" s="1"/>
      <c r="B973" s="1"/>
      <c r="C973" s="1"/>
      <c r="D973" s="1"/>
      <c r="E973" s="1"/>
    </row>
    <row r="974" spans="1:5" ht="13.2" x14ac:dyDescent="0.25">
      <c r="A974" s="1"/>
      <c r="B974" s="1"/>
      <c r="C974" s="1"/>
      <c r="D974" s="1"/>
      <c r="E974" s="1"/>
    </row>
    <row r="975" spans="1:5" ht="13.2" x14ac:dyDescent="0.25">
      <c r="A975" s="1"/>
      <c r="B975" s="1"/>
      <c r="C975" s="1"/>
      <c r="D975" s="1"/>
      <c r="E975" s="1"/>
    </row>
    <row r="976" spans="1:5" ht="13.2" x14ac:dyDescent="0.25">
      <c r="A976" s="1"/>
      <c r="B976" s="1"/>
      <c r="C976" s="1"/>
      <c r="D976" s="1"/>
      <c r="E976" s="1"/>
    </row>
    <row r="977" spans="1:5" ht="13.2" x14ac:dyDescent="0.25">
      <c r="A977" s="1"/>
      <c r="B977" s="1"/>
      <c r="C977" s="1"/>
      <c r="D977" s="1"/>
      <c r="E977" s="1"/>
    </row>
    <row r="978" spans="1:5" ht="13.2" x14ac:dyDescent="0.25">
      <c r="A978" s="1"/>
      <c r="B978" s="1"/>
      <c r="C978" s="1"/>
      <c r="D978" s="1"/>
      <c r="E978" s="1"/>
    </row>
    <row r="979" spans="1:5" ht="13.2" x14ac:dyDescent="0.25">
      <c r="A979" s="1"/>
      <c r="B979" s="1"/>
      <c r="C979" s="1"/>
      <c r="D979" s="1"/>
      <c r="E979" s="1"/>
    </row>
    <row r="980" spans="1:5" ht="13.2" x14ac:dyDescent="0.25">
      <c r="A980" s="1"/>
      <c r="B980" s="1"/>
      <c r="C980" s="1"/>
      <c r="D980" s="1"/>
      <c r="E980" s="1"/>
    </row>
    <row r="981" spans="1:5" ht="13.2" x14ac:dyDescent="0.25">
      <c r="A981" s="1"/>
      <c r="B981" s="1"/>
      <c r="C981" s="1"/>
      <c r="D981" s="1"/>
      <c r="E981" s="1"/>
    </row>
    <row r="982" spans="1:5" ht="13.2" x14ac:dyDescent="0.25">
      <c r="A982" s="1"/>
      <c r="B982" s="1"/>
      <c r="C982" s="1"/>
      <c r="D982" s="1"/>
      <c r="E982" s="1"/>
    </row>
    <row r="983" spans="1:5" ht="13.2" x14ac:dyDescent="0.25">
      <c r="A983" s="1"/>
      <c r="B983" s="1"/>
      <c r="C983" s="1"/>
      <c r="D983" s="1"/>
      <c r="E983" s="1"/>
    </row>
    <row r="984" spans="1:5" ht="13.2" x14ac:dyDescent="0.25">
      <c r="A984" s="1"/>
      <c r="B984" s="1"/>
      <c r="C984" s="1"/>
      <c r="D984" s="1"/>
      <c r="E984" s="1"/>
    </row>
    <row r="985" spans="1:5" ht="13.2" x14ac:dyDescent="0.25">
      <c r="A985" s="1"/>
      <c r="B985" s="1"/>
      <c r="C985" s="1"/>
      <c r="D985" s="1"/>
      <c r="E985" s="1"/>
    </row>
    <row r="986" spans="1:5" ht="13.2" x14ac:dyDescent="0.25">
      <c r="A986" s="1"/>
      <c r="B986" s="1"/>
      <c r="C986" s="1"/>
      <c r="D986" s="1"/>
      <c r="E986" s="1"/>
    </row>
    <row r="987" spans="1:5" ht="13.2" x14ac:dyDescent="0.25">
      <c r="A987" s="1"/>
      <c r="B987" s="1"/>
      <c r="C987" s="1"/>
      <c r="D987" s="1"/>
      <c r="E987" s="1"/>
    </row>
  </sheetData>
  <phoneticPr fontId="5" type="noConversion"/>
  <hyperlinks>
    <hyperlink ref="B2" r:id="rId1" display="https://www.wionews.com/opinions-blogs/indian-cinema-is-not-just-hindi-cinema-as-language-barrier-comes-down-southern-movies-are-ready-to-dominate-433437"/>
    <hyperlink ref="B3" r:id="rId2" display="https://www.moneycontrol.com/news/trends/entertainment/omicron-strain-to-affect-film-business-indian-box-office-to-see-lag-in-recovery-7797671.html"/>
    <hyperlink ref="B4" r:id="rId3" display="https://theprint.in/opinion/bollywood-has-miles-to-go-before-it-can-produce-kaala-asuran-karnan-or-even-a-jai-bhim/768579/"/>
    <hyperlink ref="B5" r:id="rId4" display="https://foreignpolicy.com/2021/11/27/modi-bollywood-crackdown-muslims-hindu-nationalism/"/>
    <hyperlink ref="B6" r:id="rId5" display="https://timesofindia.indiatimes.com/entertainment/hindi/bollywood/news/actor-siddharth-stop-persecuting-the-film-industry/articleshow/88074511.cms"/>
    <hyperlink ref="B7" r:id="rId6" display="https://www.washingtonpost.com/opinions/2021/11/15/why-an-indian-films-success-box-office-should-worry-us-all/"/>
    <hyperlink ref="B9" r:id="rId7" display="https://www.livemint.com/industry/media/south-indian-stars-follow-bollywood-names-take-to-web-originals-11636617902409.html"/>
    <hyperlink ref="B10" r:id="rId8" display="https://www.news-leader.com/story/news/2021/05/29/roll-the-film-covid-19-disrupts-the-movie-industry-in-the-u-s-and-india/7454951002/"/>
    <hyperlink ref="B11" r:id="rId9" display="https://timesofindia.indiatimes.com/entertainment/hindi/bollywood/news/bigstory-bollywood-tollywood-kollywood-which-is-the-biggest-film-industry-of-all/articleshow/86300561.cms"/>
    <hyperlink ref="B12" r:id="rId10" display="https://fortune.com/2021/08/13/bollywood-india-covid-cinema-lockdown-film-industry-big-screen/"/>
    <hyperlink ref="B13" r:id="rId11" display="https://www.rfi.fr/en/culture/20210801-covid-19-crisis-hits-india-s-booming-film-industry-hard-bollywood-culture-television-economy"/>
    <hyperlink ref="B14" r:id="rId12" display="https://www.hindustantimes.com/india-news/veteran-kannada-film-actor-s-shivaram-dies-at-83-to-get-state-funeral-101638644117956.html"/>
    <hyperlink ref="B15" r:id="rId13" display="https://timesofindia.indiatimes.com/entertainment/tamil/movies/news/vijay-completes-29-years-in-films-fans-wish-thalapathy/articleshow/88092020.cms"/>
    <hyperlink ref="B16" r:id="rId14" display="https://www.dw.com/en/how-indias-covid-crisis-has-changed-bollywood/a-58291931"/>
    <hyperlink ref="B17" r:id="rId15" display="https://www.aljazeera.com/news/2021/11/5/india-cinema-bollywood-covid-new-releases-theatres"/>
    <hyperlink ref="B18" r:id="rId16" display="https://www.news18.com/news/movies/as-shekhar-kapur-turns-76-heres-looking-at-the-filmmakers-all-time-classics-4520435.html"/>
    <hyperlink ref="B19" r:id="rId17" display="https://theprint.in/opinion/all-political-talk-in-india-is-obsessing-over-2024-the-real-deal-is-2025/777341/"/>
    <hyperlink ref="B20" r:id="rId18" display="https://www.hollywoodreporter.com/business/business-news/bollywood-dealing-with-covid-crisis-1234950526/"/>
    <hyperlink ref="B21" r:id="rId19" display="https://www.telegraphindia.com/my-kolkata/people/i-want-both-critical-and-commercial-success-shraddha-das/cid/1841899"/>
    <hyperlink ref="B22" r:id="rId20" display="https://www.business-standard.com/podcast/current-affairs/film-industry-set-to-take-off-after-pandemic-pause-100-movies-in-4-months-121101401301_1.html"/>
    <hyperlink ref="B23" r:id="rId21" display="https://timesofindia.indiatimes.com/city/bhopal/bhopals-movie-date-screening-of-indian-cinemas-finest-films-at-6-day-ekagra-festival/articleshow/87925914.cms"/>
    <hyperlink ref="B24" r:id="rId22" display="https://www.livemint.com/industry/media/viacom18-studios-plans-return-to-big-ticket-films-11638784628242.html"/>
    <hyperlink ref="B25" r:id="rId23" display="https://www.hindustantimes.com/india-news/cinema-halls-can-t-sell-movie-tickets-under-new-andhra-law-only-govt-can-101637761163871.html"/>
    <hyperlink ref="B26" r:id="rId24" display="https://www.moneycontrol.com/news/trends/entertainment/indian-film-industry-may-see-70-drop-in-revenue-in-2021-as-lockdown-extends-in-many-states-6831971.html"/>
    <hyperlink ref="B27" r:id="rId25" display="https://www.cbc.ca/news/canada/first-person-bollywood-anti-muslim-rhetoric-1.6243077"/>
    <hyperlink ref="B28" r:id="rId26" display="https://www.wionews.com/entertainment/bollywood/news-chhorii-director-to-wion-weve-made-frivolous-attempts-at-horror-in-past-but-things-are-changing-433244"/>
    <hyperlink ref="B29" r:id="rId27" display="https://www.firstpost.com/entertainment/kartik-aaryan-on-dhamaka-success-im-more-confident-now-to-explore-content-driven-films-10188361.html"/>
    <hyperlink ref="B30" r:id="rId28" display="https://www.theatlantic.com/magazine/archive/2021/07/can-bollywood-survive-modi/619008/"/>
    <hyperlink ref="B31" r:id="rId29" display="https://indianexpress.com/article/entertainment/bollywood/films-delayed-losses-mount-hindi-film-industry-stares-at-slump-worse-than-2020-7253076/"/>
    <hyperlink ref="B32" r:id="rId30" display="https://www.moneycontrol.com/news/trends/entertainment/how-ott-saved-the-south-indian-film-industry-during-covid-7506431.html"/>
    <hyperlink ref="B33" r:id="rId31" display="https://english.mathrubhumi.com/movies-music/movie-news/after-kurup-i-developed-a-deep-connection-with-kerala-sobhita-dhulipala-malayalam-film-industry-1.6192746"/>
    <hyperlink ref="B34" r:id="rId32" display="https://www.livemint.com/industry/media/regional-cinema-could-overtake-hindi-films-in-box-office-collections-this-year-11630398397114.html"/>
    <hyperlink ref="B35" r:id="rId33" display="https://www.forbesindia.com/article/12th-anniversary-special/future-of-entertainmentindustry-needs-fresh-ideas-and-confident-risktakers-to-bring-cinema-audiences-back-siddharth-roy-kapur/67883/1"/>
    <hyperlink ref="B36" r:id="rId34" display="https://www.firstpost.com/entertainment/indian-entertainment-industry-suffered-24-percent-overall-decline-in-revenue-in-2020-due-to-pandemic-report-states-9710421.html"/>
    <hyperlink ref="B37" r:id="rId35" display="https://indianexpress.com/article/entertainment/telugu/pushpa-trailer-allu-arjun-fahadh-faasil-promise-an-epic-modern-day-battle-for-wealth-and-power-7659731/"/>
    <hyperlink ref="B38" r:id="rId36" display="https://www.businessinsider.in/advertising/media/article/immune-to-ott-the-future-of-indian-cinema/articleshow/83031089.cms"/>
    <hyperlink ref="B39" r:id="rId37" display="https://www.sundayguardianlive.com/culture/indian-cinema-north-south-divide"/>
    <hyperlink ref="B40" r:id="rId38" display="https://www.livemint.com/industry/media/overseas-markets-bring-hope-for-ailing-indian-film-industry-11620376671351.html"/>
    <hyperlink ref="B41" r:id="rId39" display="https://variety.com/2021/biz/news/india-media-industry-report-2021-rrr-sooryavanshi-1234938646/"/>
    <hyperlink ref="B42" r:id="rId40" display="https://www.aljazeera.com/economy/2020/5/1/coronavirus-india-film-industry-could-take-two-years-to-recover"/>
    <hyperlink ref="B43" r:id="rId41" display="https://www.newsgram.com/indian-film-industry"/>
    <hyperlink ref="B44" r:id="rId42" display="https://www.thehansindia.com/cinema/sandalwood/audience-ignore-omicron-threat-throng-to-watch-madagaja-718474"/>
    <hyperlink ref="B45" r:id="rId43" display="https://www.indiatoday.in/india-today-insight/story/covid-19-impact-malayalam-film-industry-in-trouble-1815648-2021-06-16"/>
    <hyperlink ref="B46" r:id="rId44" display="https://www.indiatoday.in/movies/regional-cinema/story/kannada-film-industry-to-celebrate-puneeth-rajkumar-with-a-special-event-on-nov-16-1876551-2021-11-14"/>
    <hyperlink ref="B47" r:id="rId45" display="https://www.einnews.com/pr_news/554190290/kurup-the-first-indian-movie-nft-exclusively-on-ammbr-one-of-the-fastest-growing-nft-marketplaces"/>
    <hyperlink ref="B48" r:id="rId46" display="https://www.livemint.com/industry/media/southern-film-industry-lost-rs-1-000-crore-during-covid-11625562104613.html"/>
    <hyperlink ref="B49" r:id="rId47" display="https://kulturehub.com/most-expensive-bollywood-films-2021/"/>
    <hyperlink ref="B50" r:id="rId48" display="https://www.livemint.com/industry/media/will-bollywood-s-bet-on-films-with-whopping-budgets-pay-off-11635239927111.html"/>
    <hyperlink ref="B51" r:id="rId49" display="https://www.theguardian.com/film/2021/jul/01/malayalam-cinema-covid-bollywood"/>
    <hyperlink ref="B52" r:id="rId50" display="https://www.business-standard.com/article/current-affairs/covid-ravaged-indian-cinema-s-plot-falters-will-take-years-to-pick-up-121042200007_1.html"/>
    <hyperlink ref="B53" r:id="rId51" display="https://www.economist.com/books-and-arts/2021/02/25/the-siege-of-bollywood"/>
    <hyperlink ref="B54" r:id="rId52" display="https://www.livemint.com/news/small-regional-film-industries-set-for-a-dark-future-as-losses-mount-11621751845279.html"/>
    <hyperlink ref="B55" r:id="rId53" display="https://www.bbc.co.uk/news/world-asia-india-59544599"/>
    <hyperlink ref="B56" r:id="rId54" display="https://www.firstpost.com/entertainment/how-south-indian-cinema-is-boosting-theatrical-business-post-covid-19-with-pan-indian-projects-9337621.html"/>
    <hyperlink ref="B57" r:id="rId55" display="https://indianexpress.com/article/explained/explained-how-bellbottom-theatrical-release-has-set-the-ball-rolling-for-films-in-coming-months-7472466/"/>
    <hyperlink ref="B58" r:id="rId56" display="https://www.fairobserver.com/region/central_south_asia/franthiesco-ballerini-bollywood-news-oscars-academy-awards-indian-film-industry-india-news-19290/"/>
    <hyperlink ref="B59" r:id="rId57" display="https://www.moneycontrol.com/news/trends/entertainment/down-with-covid-19-film-industry-eyes-release-of-two-bollywood-films-for-revival-7342591.htm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87"/>
  <sheetViews>
    <sheetView topLeftCell="A58" workbookViewId="0">
      <pane xSplit="2" topLeftCell="C1" activePane="topRight" state="frozen"/>
      <selection pane="topRight" activeCell="A4" sqref="A4"/>
    </sheetView>
  </sheetViews>
  <sheetFormatPr defaultColWidth="14.44140625" defaultRowHeight="15.75" customHeight="1" x14ac:dyDescent="0.25"/>
  <cols>
    <col min="1" max="1" width="23.33203125" style="8" customWidth="1"/>
    <col min="2" max="2" width="25.44140625" style="8" customWidth="1"/>
    <col min="3" max="4" width="37.33203125" style="8" customWidth="1"/>
    <col min="5" max="5" width="65.77734375" style="14" customWidth="1"/>
    <col min="6" max="16384" width="14.44140625" style="8"/>
  </cols>
  <sheetData>
    <row r="1" spans="1:5" ht="13.2" x14ac:dyDescent="0.25">
      <c r="A1" s="6" t="str">
        <f ca="1">IFERROR(__xludf.DUMMYFUNCTION("IMPORTFEED(""https://news.google.com/rss/search?q=&lt;South Korea movie industry&gt;"",""items"",True,70)"),"Title")</f>
        <v>Title</v>
      </c>
      <c r="B1" s="6" t="str">
        <f ca="1">IFERROR(__xludf.DUMMYFUNCTION("""COMPUTED_VALUE"""),"URL")</f>
        <v>URL</v>
      </c>
      <c r="C1" s="6" t="str">
        <f ca="1">IFERROR(__xludf.DUMMYFUNCTION("""COMPUTED_VALUE"""),"Date Created")</f>
        <v>Date Created</v>
      </c>
      <c r="D1" s="6" t="str">
        <f ca="1">IFERROR(__xludf.DUMMYFUNCTION("""COMPUTED_VALUE"""),"Summary")</f>
        <v>Summary</v>
      </c>
      <c r="E1" s="7" t="s">
        <v>113</v>
      </c>
    </row>
    <row r="2" spans="1:5" ht="37.5" customHeight="1" x14ac:dyDescent="0.25">
      <c r="A2" s="9" t="str">
        <f ca="1">IFERROR(__xludf.DUMMYFUNCTION("""COMPUTED_VALUE"""),"Is Squid Game the dawn of a TV revolution? - BBC News")</f>
        <v>Is Squid Game the dawn of a TV revolution? - BBC News</v>
      </c>
      <c r="B2" s="10" t="str">
        <f ca="1">IFERROR(__xludf.DUMMYFUNCTION("""COMPUTED_VALUE"""),"https://www.bbc.com/culture/article/20211206-is-squid-game-the-dawn-of-a-tv-revolution")</f>
        <v>https://www.bbc.com/culture/article/20211206-is-squid-game-the-dawn-of-a-tv-revolution</v>
      </c>
      <c r="C2" s="9" t="str">
        <f ca="1">IFERROR(__xludf.DUMMYFUNCTION("""COMPUTED_VALUE"""),"Tue, 07 Dec 2021 00:33:14 GMT")</f>
        <v>Tue, 07 Dec 2021 00:33:14 GMT</v>
      </c>
      <c r="D2" s="9" t="str">
        <f ca="1">IFERROR(__xludf.DUMMYFUNCTION("""COMPUTED_VALUE"""),"
   1. Is Squid Game the dawn of a TV revolution?  BBC News
   2. Korean Film Goes Global | Duke Today  Duke Today
   3. Why Squid Game Was Inevitable  Den of Geek
   4. ‘Squid Game’ popularity sends South Korean media stocks flying  
   NME.com
   5."&amp;" ‘Squid Game’ on Netflix reflects South Korea’s woes. But we should be 
   asking how many of ours it channels, too  The Seattle Times
   6. *View Full Coverage on Google News*
")</f>
        <v xml:space="preserve">
   1. Is Squid Game the dawn of a TV revolution?  BBC News
   2. Korean Film Goes Global | Duke Today  Duke Today
   3. Why Squid Game Was Inevitable  Den of Geek
   4. ‘Squid Game’ popularity sends South Korean media stocks flying  
   NME.com
   5. ‘Squid Game’ on Netflix reflects South Korea’s woes. But we should be 
   asking how many of ours it channels, too  The Seattle Times
   6. *View Full Coverage on Google News*
</v>
      </c>
      <c r="E2" s="11" t="s">
        <v>56</v>
      </c>
    </row>
    <row r="3" spans="1:5" ht="37.5" customHeight="1" x14ac:dyDescent="0.25">
      <c r="A3" s="9" t="str">
        <f ca="1">IFERROR(__xludf.DUMMYFUNCTION("""COMPUTED_VALUE"""),"Chinese audiences need time to adapt to return of South Korean films - Global Times")</f>
        <v>Chinese audiences need time to adapt to return of South Korean films - Global Times</v>
      </c>
      <c r="B3" s="10" t="str">
        <f ca="1">IFERROR(__xludf.DUMMYFUNCTION("""COMPUTED_VALUE"""),"https://www.globaltimes.cn/page/202112/1240699.shtml")</f>
        <v>https://www.globaltimes.cn/page/202112/1240699.shtml</v>
      </c>
      <c r="C3" s="9" t="str">
        <f ca="1">IFERROR(__xludf.DUMMYFUNCTION("""COMPUTED_VALUE"""),"Sun, 05 Dec 2021 10:17:00 GMT")</f>
        <v>Sun, 05 Dec 2021 10:17:00 GMT</v>
      </c>
      <c r="D3" s="9" t="str">
        <f ca="1">IFERROR(__xludf.DUMMYFUNCTION("""COMPUTED_VALUE"""),"Chinese audiences need time to adapt to return of South Korean films  Global 
Times")</f>
        <v>Chinese audiences need time to adapt to return of South Korean films  Global 
Times</v>
      </c>
      <c r="E3" s="11" t="s">
        <v>57</v>
      </c>
    </row>
    <row r="4" spans="1:5" ht="37.5" customHeight="1" x14ac:dyDescent="0.25">
      <c r="A4" s="9" t="str">
        <f ca="1">IFERROR(__xludf.DUMMYFUNCTION("""COMPUTED_VALUE"""),"Lesson of the Day: ‘From BTS to “Squid Game”: How South Korea Became a Cultural Juggernaut’ - The New York Times")</f>
        <v>Lesson of the Day: ‘From BTS to “Squid Game”: How South Korea Became a Cultural Juggernaut’ - The New York Times</v>
      </c>
      <c r="B4" s="10" t="str">
        <f ca="1">IFERROR(__xludf.DUMMYFUNCTION("""COMPUTED_VALUE"""),"https://www.nytimes.com/2021/11/11/learning/lesson-plans/lesson-of-the-day-from-bts-to-squid-game-how-south-korea-became-a-cultural-juggernaut.html")</f>
        <v>https://www.nytimes.com/2021/11/11/learning/lesson-plans/lesson-of-the-day-from-bts-to-squid-game-how-south-korea-became-a-cultural-juggernaut.html</v>
      </c>
      <c r="C4" s="9" t="str">
        <f ca="1">IFERROR(__xludf.DUMMYFUNCTION("""COMPUTED_VALUE"""),"Thu, 11 Nov 2021 08:00:00 GMT")</f>
        <v>Thu, 11 Nov 2021 08:00:00 GMT</v>
      </c>
      <c r="D4" s="9" t="str">
        <f ca="1">IFERROR(__xludf.DUMMYFUNCTION("""COMPUTED_VALUE"""),"Lesson of the Day: ‘From BTS to “Squid Game”: How South Korea Became a 
Cultural Juggernaut’  The New York Times")</f>
        <v>Lesson of the Day: ‘From BTS to “Squid Game”: How South Korea Became a 
Cultural Juggernaut’  The New York Times</v>
      </c>
      <c r="E4" s="11" t="s">
        <v>58</v>
      </c>
    </row>
    <row r="5" spans="1:5" ht="37.5" customHeight="1" x14ac:dyDescent="0.25">
      <c r="A5" s="9" t="str">
        <f ca="1">IFERROR(__xludf.DUMMYFUNCTION("""COMPUTED_VALUE"""),"Virus Deja Vu? Omicron Has Hollywood in Wait-and-See Mode - Hollywood Reporter")</f>
        <v>Virus Deja Vu? Omicron Has Hollywood in Wait-and-See Mode - Hollywood Reporter</v>
      </c>
      <c r="B5" s="10" t="str">
        <f ca="1">IFERROR(__xludf.DUMMYFUNCTION("""COMPUTED_VALUE"""),"https://www.hollywoodreporter.com/business/business-news/virus-deja-vu-omicron-has-hollywood-in-wait-and-see-mode-1235055261/")</f>
        <v>https://www.hollywoodreporter.com/business/business-news/virus-deja-vu-omicron-has-hollywood-in-wait-and-see-mode-1235055261/</v>
      </c>
      <c r="C5" s="9" t="str">
        <f ca="1">IFERROR(__xludf.DUMMYFUNCTION("""COMPUTED_VALUE"""),"Wed, 01 Dec 2021 13:16:17 GMT")</f>
        <v>Wed, 01 Dec 2021 13:16:17 GMT</v>
      </c>
      <c r="D5" s="9" t="str">
        <f ca="1">IFERROR(__xludf.DUMMYFUNCTION("""COMPUTED_VALUE"""),"Virus Deja Vu? Omicron Has Hollywood in Wait-and-See Mode  Hollywood 
Reporter")</f>
        <v>Virus Deja Vu? Omicron Has Hollywood in Wait-and-See Mode  Hollywood 
Reporter</v>
      </c>
      <c r="E5" s="11" t="s">
        <v>59</v>
      </c>
    </row>
    <row r="6" spans="1:5" ht="37.5" customHeight="1" x14ac:dyDescent="0.25">
      <c r="A6" s="9" t="str">
        <f ca="1">IFERROR(__xludf.DUMMYFUNCTION("""COMPUTED_VALUE"""),"Social media and universal appeal: How Korean culture grew from a regional to a global powerhouse - Fortune")</f>
        <v>Social media and universal appeal: How Korean culture grew from a regional to a global powerhouse - Fortune</v>
      </c>
      <c r="B6" s="10" t="str">
        <f ca="1">IFERROR(__xludf.DUMMYFUNCTION("""COMPUTED_VALUE"""),"https://fortune.com/2021/11/23/south-korea-culture-success-bts-kpop-netflix-kdrama-squid-game-ramon-pacheco-pardo/")</f>
        <v>https://fortune.com/2021/11/23/south-korea-culture-success-bts-kpop-netflix-kdrama-squid-game-ramon-pacheco-pardo/</v>
      </c>
      <c r="C6" s="9" t="str">
        <f ca="1">IFERROR(__xludf.DUMMYFUNCTION("""COMPUTED_VALUE"""),"Tue, 23 Nov 2021 08:00:00 GMT")</f>
        <v>Tue, 23 Nov 2021 08:00:00 GMT</v>
      </c>
      <c r="D6" s="9" t="str">
        <f ca="1">IFERROR(__xludf.DUMMYFUNCTION("""COMPUTED_VALUE"""),"Social media and universal appeal: How Korean culture grew from a regional 
to a global powerhouse  Fortune")</f>
        <v>Social media and universal appeal: How Korean culture grew from a regional 
to a global powerhouse  Fortune</v>
      </c>
      <c r="E6" s="11" t="s">
        <v>60</v>
      </c>
    </row>
    <row r="7" spans="1:5" ht="37.5" customHeight="1" x14ac:dyDescent="0.25">
      <c r="A7" s="9" t="str">
        <f ca="1">IFERROR(__xludf.DUMMYFUNCTION("""COMPUTED_VALUE"""),"Family's $4 Billion Bet Fuels Race for Korea's Next 'Squid Game' - Bloomberg")</f>
        <v>Family's $4 Billion Bet Fuels Race for Korea's Next 'Squid Game' - Bloomberg</v>
      </c>
      <c r="B7" s="10" t="str">
        <f ca="1">IFERROR(__xludf.DUMMYFUNCTION("""COMPUTED_VALUE"""),"https://www.bloomberg.com/news/articles/2021-11-15/family-s-4-billion-bet-fuels-race-for-korea-s-next-squid-game")</f>
        <v>https://www.bloomberg.com/news/articles/2021-11-15/family-s-4-billion-bet-fuels-race-for-korea-s-next-squid-game</v>
      </c>
      <c r="C7" s="9" t="str">
        <f ca="1">IFERROR(__xludf.DUMMYFUNCTION("""COMPUTED_VALUE"""),"Mon, 15 Nov 2021 08:00:00 GMT")</f>
        <v>Mon, 15 Nov 2021 08:00:00 GMT</v>
      </c>
      <c r="D7" s="9" t="str">
        <f ca="1">IFERROR(__xludf.DUMMYFUNCTION("""COMPUTED_VALUE"""),"Family's $4 Billion Bet Fuels Race for Korea's Next 'Squid Game'  Bloomberg")</f>
        <v>Family's $4 Billion Bet Fuels Race for Korea's Next 'Squid Game'  Bloomberg</v>
      </c>
      <c r="E7" s="11" t="s">
        <v>61</v>
      </c>
    </row>
    <row r="8" spans="1:5" ht="37.5" customHeight="1" x14ac:dyDescent="0.25">
      <c r="A8" s="9" t="str">
        <f ca="1">IFERROR(__xludf.DUMMYFUNCTION("""COMPUTED_VALUE"""),"As our planet reaches its boiling point, Hollywood needs to step up - The Maneater")</f>
        <v>As our planet reaches its boiling point, Hollywood needs to step up - The Maneater</v>
      </c>
      <c r="B8" s="12" t="str">
        <f ca="1">IFERROR(__xludf.DUMMYFUNCTION("""COMPUTED_VALUE"""),"https://themaneater.com/as-our-planet-reaches-its-boiling-point-hollywood-needs-to-step-up/")</f>
        <v>https://themaneater.com/as-our-planet-reaches-its-boiling-point-hollywood-needs-to-step-up/</v>
      </c>
      <c r="C8" s="9" t="str">
        <f ca="1">IFERROR(__xludf.DUMMYFUNCTION("""COMPUTED_VALUE"""),"Tue, 07 Dec 2021 00:36:57 GMT")</f>
        <v>Tue, 07 Dec 2021 00:36:57 GMT</v>
      </c>
      <c r="D8" s="9" t="str">
        <f ca="1">IFERROR(__xludf.DUMMYFUNCTION("""COMPUTED_VALUE"""),"As our planet reaches its boiling point, Hollywood needs to step up  The 
Maneater")</f>
        <v>As our planet reaches its boiling point, Hollywood needs to step up  The 
Maneater</v>
      </c>
      <c r="E8" s="13" t="s">
        <v>114</v>
      </c>
    </row>
    <row r="9" spans="1:5" ht="37.5" customHeight="1" x14ac:dyDescent="0.25">
      <c r="A9" s="9" t="str">
        <f ca="1">IFERROR(__xludf.DUMMYFUNCTION("""COMPUTED_VALUE"""),"The New Hollywood: South Korean Cinema Is Refreshingly Original and Genre-Bending - Fordham Observer")</f>
        <v>The New Hollywood: South Korean Cinema Is Refreshingly Original and Genre-Bending - Fordham Observer</v>
      </c>
      <c r="B9" s="10" t="str">
        <f ca="1">IFERROR(__xludf.DUMMYFUNCTION("""COMPUTED_VALUE"""),"https://fordhamobserver.com/63495/arts-and-culture/the-new-hollywood-south-korean-cinema-is-refreshingly-original-and-genre-bending/")</f>
        <v>https://fordhamobserver.com/63495/arts-and-culture/the-new-hollywood-south-korean-cinema-is-refreshingly-original-and-genre-bending/</v>
      </c>
      <c r="C9" s="9" t="str">
        <f ca="1">IFERROR(__xludf.DUMMYFUNCTION("""COMPUTED_VALUE"""),"Sat, 19 Jun 2021 07:00:00 GMT")</f>
        <v>Sat, 19 Jun 2021 07:00:00 GMT</v>
      </c>
      <c r="D9" s="9" t="str">
        <f ca="1">IFERROR(__xludf.DUMMYFUNCTION("""COMPUTED_VALUE"""),"The New Hollywood: South Korean Cinema Is Refreshingly Original and 
Genre-Bending  Fordham Observer")</f>
        <v>The New Hollywood: South Korean Cinema Is Refreshingly Original and 
Genre-Bending  Fordham Observer</v>
      </c>
      <c r="E9" s="11" t="s">
        <v>62</v>
      </c>
    </row>
    <row r="10" spans="1:5" ht="37.5" customHeight="1" x14ac:dyDescent="0.25">
      <c r="A10" s="9" t="str">
        <f ca="1">IFERROR(__xludf.DUMMYFUNCTION("""COMPUTED_VALUE"""),"‘Eternals’ Opening Gives Korea its Biggest Box Office Weekend of 2021 - Variety")</f>
        <v>‘Eternals’ Opening Gives Korea its Biggest Box Office Weekend of 2021 - Variety</v>
      </c>
      <c r="B10" s="10" t="str">
        <f ca="1">IFERROR(__xludf.DUMMYFUNCTION("""COMPUTED_VALUE"""),"https://variety.com/2021/film/asia/eternals-opening-at-korea-box-office-1235107117/")</f>
        <v>https://variety.com/2021/film/asia/eternals-opening-at-korea-box-office-1235107117/</v>
      </c>
      <c r="C10" s="9" t="str">
        <f ca="1">IFERROR(__xludf.DUMMYFUNCTION("""COMPUTED_VALUE"""),"Sun, 07 Nov 2021 07:00:00 GMT")</f>
        <v>Sun, 07 Nov 2021 07:00:00 GMT</v>
      </c>
      <c r="D10" s="9" t="str">
        <f ca="1">IFERROR(__xludf.DUMMYFUNCTION("""COMPUTED_VALUE"""),"‘Eternals’ Opening Gives Korea its Biggest Box Office Weekend of 2021  
Variety")</f>
        <v>‘Eternals’ Opening Gives Korea its Biggest Box Office Weekend of 2021  
Variety</v>
      </c>
      <c r="E10" s="11" t="s">
        <v>63</v>
      </c>
    </row>
    <row r="11" spans="1:5" ht="37.5" customHeight="1" x14ac:dyDescent="0.25">
      <c r="A11" s="9" t="str">
        <f ca="1">IFERROR(__xludf.DUMMYFUNCTION("""COMPUTED_VALUE"""),"South Korean film industry amplifies a new pop culture wave - Kulture Hub")</f>
        <v>South Korean film industry amplifies a new pop culture wave - Kulture Hub</v>
      </c>
      <c r="B11" s="10" t="str">
        <f ca="1">IFERROR(__xludf.DUMMYFUNCTION("""COMPUTED_VALUE"""),"https://kulturehub.com/south-korean-film-industry-new-wave/")</f>
        <v>https://kulturehub.com/south-korean-film-industry-new-wave/</v>
      </c>
      <c r="C11" s="9" t="str">
        <f ca="1">IFERROR(__xludf.DUMMYFUNCTION("""COMPUTED_VALUE"""),"Mon, 01 Feb 2021 08:00:00 GMT")</f>
        <v>Mon, 01 Feb 2021 08:00:00 GMT</v>
      </c>
      <c r="D11" s="9" t="str">
        <f ca="1">IFERROR(__xludf.DUMMYFUNCTION("""COMPUTED_VALUE"""),"South Korean film industry amplifies a new pop culture wave  Kulture Hub")</f>
        <v>South Korean film industry amplifies a new pop culture wave  Kulture Hub</v>
      </c>
      <c r="E11" s="11" t="s">
        <v>64</v>
      </c>
    </row>
    <row r="12" spans="1:5" ht="37.5" customHeight="1" x14ac:dyDescent="0.25">
      <c r="A12" s="9" t="str">
        <f ca="1">IFERROR(__xludf.DUMMYFUNCTION("""COMPUTED_VALUE"""),"The company that produced ‘Parasite’ has bought Endeavor’s scripted content arm. - The New York Times")</f>
        <v>The company that produced ‘Parasite’ has bought Endeavor’s scripted content arm. - The New York Times</v>
      </c>
      <c r="B12" s="10" t="str">
        <f ca="1">IFERROR(__xludf.DUMMYFUNCTION("""COMPUTED_VALUE"""),"https://www.nytimes.com/2021/11/19/business/media/endeavor-cj-enm.html")</f>
        <v>https://www.nytimes.com/2021/11/19/business/media/endeavor-cj-enm.html</v>
      </c>
      <c r="C12" s="9" t="str">
        <f ca="1">IFERROR(__xludf.DUMMYFUNCTION("""COMPUTED_VALUE"""),"Thu, 18 Nov 2021 08:00:00 GMT")</f>
        <v>Thu, 18 Nov 2021 08:00:00 GMT</v>
      </c>
      <c r="D12" s="9" t="str">
        <f ca="1">IFERROR(__xludf.DUMMYFUNCTION("""COMPUTED_VALUE"""),"The company that produced ‘Parasite’ has bought Endeavor’s scripted content 
arm.  The New York Times")</f>
        <v>The company that produced ‘Parasite’ has bought Endeavor’s scripted content 
arm.  The New York Times</v>
      </c>
      <c r="E12" s="11" t="s">
        <v>65</v>
      </c>
    </row>
    <row r="13" spans="1:5" ht="37.5" customHeight="1" x14ac:dyDescent="0.25">
      <c r="A13" s="9" t="str">
        <f ca="1">IFERROR(__xludf.DUMMYFUNCTION("""COMPUTED_VALUE"""),"Hollywood Innovations Group: New Lawsuit Accuses Netflix of Weaponizing Latest Technology to Steal Blockbuster Screenplay, Calls Streaming Giant's Business Practices into Question - Winchester Herald Chronicle")</f>
        <v>Hollywood Innovations Group: New Lawsuit Accuses Netflix of Weaponizing Latest Technology to Steal Blockbuster Screenplay, Calls Streaming Giant's Business Practices into Question - Winchester Herald Chronicle</v>
      </c>
      <c r="B13" s="10" t="str">
        <f ca="1">IFERROR(__xludf.DUMMYFUNCTION("""COMPUTED_VALUE"""),"https://www.heraldchronicle.com/news/business/hollywood-innovations-group-new-lawsuit-accuses-netflix-of-weaponizing-latest-technology-to-steal-blockbuster-screenplay/article_c3071b80-55e2-59da-bb03-61007831a7c1.html")</f>
        <v>https://www.heraldchronicle.com/news/business/hollywood-innovations-group-new-lawsuit-accuses-netflix-of-weaponizing-latest-technology-to-steal-blockbuster-screenplay/article_c3071b80-55e2-59da-bb03-61007831a7c1.html</v>
      </c>
      <c r="C13" s="9" t="str">
        <f ca="1">IFERROR(__xludf.DUMMYFUNCTION("""COMPUTED_VALUE"""),"Mon, 06 Dec 2021 19:28:57 GMT")</f>
        <v>Mon, 06 Dec 2021 19:28:57 GMT</v>
      </c>
      <c r="D13" s="9" t="str">
        <f ca="1">IFERROR(__xludf.DUMMYFUNCTION("""COMPUTED_VALUE"""),"Hollywood Innovations Group: New Lawsuit Accuses Netflix of Weaponizing 
Latest Technology to Steal Blockbuster Screenplay, Calls Streaming Giant's 
Business Practices into Question  Winchester Herald Chronicle")</f>
        <v>Hollywood Innovations Group: New Lawsuit Accuses Netflix of Weaponizing 
Latest Technology to Steal Blockbuster Screenplay, Calls Streaming Giant's 
Business Practices into Question  Winchester Herald Chronicle</v>
      </c>
      <c r="E13" s="11" t="s">
        <v>66</v>
      </c>
    </row>
    <row r="14" spans="1:5" ht="37.5" customHeight="1" x14ac:dyDescent="0.25">
      <c r="A14" s="9" t="str">
        <f ca="1">IFERROR(__xludf.DUMMYFUNCTION("""COMPUTED_VALUE"""),"Impact of 'Parasite' on the South Korean film industry - CitySpidey.com")</f>
        <v>Impact of 'Parasite' on the South Korean film industry - CitySpidey.com</v>
      </c>
      <c r="B14" s="10" t="str">
        <f ca="1">IFERROR(__xludf.DUMMYFUNCTION("""COMPUTED_VALUE"""),"https://www.cityspidey.com/news/14382/impact-of-parasite-on-the-south-korean-film-industry")</f>
        <v>https://www.cityspidey.com/news/14382/impact-of-parasite-on-the-south-korean-film-industry</v>
      </c>
      <c r="C14" s="9" t="str">
        <f ca="1">IFERROR(__xludf.DUMMYFUNCTION("""COMPUTED_VALUE"""),"Sun, 08 Aug 2021 07:00:00 GMT")</f>
        <v>Sun, 08 Aug 2021 07:00:00 GMT</v>
      </c>
      <c r="D14" s="9" t="str">
        <f ca="1">IFERROR(__xludf.DUMMYFUNCTION("""COMPUTED_VALUE"""),"Impact of 'Parasite' on the South Korean film industry  CitySpidey.com")</f>
        <v>Impact of 'Parasite' on the South Korean film industry  CitySpidey.com</v>
      </c>
      <c r="E14" s="11" t="s">
        <v>67</v>
      </c>
    </row>
    <row r="15" spans="1:5" ht="37.5" customHeight="1" x14ac:dyDescent="0.25">
      <c r="A15" s="9" t="str">
        <f ca="1">IFERROR(__xludf.DUMMYFUNCTION("""COMPUTED_VALUE"""),"Worth watching: The growing regional focus on film and TV production - Arab News")</f>
        <v>Worth watching: The growing regional focus on film and TV production - Arab News</v>
      </c>
      <c r="B15" s="10" t="str">
        <f ca="1">IFERROR(__xludf.DUMMYFUNCTION("""COMPUTED_VALUE"""),"https://www.arabnews.com/node/1979801")</f>
        <v>https://www.arabnews.com/node/1979801</v>
      </c>
      <c r="C15" s="9" t="str">
        <f ca="1">IFERROR(__xludf.DUMMYFUNCTION("""COMPUTED_VALUE"""),"Thu, 02 Dec 2021 18:04:48 GMT")</f>
        <v>Thu, 02 Dec 2021 18:04:48 GMT</v>
      </c>
      <c r="D15" s="9" t="str">
        <f ca="1">IFERROR(__xludf.DUMMYFUNCTION("""COMPUTED_VALUE"""),"Worth watching: The growing regional focus on film and TV production  Arab 
News")</f>
        <v>Worth watching: The growing regional focus on film and TV production  Arab 
News</v>
      </c>
      <c r="E15" s="11" t="s">
        <v>68</v>
      </c>
    </row>
    <row r="16" spans="1:5" ht="37.5" customHeight="1" x14ac:dyDescent="0.25">
      <c r="A16" s="9" t="str">
        <f ca="1">IFERROR(__xludf.DUMMYFUNCTION("""COMPUTED_VALUE"""),"‘Korean Film &amp; Tourism Festival’ in Dhaka to showcase Korean culture - Prothom Alo English")</f>
        <v>‘Korean Film &amp; Tourism Festival’ in Dhaka to showcase Korean culture - Prothom Alo English</v>
      </c>
      <c r="B16" s="10" t="str">
        <f ca="1">IFERROR(__xludf.DUMMYFUNCTION("""COMPUTED_VALUE"""),"https://en.prothomalo.com/entertainment/korean-film-tourism-festival-in-dhaka-to-showcase-korean-culture")</f>
        <v>https://en.prothomalo.com/entertainment/korean-film-tourism-festival-in-dhaka-to-showcase-korean-culture</v>
      </c>
      <c r="C16" s="9" t="str">
        <f ca="1">IFERROR(__xludf.DUMMYFUNCTION("""COMPUTED_VALUE"""),"Sat, 20 Nov 2021 06:17:37 GMT")</f>
        <v>Sat, 20 Nov 2021 06:17:37 GMT</v>
      </c>
      <c r="D16" s="9" t="str">
        <f ca="1">IFERROR(__xludf.DUMMYFUNCTION("""COMPUTED_VALUE"""),"‘Korean Film &amp; Tourism Festival’ in Dhaka to showcase Korean culture  Prothom 
Alo English")</f>
        <v>‘Korean Film &amp; Tourism Festival’ in Dhaka to showcase Korean culture  Prothom 
Alo English</v>
      </c>
      <c r="E16" s="11" t="s">
        <v>69</v>
      </c>
    </row>
    <row r="17" spans="1:5" ht="37.5" customHeight="1" x14ac:dyDescent="0.25">
      <c r="A17" s="9" t="str">
        <f ca="1">IFERROR(__xludf.DUMMYFUNCTION("""COMPUTED_VALUE"""),"Pandemic creates tough times for South Korea movie industry - Kyodo News Plus")</f>
        <v>Pandemic creates tough times for South Korea movie industry - Kyodo News Plus</v>
      </c>
      <c r="B17" s="10" t="str">
        <f ca="1">IFERROR(__xludf.DUMMYFUNCTION("""COMPUTED_VALUE"""),"https://english.kyodonews.net/news/2020/12/bf539bd7715f-pandemic-creates-tough-times-for-s-korea-movie-industry.html")</f>
        <v>https://english.kyodonews.net/news/2020/12/bf539bd7715f-pandemic-creates-tough-times-for-s-korea-movie-industry.html</v>
      </c>
      <c r="C17" s="9" t="str">
        <f ca="1">IFERROR(__xludf.DUMMYFUNCTION("""COMPUTED_VALUE"""),"Sat, 26 Dec 2020 08:00:00 GMT")</f>
        <v>Sat, 26 Dec 2020 08:00:00 GMT</v>
      </c>
      <c r="D17" s="9" t="str">
        <f ca="1">IFERROR(__xludf.DUMMYFUNCTION("""COMPUTED_VALUE"""),"Pandemic creates tough times for South Korea movie industry  Kyodo News Plus")</f>
        <v>Pandemic creates tough times for South Korea movie industry  Kyodo News Plus</v>
      </c>
      <c r="E17" s="11" t="s">
        <v>70</v>
      </c>
    </row>
    <row r="18" spans="1:5" ht="37.5" customHeight="1" x14ac:dyDescent="0.25">
      <c r="A18" s="9" t="str">
        <f ca="1">IFERROR(__xludf.DUMMYFUNCTION("""COMPUTED_VALUE"""),"Korean cinema professionals assess complex pandemic year - Screen International")</f>
        <v>Korean cinema professionals assess complex pandemic year - Screen International</v>
      </c>
      <c r="B18" s="10" t="str">
        <f ca="1">IFERROR(__xludf.DUMMYFUNCTION("""COMPUTED_VALUE"""),"https://www.screendaily.com/features/korean-cinema-professionals-assess-complex-pandemic-year/5158405.article")</f>
        <v>https://www.screendaily.com/features/korean-cinema-professionals-assess-complex-pandemic-year/5158405.article</v>
      </c>
      <c r="C18" s="9" t="str">
        <f ca="1">IFERROR(__xludf.DUMMYFUNCTION("""COMPUTED_VALUE"""),"Wed, 31 Mar 2021 07:00:00 GMT")</f>
        <v>Wed, 31 Mar 2021 07:00:00 GMT</v>
      </c>
      <c r="D18" s="9" t="str">
        <f ca="1">IFERROR(__xludf.DUMMYFUNCTION("""COMPUTED_VALUE"""),"Korean cinema professionals assess complex pandemic year  Screen 
International")</f>
        <v>Korean cinema professionals assess complex pandemic year  Screen 
International</v>
      </c>
      <c r="E18" s="11" t="s">
        <v>71</v>
      </c>
    </row>
    <row r="19" spans="1:5" ht="37.5" customHeight="1" x14ac:dyDescent="0.25">
      <c r="A19" s="9" t="str">
        <f ca="1">IFERROR(__xludf.DUMMYFUNCTION("""COMPUTED_VALUE"""),"(Yonhap Feature) Can S. Korea's film industry thrive in the post-pandemic era? - Yonhap News")</f>
        <v>(Yonhap Feature) Can S. Korea's film industry thrive in the post-pandemic era? - Yonhap News</v>
      </c>
      <c r="B19" s="10" t="str">
        <f ca="1">IFERROR(__xludf.DUMMYFUNCTION("""COMPUTED_VALUE"""),"https://en.yna.co.kr/view/AEN20210217009700315")</f>
        <v>https://en.yna.co.kr/view/AEN20210217009700315</v>
      </c>
      <c r="C19" s="9" t="str">
        <f ca="1">IFERROR(__xludf.DUMMYFUNCTION("""COMPUTED_VALUE"""),"Thu, 18 Feb 2021 08:00:00 GMT")</f>
        <v>Thu, 18 Feb 2021 08:00:00 GMT</v>
      </c>
      <c r="D19" s="9" t="str">
        <f ca="1">IFERROR(__xludf.DUMMYFUNCTION("""COMPUTED_VALUE"""),"(Yonhap Feature) Can S. Korea's film industry thrive in the post-pandemic 
era?  Yonhap News")</f>
        <v>(Yonhap Feature) Can S. Korea's film industry thrive in the post-pandemic 
era?  Yonhap News</v>
      </c>
      <c r="E19" s="11" t="s">
        <v>72</v>
      </c>
    </row>
    <row r="20" spans="1:5" ht="37.5" customHeight="1" x14ac:dyDescent="0.25">
      <c r="A20" s="9" t="str">
        <f ca="1">IFERROR(__xludf.DUMMYFUNCTION("""COMPUTED_VALUE"""),"Bifan forum debates post-Covid future for Korean film industry - Screen International")</f>
        <v>Bifan forum debates post-Covid future for Korean film industry - Screen International</v>
      </c>
      <c r="B20" s="10" t="str">
        <f ca="1">IFERROR(__xludf.DUMMYFUNCTION("""COMPUTED_VALUE"""),"https://www.screendaily.com/news/bifan-forum-debates-post-covid-future-for-korean-film-industry/5161727.article")</f>
        <v>https://www.screendaily.com/news/bifan-forum-debates-post-covid-future-for-korean-film-industry/5161727.article</v>
      </c>
      <c r="C20" s="9" t="str">
        <f ca="1">IFERROR(__xludf.DUMMYFUNCTION("""COMPUTED_VALUE"""),"Sun, 18 Jul 2021 07:00:00 GMT")</f>
        <v>Sun, 18 Jul 2021 07:00:00 GMT</v>
      </c>
      <c r="D20" s="9" t="str">
        <f ca="1">IFERROR(__xludf.DUMMYFUNCTION("""COMPUTED_VALUE"""),"Bifan forum debates post-Covid future for Korean film industry  Screen 
International")</f>
        <v>Bifan forum debates post-Covid future for Korean film industry  Screen 
International</v>
      </c>
      <c r="E20" s="11" t="s">
        <v>73</v>
      </c>
    </row>
    <row r="21" spans="1:5" ht="37.5" customHeight="1" x14ac:dyDescent="0.25">
      <c r="A21" s="9" t="str">
        <f ca="1">IFERROR(__xludf.DUMMYFUNCTION("""COMPUTED_VALUE"""),"S. Korean multiplexes still suffer from pandemic-inflicted losses in Q3 - The Korea Herald")</f>
        <v>S. Korean multiplexes still suffer from pandemic-inflicted losses in Q3 - The Korea Herald</v>
      </c>
      <c r="B21" s="10" t="str">
        <f ca="1">IFERROR(__xludf.DUMMYFUNCTION("""COMPUTED_VALUE"""),"http://www.koreaherald.com/view.php?ud=20211110000180")</f>
        <v>http://www.koreaherald.com/view.php?ud=20211110000180</v>
      </c>
      <c r="C21" s="9" t="str">
        <f ca="1">IFERROR(__xludf.DUMMYFUNCTION("""COMPUTED_VALUE"""),"Wed, 10 Nov 2021 08:00:00 GMT")</f>
        <v>Wed, 10 Nov 2021 08:00:00 GMT</v>
      </c>
      <c r="D21" s="9" t="str">
        <f ca="1">IFERROR(__xludf.DUMMYFUNCTION("""COMPUTED_VALUE"""),"S. Korean multiplexes still suffer from pandemic-inflicted losses in Q3  The 
Korea Herald")</f>
        <v>S. Korean multiplexes still suffer from pandemic-inflicted losses in Q3  The 
Korea Herald</v>
      </c>
      <c r="E21" s="11" t="s">
        <v>74</v>
      </c>
    </row>
    <row r="22" spans="1:5" ht="37.5" customHeight="1" x14ac:dyDescent="0.25">
      <c r="A22" s="9" t="str">
        <f ca="1">IFERROR(__xludf.DUMMYFUNCTION("""COMPUTED_VALUE"""),"The Rise of South Korean Cinema: A Brief History of the Country’s Excellent Film Industry, What to Watch ... - Hollywood Insider")</f>
        <v>The Rise of South Korean Cinema: A Brief History of the Country’s Excellent Film Industry, What to Watch ... - Hollywood Insider</v>
      </c>
      <c r="B22" s="10" t="str">
        <f ca="1">IFERROR(__xludf.DUMMYFUNCTION("""COMPUTED_VALUE"""),"https://www.hollywoodinsider.com/south-korean-cinema-movies-history-parasite/")</f>
        <v>https://www.hollywoodinsider.com/south-korean-cinema-movies-history-parasite/</v>
      </c>
      <c r="C22" s="9" t="str">
        <f ca="1">IFERROR(__xludf.DUMMYFUNCTION("""COMPUTED_VALUE"""),"Wed, 06 Jan 2021 08:00:00 GMT")</f>
        <v>Wed, 06 Jan 2021 08:00:00 GMT</v>
      </c>
      <c r="D22" s="9" t="str">
        <f ca="1">IFERROR(__xludf.DUMMYFUNCTION("""COMPUTED_VALUE"""),"The Rise of South Korean Cinema: A Brief History of the Country’s Excellent 
Film Industry, What to Watch ...  Hollywood Insider")</f>
        <v>The Rise of South Korean Cinema: A Brief History of the Country’s Excellent 
Film Industry, What to Watch ...  Hollywood Insider</v>
      </c>
      <c r="E22" s="11" t="s">
        <v>75</v>
      </c>
    </row>
    <row r="23" spans="1:5" ht="37.5" customHeight="1" x14ac:dyDescent="0.25">
      <c r="A23" s="9" t="str">
        <f ca="1">IFERROR(__xludf.DUMMYFUNCTION("""COMPUTED_VALUE"""),"Korean Films You Must See: A Guide to South Korea's Best Movies - Newsweek")</f>
        <v>Korean Films You Must See: A Guide to South Korea's Best Movies - Newsweek</v>
      </c>
      <c r="B23" s="10" t="str">
        <f ca="1">IFERROR(__xludf.DUMMYFUNCTION("""COMPUTED_VALUE"""),"https://www.newsweek.com/must-see-korean-films-guide-1619956")</f>
        <v>https://www.newsweek.com/must-see-korean-films-guide-1619956</v>
      </c>
      <c r="C23" s="9" t="str">
        <f ca="1">IFERROR(__xludf.DUMMYFUNCTION("""COMPUTED_VALUE"""),"Mon, 30 Aug 2021 07:00:00 GMT")</f>
        <v>Mon, 30 Aug 2021 07:00:00 GMT</v>
      </c>
      <c r="D23" s="9" t="str">
        <f ca="1">IFERROR(__xludf.DUMMYFUNCTION("""COMPUTED_VALUE"""),"Korean Films You Must See: A Guide to South Korea's Best Movies  Newsweek")</f>
        <v>Korean Films You Must See: A Guide to South Korea's Best Movies  Newsweek</v>
      </c>
      <c r="E23" s="11" t="s">
        <v>76</v>
      </c>
    </row>
    <row r="24" spans="1:5" ht="37.5" customHeight="1" x14ac:dyDescent="0.25">
      <c r="A24" s="9" t="str">
        <f ca="1">IFERROR(__xludf.DUMMYFUNCTION("""COMPUTED_VALUE"""),"Will drive-in theaters give film industry pandemic solace? - The Korea Herald")</f>
        <v>Will drive-in theaters give film industry pandemic solace? - The Korea Herald</v>
      </c>
      <c r="B24" s="10" t="str">
        <f ca="1">IFERROR(__xludf.DUMMYFUNCTION("""COMPUTED_VALUE"""),"http://www.koreaherald.com/view.php?ud=20210627000139")</f>
        <v>http://www.koreaherald.com/view.php?ud=20210627000139</v>
      </c>
      <c r="C24" s="9" t="str">
        <f ca="1">IFERROR(__xludf.DUMMYFUNCTION("""COMPUTED_VALUE"""),"Sun, 27 Jun 2021 07:00:00 GMT")</f>
        <v>Sun, 27 Jun 2021 07:00:00 GMT</v>
      </c>
      <c r="D24" s="9" t="str">
        <f ca="1">IFERROR(__xludf.DUMMYFUNCTION("""COMPUTED_VALUE"""),"Will drive-in theaters give film industry pandemic solace?  The Korea Herald")</f>
        <v>Will drive-in theaters give film industry pandemic solace?  The Korea Herald</v>
      </c>
      <c r="E24" s="11" t="s">
        <v>77</v>
      </c>
    </row>
    <row r="25" spans="1:5" ht="37.5" customHeight="1" x14ac:dyDescent="0.25">
      <c r="A25" s="9" t="str">
        <f ca="1">IFERROR(__xludf.DUMMYFUNCTION("""COMPUTED_VALUE"""),"More minority faces in film, TV, music as audiences demand diversity | amNewYork - amNY")</f>
        <v>More minority faces in film, TV, music as audiences demand diversity | amNewYork - amNY</v>
      </c>
      <c r="B25" s="12" t="str">
        <f ca="1">IFERROR(__xludf.DUMMYFUNCTION("""COMPUTED_VALUE"""),"https://www.amny.com/entertainment/more-minority-faces-in-film-tv-music-as-audiences-demand-diversity/")</f>
        <v>https://www.amny.com/entertainment/more-minority-faces-in-film-tv-music-as-audiences-demand-diversity/</v>
      </c>
      <c r="C25" s="9" t="str">
        <f ca="1">IFERROR(__xludf.DUMMYFUNCTION("""COMPUTED_VALUE"""),"Fri, 03 Dec 2021 13:00:29 GMT")</f>
        <v>Fri, 03 Dec 2021 13:00:29 GMT</v>
      </c>
      <c r="D25" s="9" t="str">
        <f ca="1">IFERROR(__xludf.DUMMYFUNCTION("""COMPUTED_VALUE"""),"More minority faces in film, TV, music as audiences demand diversity | 
amNewYork  amNY")</f>
        <v>More minority faces in film, TV, music as audiences demand diversity | 
amNewYork  amNY</v>
      </c>
      <c r="E25" s="11" t="s">
        <v>78</v>
      </c>
    </row>
    <row r="26" spans="1:5" ht="37.5" customHeight="1" x14ac:dyDescent="0.25">
      <c r="A26" s="9" t="str">
        <f ca="1">IFERROR(__xludf.DUMMYFUNCTION("""COMPUTED_VALUE"""),"South Korean cinema excels thanks to artistic boldness - Dong-A Ilbo")</f>
        <v>South Korean cinema excels thanks to artistic boldness - Dong-A Ilbo</v>
      </c>
      <c r="B26" s="10" t="str">
        <f ca="1">IFERROR(__xludf.DUMMYFUNCTION("""COMPUTED_VALUE"""),"https://www.donga.com/en/article/all/20211028/3012490/1")</f>
        <v>https://www.donga.com/en/article/all/20211028/3012490/1</v>
      </c>
      <c r="C26" s="9" t="str">
        <f ca="1">IFERROR(__xludf.DUMMYFUNCTION("""COMPUTED_VALUE"""),"Thu, 28 Oct 2021 07:00:00 GMT")</f>
        <v>Thu, 28 Oct 2021 07:00:00 GMT</v>
      </c>
      <c r="D26" s="9" t="str">
        <f ca="1">IFERROR(__xludf.DUMMYFUNCTION("""COMPUTED_VALUE"""),"South Korean cinema excels thanks to artistic boldness  Dong-A Ilbo")</f>
        <v>South Korean cinema excels thanks to artistic boldness  Dong-A Ilbo</v>
      </c>
      <c r="E26" s="11" t="s">
        <v>79</v>
      </c>
    </row>
    <row r="27" spans="1:5" ht="37.5" customHeight="1" x14ac:dyDescent="0.25">
      <c r="A27" s="9" t="str">
        <f ca="1">IFERROR(__xludf.DUMMYFUNCTION("""COMPUTED_VALUE"""),"South Korean Film Biz Sets Plans for Recovery and a Future That Will Be Significantly More Digital - Variety")</f>
        <v>South Korean Film Biz Sets Plans for Recovery and a Future That Will Be Significantly More Digital - Variety</v>
      </c>
      <c r="B27" s="10" t="str">
        <f ca="1">IFERROR(__xludf.DUMMYFUNCTION("""COMPUTED_VALUE"""),"https://variety.com/2021/film/spotlight/south-korea-1235017313/")</f>
        <v>https://variety.com/2021/film/spotlight/south-korea-1235017313/</v>
      </c>
      <c r="C27" s="9" t="str">
        <f ca="1">IFERROR(__xludf.DUMMYFUNCTION("""COMPUTED_VALUE"""),"Tue, 13 Jul 2021 07:00:00 GMT")</f>
        <v>Tue, 13 Jul 2021 07:00:00 GMT</v>
      </c>
      <c r="D27" s="9" t="str">
        <f ca="1">IFERROR(__xludf.DUMMYFUNCTION("""COMPUTED_VALUE"""),"South Korean Film Biz Sets Plans for Recovery and a Future That Will Be 
Significantly More Digital  Variety")</f>
        <v>South Korean Film Biz Sets Plans for Recovery and a Future That Will Be 
Significantly More Digital  Variety</v>
      </c>
      <c r="E27" s="11" t="s">
        <v>80</v>
      </c>
    </row>
    <row r="28" spans="1:5" ht="37.5" customHeight="1" x14ac:dyDescent="0.25">
      <c r="A28" s="9" t="str">
        <f ca="1">IFERROR(__xludf.DUMMYFUNCTION("""COMPUTED_VALUE"""),"How South Korean Cinema Has Come to Define Modern Cinema: From Bong Joon-ho to Park Chan-wook - Hollywood Insider")</f>
        <v>How South Korean Cinema Has Come to Define Modern Cinema: From Bong Joon-ho to Park Chan-wook - Hollywood Insider</v>
      </c>
      <c r="B28" s="10" t="str">
        <f ca="1">IFERROR(__xludf.DUMMYFUNCTION("""COMPUTED_VALUE"""),"https://www.hollywoodinsider.com/south-korean-cinema/")</f>
        <v>https://www.hollywoodinsider.com/south-korean-cinema/</v>
      </c>
      <c r="C28" s="9" t="str">
        <f ca="1">IFERROR(__xludf.DUMMYFUNCTION("""COMPUTED_VALUE"""),"Thu, 07 Oct 2021 07:00:00 GMT")</f>
        <v>Thu, 07 Oct 2021 07:00:00 GMT</v>
      </c>
      <c r="D28" s="9" t="str">
        <f ca="1">IFERROR(__xludf.DUMMYFUNCTION("""COMPUTED_VALUE"""),"How South Korean Cinema Has Come to Define Modern Cinema: From Bong Joon-ho 
to Park Chan-wook  Hollywood Insider")</f>
        <v>How South Korean Cinema Has Come to Define Modern Cinema: From Bong Joon-ho 
to Park Chan-wook  Hollywood Insider</v>
      </c>
      <c r="E28" s="11" t="s">
        <v>81</v>
      </c>
    </row>
    <row r="29" spans="1:5" ht="37.5" customHeight="1" x14ac:dyDescent="0.25">
      <c r="A29" s="9" t="str">
        <f ca="1">IFERROR(__xludf.DUMMYFUNCTION("""COMPUTED_VALUE"""),"KOFIC launches 2021 fund to support Korea's film industry through Covid crisis - Screen International")</f>
        <v>KOFIC launches 2021 fund to support Korea's film industry through Covid crisis - Screen International</v>
      </c>
      <c r="B29" s="10" t="str">
        <f ca="1">IFERROR(__xludf.DUMMYFUNCTION("""COMPUTED_VALUE"""),"https://www.screendaily.com/news/kofic-launches-2021-fund-to-support-koreas-film-industry-through-covid-crisis/5158884.article")</f>
        <v>https://www.screendaily.com/news/kofic-launches-2021-fund-to-support-koreas-film-industry-through-covid-crisis/5158884.article</v>
      </c>
      <c r="C29" s="9" t="str">
        <f ca="1">IFERROR(__xludf.DUMMYFUNCTION("""COMPUTED_VALUE"""),"Thu, 15 Apr 2021 07:00:00 GMT")</f>
        <v>Thu, 15 Apr 2021 07:00:00 GMT</v>
      </c>
      <c r="D29" s="9" t="str">
        <f ca="1">IFERROR(__xludf.DUMMYFUNCTION("""COMPUTED_VALUE"""),"KOFIC launches 2021 fund to support Korea's film industry through Covid 
crisis  Screen International")</f>
        <v>KOFIC launches 2021 fund to support Korea's film industry through Covid 
crisis  Screen International</v>
      </c>
      <c r="E29" s="11" t="s">
        <v>82</v>
      </c>
    </row>
    <row r="30" spans="1:5" ht="37.5" customHeight="1" x14ac:dyDescent="0.25">
      <c r="A30" s="9" t="str">
        <f ca="1">IFERROR(__xludf.DUMMYFUNCTION("""COMPUTED_VALUE"""),"Culture minister pledges support for pandemic-hit film industry - The Korea Herald")</f>
        <v>Culture minister pledges support for pandemic-hit film industry - The Korea Herald</v>
      </c>
      <c r="B30" s="10" t="str">
        <f ca="1">IFERROR(__xludf.DUMMYFUNCTION("""COMPUTED_VALUE"""),"http://www.koreaherald.com/view.php?ud=20210407000781")</f>
        <v>http://www.koreaherald.com/view.php?ud=20210407000781</v>
      </c>
      <c r="C30" s="9" t="str">
        <f ca="1">IFERROR(__xludf.DUMMYFUNCTION("""COMPUTED_VALUE"""),"Wed, 07 Apr 2021 07:00:00 GMT")</f>
        <v>Wed, 07 Apr 2021 07:00:00 GMT</v>
      </c>
      <c r="D30" s="9" t="str">
        <f ca="1">IFERROR(__xludf.DUMMYFUNCTION("""COMPUTED_VALUE"""),"Culture minister pledges support for pandemic-hit film industry  The Korea 
Herald")</f>
        <v>Culture minister pledges support for pandemic-hit film industry  The Korea 
Herald</v>
      </c>
      <c r="E30" s="11" t="s">
        <v>83</v>
      </c>
    </row>
    <row r="31" spans="1:5" ht="37.5" customHeight="1" x14ac:dyDescent="0.25">
      <c r="A31" s="9" t="str">
        <f ca="1">IFERROR(__xludf.DUMMYFUNCTION("""COMPUTED_VALUE"""),"South Korea Unveils Movie Theater Relief Amid Virus Crisis - Hollywood Reporter")</f>
        <v>South Korea Unveils Movie Theater Relief Amid Virus Crisis - Hollywood Reporter</v>
      </c>
      <c r="B31" s="10" t="str">
        <f ca="1">IFERROR(__xludf.DUMMYFUNCTION("""COMPUTED_VALUE"""),"https://www.hollywoodreporter.com/business/business-news/south-korea-unveils-coronavirus-support-film-industry-1288148/")</f>
        <v>https://www.hollywoodreporter.com/business/business-news/south-korea-unveils-coronavirus-support-film-industry-1288148/</v>
      </c>
      <c r="C31" s="9" t="str">
        <f ca="1">IFERROR(__xludf.DUMMYFUNCTION("""COMPUTED_VALUE"""),"Thu, 02 Apr 2020 07:00:00 GMT")</f>
        <v>Thu, 02 Apr 2020 07:00:00 GMT</v>
      </c>
      <c r="D31" s="9" t="str">
        <f ca="1">IFERROR(__xludf.DUMMYFUNCTION("""COMPUTED_VALUE"""),"South Korea Unveils Movie Theater Relief Amid Virus Crisis  Hollywood 
Reporter")</f>
        <v>South Korea Unveils Movie Theater Relief Amid Virus Crisis  Hollywood 
Reporter</v>
      </c>
      <c r="E31" s="11" t="s">
        <v>84</v>
      </c>
    </row>
    <row r="32" spans="1:5" ht="37.5" customHeight="1" x14ac:dyDescent="0.25">
      <c r="A32" s="9" t="str">
        <f ca="1">IFERROR(__xludf.DUMMYFUNCTION("""COMPUTED_VALUE"""),"A Sad Day in South Korea | The Seoul Cinema Will Close after 42 Years of Operation - Hollywood Insider")</f>
        <v>A Sad Day in South Korea | The Seoul Cinema Will Close after 42 Years of Operation - Hollywood Insider</v>
      </c>
      <c r="B32" s="10" t="str">
        <f ca="1">IFERROR(__xludf.DUMMYFUNCTION("""COMPUTED_VALUE"""),"https://www.hollywoodinsider.com/the-seoul-cinema-closing/")</f>
        <v>https://www.hollywoodinsider.com/the-seoul-cinema-closing/</v>
      </c>
      <c r="C32" s="9" t="str">
        <f ca="1">IFERROR(__xludf.DUMMYFUNCTION("""COMPUTED_VALUE"""),"Wed, 14 Jul 2021 07:00:00 GMT")</f>
        <v>Wed, 14 Jul 2021 07:00:00 GMT</v>
      </c>
      <c r="D32" s="9" t="str">
        <f ca="1">IFERROR(__xludf.DUMMYFUNCTION("""COMPUTED_VALUE"""),"A Sad Day in South Korea | The Seoul Cinema Will Close after 42 Years of 
Operation  Hollywood Insider")</f>
        <v>A Sad Day in South Korea | The Seoul Cinema Will Close after 42 Years of 
Operation  Hollywood Insider</v>
      </c>
      <c r="E32" s="11" t="s">
        <v>85</v>
      </c>
    </row>
    <row r="33" spans="1:5" ht="37.5" customHeight="1" x14ac:dyDescent="0.25">
      <c r="A33" s="9" t="str">
        <f ca="1">IFERROR(__xludf.DUMMYFUNCTION("""COMPUTED_VALUE"""),"Korean Cultural Center New York and the Korean Film Council announces THE ACTOR IS PRESENT exhibition highlighting 200 representative Korean actors of today - PRNewswire")</f>
        <v>Korean Cultural Center New York and the Korean Film Council announces THE ACTOR IS PRESENT exhibition highlighting 200 representative Korean actors of today - PRNewswire</v>
      </c>
      <c r="B33" s="10" t="str">
        <f ca="1">IFERROR(__xludf.DUMMYFUNCTION("""COMPUTED_VALUE"""),"https://www.prnewswire.com/news-releases/korean-cultural-center-new-york-and-the-korean-film-council-announces-the-actor-is-present-exhibition-highlighting-200-representative-korean-actors-of-today-301359844.html")</f>
        <v>https://www.prnewswire.com/news-releases/korean-cultural-center-new-york-and-the-korean-film-council-announces-the-actor-is-present-exhibition-highlighting-200-representative-korean-actors-of-today-301359844.html</v>
      </c>
      <c r="C33" s="9" t="str">
        <f ca="1">IFERROR(__xludf.DUMMYFUNCTION("""COMPUTED_VALUE"""),"Fri, 20 Aug 2021 07:00:00 GMT")</f>
        <v>Fri, 20 Aug 2021 07:00:00 GMT</v>
      </c>
      <c r="D33" s="9" t="str">
        <f ca="1">IFERROR(__xludf.DUMMYFUNCTION("""COMPUTED_VALUE"""),"Korean Cultural Center New York and the Korean Film Council announces THE 
ACTOR IS PRESENT exhibition highlighting 200 representative Korean actors 
of today  PRNewswire")</f>
        <v>Korean Cultural Center New York and the Korean Film Council announces THE 
ACTOR IS PRESENT exhibition highlighting 200 representative Korean actors 
of today  PRNewswire</v>
      </c>
      <c r="E33" s="11" t="s">
        <v>86</v>
      </c>
    </row>
    <row r="34" spans="1:5" ht="37.5" customHeight="1" x14ac:dyDescent="0.25">
      <c r="A34" s="9" t="str">
        <f ca="1">IFERROR(__xludf.DUMMYFUNCTION("""COMPUTED_VALUE"""),"Pandemic-hit movie theaters complain of screen quota - Yonhap News")</f>
        <v>Pandemic-hit movie theaters complain of screen quota - Yonhap News</v>
      </c>
      <c r="B34" s="10" t="str">
        <f ca="1">IFERROR(__xludf.DUMMYFUNCTION("""COMPUTED_VALUE"""),"https://en.yna.co.kr/view/AEN20210716005400315")</f>
        <v>https://en.yna.co.kr/view/AEN20210716005400315</v>
      </c>
      <c r="C34" s="9" t="str">
        <f ca="1">IFERROR(__xludf.DUMMYFUNCTION("""COMPUTED_VALUE"""),"Fri, 16 Jul 2021 07:00:00 GMT")</f>
        <v>Fri, 16 Jul 2021 07:00:00 GMT</v>
      </c>
      <c r="D34" s="9" t="str">
        <f ca="1">IFERROR(__xludf.DUMMYFUNCTION("""COMPUTED_VALUE"""),"Pandemic-hit movie theaters complain of screen quota  Yonhap News")</f>
        <v>Pandemic-hit movie theaters complain of screen quota  Yonhap News</v>
      </c>
      <c r="E34" s="11" t="s">
        <v>87</v>
      </c>
    </row>
    <row r="35" spans="1:5" ht="37.5" customHeight="1" x14ac:dyDescent="0.25">
      <c r="A35" s="9" t="str">
        <f ca="1">IFERROR(__xludf.DUMMYFUNCTION("""COMPUTED_VALUE"""),"Korean Film Industry Struggles to Balance ‘New Normal’ and Social Distancing - Variety")</f>
        <v>Korean Film Industry Struggles to Balance ‘New Normal’ and Social Distancing - Variety</v>
      </c>
      <c r="B35" s="10" t="str">
        <f ca="1">IFERROR(__xludf.DUMMYFUNCTION("""COMPUTED_VALUE"""),"https://variety.com/2020/film/asia/korean-film-industry-struggling-new-normal-social-distancing-1234643759/")</f>
        <v>https://variety.com/2020/film/asia/korean-film-industry-struggling-new-normal-social-distancing-1234643759/</v>
      </c>
      <c r="C35" s="9" t="str">
        <f ca="1">IFERROR(__xludf.DUMMYFUNCTION("""COMPUTED_VALUE"""),"Thu, 25 Jun 2020 07:00:00 GMT")</f>
        <v>Thu, 25 Jun 2020 07:00:00 GMT</v>
      </c>
      <c r="D35" s="9" t="str">
        <f ca="1">IFERROR(__xludf.DUMMYFUNCTION("""COMPUTED_VALUE"""),"Korean Film Industry Struggles to Balance ‘New Normal’ and Social Distancing
  Variety")</f>
        <v>Korean Film Industry Struggles to Balance ‘New Normal’ and Social Distancing
  Variety</v>
      </c>
      <c r="E35" s="11" t="s">
        <v>88</v>
      </c>
    </row>
    <row r="36" spans="1:5" ht="37.5" customHeight="1" x14ac:dyDescent="0.25">
      <c r="A36" s="9" t="str">
        <f ca="1">IFERROR(__xludf.DUMMYFUNCTION("""COMPUTED_VALUE"""),"The history and rise of South Korean cinema - Iowa State Daily")</f>
        <v>The history and rise of South Korean cinema - Iowa State Daily</v>
      </c>
      <c r="B36" s="10" t="str">
        <f ca="1">IFERROR(__xludf.DUMMYFUNCTION("""COMPUTED_VALUE"""),"https://www.iowastatedaily.com/limelight/south-korean-cinmea-history-rise-bong-joon-ho-parasite/article_41a33cee-58dd-11ea-bc6f-6f24315bee03.html")</f>
        <v>https://www.iowastatedaily.com/limelight/south-korean-cinmea-history-rise-bong-joon-ho-parasite/article_41a33cee-58dd-11ea-bc6f-6f24315bee03.html</v>
      </c>
      <c r="C36" s="9" t="str">
        <f ca="1">IFERROR(__xludf.DUMMYFUNCTION("""COMPUTED_VALUE"""),"Wed, 26 Feb 2020 08:00:00 GMT")</f>
        <v>Wed, 26 Feb 2020 08:00:00 GMT</v>
      </c>
      <c r="D36" s="9" t="str">
        <f ca="1">IFERROR(__xludf.DUMMYFUNCTION("""COMPUTED_VALUE"""),"The history and rise of South Korean cinema  Iowa State Daily")</f>
        <v>The history and rise of South Korean cinema  Iowa State Daily</v>
      </c>
      <c r="E36" s="11" t="s">
        <v>89</v>
      </c>
    </row>
    <row r="37" spans="1:5" ht="37.5" customHeight="1" x14ac:dyDescent="0.25">
      <c r="A37" s="9" t="str">
        <f ca="1">IFERROR(__xludf.DUMMYFUNCTION("""COMPUTED_VALUE"""),"Korean hit films set to be remade in US, Spain - The Korea Herald")</f>
        <v>Korean hit films set to be remade in US, Spain - The Korea Herald</v>
      </c>
      <c r="B37" s="10" t="str">
        <f ca="1">IFERROR(__xludf.DUMMYFUNCTION("""COMPUTED_VALUE"""),"http://m.koreaherald.com/view.php?ud=20210819000672")</f>
        <v>http://m.koreaherald.com/view.php?ud=20210819000672</v>
      </c>
      <c r="C37" s="9" t="str">
        <f ca="1">IFERROR(__xludf.DUMMYFUNCTION("""COMPUTED_VALUE"""),"Thu, 19 Aug 2021 07:00:00 GMT")</f>
        <v>Thu, 19 Aug 2021 07:00:00 GMT</v>
      </c>
      <c r="D37" s="9" t="str">
        <f ca="1">IFERROR(__xludf.DUMMYFUNCTION("""COMPUTED_VALUE"""),"Korean hit films set to be remade in US, Spain  The Korea Herald")</f>
        <v>Korean hit films set to be remade in US, Spain  The Korea Herald</v>
      </c>
      <c r="E37" s="11" t="s">
        <v>90</v>
      </c>
    </row>
    <row r="38" spans="1:5" ht="37.5" customHeight="1" x14ac:dyDescent="0.25">
      <c r="A38" s="9" t="str">
        <f ca="1">IFERROR(__xludf.DUMMYFUNCTION("""COMPUTED_VALUE"""),"S. Korean film industry people shine at Oscars for second year in a row - Yonhap News")</f>
        <v>S. Korean film industry people shine at Oscars for second year in a row - Yonhap News</v>
      </c>
      <c r="B38" s="10" t="str">
        <f ca="1">IFERROR(__xludf.DUMMYFUNCTION("""COMPUTED_VALUE"""),"https://en.yna.co.kr/view/AEN20210423003700315")</f>
        <v>https://en.yna.co.kr/view/AEN20210423003700315</v>
      </c>
      <c r="C38" s="9" t="str">
        <f ca="1">IFERROR(__xludf.DUMMYFUNCTION("""COMPUTED_VALUE"""),"Mon, 26 Apr 2021 07:00:00 GMT")</f>
        <v>Mon, 26 Apr 2021 07:00:00 GMT</v>
      </c>
      <c r="D38" s="9" t="str">
        <f ca="1">IFERROR(__xludf.DUMMYFUNCTION("""COMPUTED_VALUE"""),"S. Korean film industry people shine at Oscars for second year in a row  Yonhap 
News")</f>
        <v>S. Korean film industry people shine at Oscars for second year in a row  Yonhap 
News</v>
      </c>
      <c r="E38" s="11" t="s">
        <v>91</v>
      </c>
    </row>
    <row r="39" spans="1:5" ht="37.5" customHeight="1" x14ac:dyDescent="0.25">
      <c r="A39" s="9" t="str">
        <f ca="1">IFERROR(__xludf.DUMMYFUNCTION("""COMPUTED_VALUE"""),"18 Best Korean Movies 2021 — Top South Korean Films to Stream - TownandCountrymag.com")</f>
        <v>18 Best Korean Movies 2021 — Top South Korean Films to Stream - TownandCountrymag.com</v>
      </c>
      <c r="B39" s="10" t="str">
        <f ca="1">IFERROR(__xludf.DUMMYFUNCTION("""COMPUTED_VALUE"""),"https://www.townandcountrymag.com/leisure/arts-and-culture/g35003897/best-korean-movies/")</f>
        <v>https://www.townandcountrymag.com/leisure/arts-and-culture/g35003897/best-korean-movies/</v>
      </c>
      <c r="C39" s="9" t="str">
        <f ca="1">IFERROR(__xludf.DUMMYFUNCTION("""COMPUTED_VALUE"""),"Sat, 20 Feb 2021 08:00:00 GMT")</f>
        <v>Sat, 20 Feb 2021 08:00:00 GMT</v>
      </c>
      <c r="D39" s="9" t="str">
        <f ca="1">IFERROR(__xludf.DUMMYFUNCTION("""COMPUTED_VALUE"""),"18 Best Korean Movies 2021 — Top South Korean Films to Stream  
TownandCountrymag.com")</f>
        <v>18 Best Korean Movies 2021 — Top South Korean Films to Stream  
TownandCountrymag.com</v>
      </c>
      <c r="E39" s="11" t="s">
        <v>92</v>
      </c>
    </row>
    <row r="40" spans="1:5" ht="37.5" customHeight="1" x14ac:dyDescent="0.25">
      <c r="A40" s="9" t="str">
        <f ca="1">IFERROR(__xludf.DUMMYFUNCTION("""COMPUTED_VALUE"""),"Revenue of S. Korean Film Industry Forecast to Hit Record Low in 2020 - The Korea Bizwire")</f>
        <v>Revenue of S. Korean Film Industry Forecast to Hit Record Low in 2020 - The Korea Bizwire</v>
      </c>
      <c r="B40" s="10" t="str">
        <f ca="1">IFERROR(__xludf.DUMMYFUNCTION("""COMPUTED_VALUE"""),"http://koreabizwire.com/revenue-of-s-korean-film-industry-forecast-to-hit-record-low-in-2020/176904")</f>
        <v>http://koreabizwire.com/revenue-of-s-korean-film-industry-forecast-to-hit-record-low-in-2020/176904</v>
      </c>
      <c r="C40" s="9" t="str">
        <f ca="1">IFERROR(__xludf.DUMMYFUNCTION("""COMPUTED_VALUE"""),"Mon, 14 Dec 2020 08:00:00 GMT")</f>
        <v>Mon, 14 Dec 2020 08:00:00 GMT</v>
      </c>
      <c r="D40" s="9" t="str">
        <f ca="1">IFERROR(__xludf.DUMMYFUNCTION("""COMPUTED_VALUE"""),"Revenue of S. Korean Film Industry Forecast to Hit Record Low in 2020  The 
Korea Bizwire")</f>
        <v>Revenue of S. Korean Film Industry Forecast to Hit Record Low in 2020  The 
Korea Bizwire</v>
      </c>
      <c r="E40" s="11" t="s">
        <v>93</v>
      </c>
    </row>
    <row r="41" spans="1:5" ht="37.5" customHeight="1" x14ac:dyDescent="0.25">
      <c r="A41" s="9" t="str">
        <f ca="1">IFERROR(__xludf.DUMMYFUNCTION("""COMPUTED_VALUE"""),"Prabhas to not romance South Korean actress Song Hye-Kyo in Spirit - Tollywood")</f>
        <v>Prabhas to not romance South Korean actress Song Hye-Kyo in Spirit - Tollywood</v>
      </c>
      <c r="B41" s="12" t="str">
        <f ca="1">IFERROR(__xludf.DUMMYFUNCTION("""COMPUTED_VALUE"""),"https://www.tollywood.net/prabhas-to-not-romance-south-korean-actress-song-hye-kyo-in-spirit/")</f>
        <v>https://www.tollywood.net/prabhas-to-not-romance-south-korean-actress-song-hye-kyo-in-spirit/</v>
      </c>
      <c r="C41" s="9" t="str">
        <f ca="1">IFERROR(__xludf.DUMMYFUNCTION("""COMPUTED_VALUE"""),"Thu, 11 Nov 2021 08:00:00 GMT")</f>
        <v>Thu, 11 Nov 2021 08:00:00 GMT</v>
      </c>
      <c r="D41" s="9" t="str">
        <f ca="1">IFERROR(__xludf.DUMMYFUNCTION("""COMPUTED_VALUE"""),"Prabhas to not romance South Korean actress Song Hye-Kyo in Spirit  
Tollywood")</f>
        <v>Prabhas to not romance South Korean actress Song Hye-Kyo in Spirit  
Tollywood</v>
      </c>
      <c r="E41" s="11" t="s">
        <v>94</v>
      </c>
    </row>
    <row r="42" spans="1:5" ht="37.5" customHeight="1" x14ac:dyDescent="0.25">
      <c r="A42" s="9" t="str">
        <f ca="1">IFERROR(__xludf.DUMMYFUNCTION("""COMPUTED_VALUE"""),"S. Korean theaters brace for normalcy after protracted COVID-19 pandemic - The Korea Herald")</f>
        <v>S. Korean theaters brace for normalcy after protracted COVID-19 pandemic - The Korea Herald</v>
      </c>
      <c r="B42" s="10" t="str">
        <f ca="1">IFERROR(__xludf.DUMMYFUNCTION("""COMPUTED_VALUE"""),"http://www.koreaherald.com/view.php?ud=20211101000342")</f>
        <v>http://www.koreaherald.com/view.php?ud=20211101000342</v>
      </c>
      <c r="C42" s="9" t="str">
        <f ca="1">IFERROR(__xludf.DUMMYFUNCTION("""COMPUTED_VALUE"""),"Mon, 01 Nov 2021 07:00:00 GMT")</f>
        <v>Mon, 01 Nov 2021 07:00:00 GMT</v>
      </c>
      <c r="D42" s="9" t="str">
        <f ca="1">IFERROR(__xludf.DUMMYFUNCTION("""COMPUTED_VALUE"""),"S. Korean theaters brace for normalcy after protracted COVID-19 pandemic  The 
Korea Herald")</f>
        <v>S. Korean theaters brace for normalcy after protracted COVID-19 pandemic  The 
Korea Herald</v>
      </c>
      <c r="E42" s="11" t="s">
        <v>95</v>
      </c>
    </row>
    <row r="43" spans="1:5" ht="37.5" customHeight="1" x14ac:dyDescent="0.25">
      <c r="A43" s="9" t="str">
        <f ca="1">IFERROR(__xludf.DUMMYFUNCTION("""COMPUTED_VALUE"""),"S. Korean movie industry mogul Lee dies - The Korea Herald")</f>
        <v>S. Korean movie industry mogul Lee dies - The Korea Herald</v>
      </c>
      <c r="B43" s="10" t="str">
        <f ca="1">IFERROR(__xludf.DUMMYFUNCTION("""COMPUTED_VALUE"""),"http://www.koreaherald.com/view.php?ud=20211024000206")</f>
        <v>http://www.koreaherald.com/view.php?ud=20211024000206</v>
      </c>
      <c r="C43" s="9" t="str">
        <f ca="1">IFERROR(__xludf.DUMMYFUNCTION("""COMPUTED_VALUE"""),"Sun, 24 Oct 2021 07:00:00 GMT")</f>
        <v>Sun, 24 Oct 2021 07:00:00 GMT</v>
      </c>
      <c r="D43" s="9" t="str">
        <f ca="1">IFERROR(__xludf.DUMMYFUNCTION("""COMPUTED_VALUE"""),"S. Korean movie industry mogul Lee dies  The Korea Herald")</f>
        <v>S. Korean movie industry mogul Lee dies  The Korea Herald</v>
      </c>
      <c r="E43" s="11" t="s">
        <v>96</v>
      </c>
    </row>
    <row r="44" spans="1:5" ht="37.5" customHeight="1" x14ac:dyDescent="0.25">
      <c r="A44" s="9" t="str">
        <f ca="1">IFERROR(__xludf.DUMMYFUNCTION("""COMPUTED_VALUE"""),"More Korean film productions join multinational projects - The Korea Herald")</f>
        <v>More Korean film productions join multinational projects - The Korea Herald</v>
      </c>
      <c r="B44" s="10" t="str">
        <f ca="1">IFERROR(__xludf.DUMMYFUNCTION("""COMPUTED_VALUE"""),"http://www.koreaherald.com/view.php?ud=20210707000930")</f>
        <v>http://www.koreaherald.com/view.php?ud=20210707000930</v>
      </c>
      <c r="C44" s="9" t="str">
        <f ca="1">IFERROR(__xludf.DUMMYFUNCTION("""COMPUTED_VALUE"""),"Wed, 07 Jul 2021 07:00:00 GMT")</f>
        <v>Wed, 07 Jul 2021 07:00:00 GMT</v>
      </c>
      <c r="D44" s="9" t="str">
        <f ca="1">IFERROR(__xludf.DUMMYFUNCTION("""COMPUTED_VALUE"""),"More Korean film productions join multinational projects  The Korea Herald")</f>
        <v>More Korean film productions join multinational projects  The Korea Herald</v>
      </c>
      <c r="E44" s="11" t="s">
        <v>97</v>
      </c>
    </row>
    <row r="45" spans="1:5" ht="37.5" customHeight="1" x14ac:dyDescent="0.25">
      <c r="A45" s="9" t="str">
        <f ca="1">IFERROR(__xludf.DUMMYFUNCTION("""COMPUTED_VALUE"""),"Top 10 South Korean Films Of The 21st Century - Top 10 Films")</f>
        <v>Top 10 South Korean Films Of The 21st Century - Top 10 Films</v>
      </c>
      <c r="B45" s="10" t="str">
        <f ca="1">IFERROR(__xludf.DUMMYFUNCTION("""COMPUTED_VALUE"""),"https://www.top10films.co.uk/67468-top-10-south-korean-films-of-the-21st-century/")</f>
        <v>https://www.top10films.co.uk/67468-top-10-south-korean-films-of-the-21st-century/</v>
      </c>
      <c r="C45" s="9" t="str">
        <f ca="1">IFERROR(__xludf.DUMMYFUNCTION("""COMPUTED_VALUE"""),"Sun, 10 Oct 2021 07:00:00 GMT")</f>
        <v>Sun, 10 Oct 2021 07:00:00 GMT</v>
      </c>
      <c r="D45" s="9" t="str">
        <f ca="1">IFERROR(__xludf.DUMMYFUNCTION("""COMPUTED_VALUE"""),"Top 10 South Korean Films Of The 21st Century  Top 10 Films")</f>
        <v>Top 10 South Korean Films Of The 21st Century  Top 10 Films</v>
      </c>
      <c r="E45" s="11" t="s">
        <v>98</v>
      </c>
    </row>
    <row r="46" spans="1:5" ht="37.5" customHeight="1" x14ac:dyDescent="0.25">
      <c r="A46" s="9" t="str">
        <f ca="1">IFERROR(__xludf.DUMMYFUNCTION("""COMPUTED_VALUE"""),"More than 70% of women in film biz experience sexual violence, harassment’ - The Korea Herald")</f>
        <v>More than 70% of women in film biz experience sexual violence, harassment’ - The Korea Herald</v>
      </c>
      <c r="B46" s="10" t="str">
        <f ca="1">IFERROR(__xludf.DUMMYFUNCTION("""COMPUTED_VALUE"""),"http://www.koreaherald.com/view.php?ud=20210323001048")</f>
        <v>http://www.koreaherald.com/view.php?ud=20210323001048</v>
      </c>
      <c r="C46" s="9" t="str">
        <f ca="1">IFERROR(__xludf.DUMMYFUNCTION("""COMPUTED_VALUE"""),"Tue, 23 Mar 2021 07:00:00 GMT")</f>
        <v>Tue, 23 Mar 2021 07:00:00 GMT</v>
      </c>
      <c r="D46" s="9" t="str">
        <f ca="1">IFERROR(__xludf.DUMMYFUNCTION("""COMPUTED_VALUE"""),"More than 70% of women in film biz experience sexual violence, harassment’
  The Korea Herald")</f>
        <v>More than 70% of women in film biz experience sexual violence, harassment’
  The Korea Herald</v>
      </c>
      <c r="E46" s="11" t="s">
        <v>99</v>
      </c>
    </row>
    <row r="47" spans="1:5" ht="37.5" customHeight="1" x14ac:dyDescent="0.25">
      <c r="A47" s="9" t="str">
        <f ca="1">IFERROR(__xludf.DUMMYFUNCTION("""COMPUTED_VALUE"""),"South Korean Box Office Sales Slump During the Coronavirus Pandemic - Voice of America")</f>
        <v>South Korean Box Office Sales Slump During the Coronavirus Pandemic - Voice of America</v>
      </c>
      <c r="B47" s="10" t="str">
        <f ca="1">IFERROR(__xludf.DUMMYFUNCTION("""COMPUTED_VALUE"""),"https://www.voanews.com/a/covid-19-pandemic_south-korean-box-office-sales-slump-during-coronavirus-pandemic/6191112.html")</f>
        <v>https://www.voanews.com/a/covid-19-pandemic_south-korean-box-office-sales-slump-during-coronavirus-pandemic/6191112.html</v>
      </c>
      <c r="C47" s="9" t="str">
        <f ca="1">IFERROR(__xludf.DUMMYFUNCTION("""COMPUTED_VALUE"""),"Mon, 15 Jun 2020 07:00:00 GMT")</f>
        <v>Mon, 15 Jun 2020 07:00:00 GMT</v>
      </c>
      <c r="D47" s="9" t="str">
        <f ca="1">IFERROR(__xludf.DUMMYFUNCTION("""COMPUTED_VALUE"""),"South Korean Box Office Sales Slump During the Coronavirus Pandemic  Voice 
of America")</f>
        <v>South Korean Box Office Sales Slump During the Coronavirus Pandemic  Voice 
of America</v>
      </c>
      <c r="E47" s="11" t="s">
        <v>100</v>
      </c>
    </row>
    <row r="48" spans="1:5" ht="37.5" customHeight="1" x14ac:dyDescent="0.25">
      <c r="A48" s="9" t="str">
        <f ca="1">IFERROR(__xludf.DUMMYFUNCTION("""COMPUTED_VALUE"""),"COVID-19 worsens existing problems in film industry - The Korea Herald")</f>
        <v>COVID-19 worsens existing problems in film industry - The Korea Herald</v>
      </c>
      <c r="B48" s="10" t="str">
        <f ca="1">IFERROR(__xludf.DUMMYFUNCTION("""COMPUTED_VALUE"""),"http://www.koreaherald.com/view.php?ud=20200812000909")</f>
        <v>http://www.koreaherald.com/view.php?ud=20200812000909</v>
      </c>
      <c r="C48" s="9" t="str">
        <f ca="1">IFERROR(__xludf.DUMMYFUNCTION("""COMPUTED_VALUE"""),"Thu, 13 Aug 2020 07:00:00 GMT")</f>
        <v>Thu, 13 Aug 2020 07:00:00 GMT</v>
      </c>
      <c r="D48" s="9" t="str">
        <f ca="1">IFERROR(__xludf.DUMMYFUNCTION("""COMPUTED_VALUE"""),"COVID-19 worsens existing problems in film industry  The Korea Herald")</f>
        <v>COVID-19 worsens existing problems in film industry  The Korea Herald</v>
      </c>
      <c r="E48" s="11" t="s">
        <v>101</v>
      </c>
    </row>
    <row r="49" spans="1:5" ht="37.5" customHeight="1" x14ac:dyDescent="0.25">
      <c r="A49" s="9" t="str">
        <f ca="1">IFERROR(__xludf.DUMMYFUNCTION("""COMPUTED_VALUE"""),"A new wave of Korean filmmakers are tackling sexual violence through cinema - i-D")</f>
        <v>A new wave of Korean filmmakers are tackling sexual violence through cinema - i-D</v>
      </c>
      <c r="B49" s="10" t="str">
        <f ca="1">IFERROR(__xludf.DUMMYFUNCTION("""COMPUTED_VALUE"""),"https://i-d.vice.com/en_uk/article/akdg4p/london-korean-film-festival-new-wave-of-female-directors-tackling-sexual-violence")</f>
        <v>https://i-d.vice.com/en_uk/article/akdg4p/london-korean-film-festival-new-wave-of-female-directors-tackling-sexual-violence</v>
      </c>
      <c r="C49" s="9" t="str">
        <f ca="1">IFERROR(__xludf.DUMMYFUNCTION("""COMPUTED_VALUE"""),"Tue, 10 Nov 2020 08:00:00 GMT")</f>
        <v>Tue, 10 Nov 2020 08:00:00 GMT</v>
      </c>
      <c r="D49" s="9" t="str">
        <f ca="1">IFERROR(__xludf.DUMMYFUNCTION("""COMPUTED_VALUE"""),"A new wave of Korean filmmakers are tackling sexual violence through cinema
  i-D")</f>
        <v>A new wave of Korean filmmakers are tackling sexual violence through cinema
  i-D</v>
      </c>
      <c r="E49" s="11" t="s">
        <v>102</v>
      </c>
    </row>
    <row r="50" spans="1:5" ht="37.5" customHeight="1" x14ac:dyDescent="0.25">
      <c r="A50" s="9" t="str">
        <f ca="1">IFERROR(__xludf.DUMMYFUNCTION("""COMPUTED_VALUE"""),"The Rise Of K-Drama: A Competitor For Hollywood? - Impact Magazine")</f>
        <v>The Rise Of K-Drama: A Competitor For Hollywood? - Impact Magazine</v>
      </c>
      <c r="B50" s="10" t="str">
        <f ca="1">IFERROR(__xludf.DUMMYFUNCTION("""COMPUTED_VALUE"""),"https://impactnottingham.com/2021/10/the-rise-of-k-drama-a-competitor-for-hollywood/")</f>
        <v>https://impactnottingham.com/2021/10/the-rise-of-k-drama-a-competitor-for-hollywood/</v>
      </c>
      <c r="C50" s="9" t="str">
        <f ca="1">IFERROR(__xludf.DUMMYFUNCTION("""COMPUTED_VALUE"""),"Sat, 09 Oct 2021 07:00:00 GMT")</f>
        <v>Sat, 09 Oct 2021 07:00:00 GMT</v>
      </c>
      <c r="D50" s="9" t="str">
        <f ca="1">IFERROR(__xludf.DUMMYFUNCTION("""COMPUTED_VALUE"""),"The Rise Of K-Drama: A Competitor For Hollywood?  Impact Magazine")</f>
        <v>The Rise Of K-Drama: A Competitor For Hollywood?  Impact Magazine</v>
      </c>
      <c r="E50" s="11" t="s">
        <v>103</v>
      </c>
    </row>
    <row r="51" spans="1:5" ht="37.5" customHeight="1" x14ac:dyDescent="0.25">
      <c r="A51" s="9" t="str">
        <f ca="1">IFERROR(__xludf.DUMMYFUNCTION("""COMPUTED_VALUE"""),"An Oscar for Parasite? The global rise of South Korean film - The Conversation UK")</f>
        <v>An Oscar for Parasite? The global rise of South Korean film - The Conversation UK</v>
      </c>
      <c r="B51" s="10" t="str">
        <f ca="1">IFERROR(__xludf.DUMMYFUNCTION("""COMPUTED_VALUE"""),"https://theconversation.com/an-oscar-for-parasite-the-global-rise-of-south-korean-film-128595")</f>
        <v>https://theconversation.com/an-oscar-for-parasite-the-global-rise-of-south-korean-film-128595</v>
      </c>
      <c r="C51" s="9" t="str">
        <f ca="1">IFERROR(__xludf.DUMMYFUNCTION("""COMPUTED_VALUE"""),"Fri, 17 Jan 2020 08:00:00 GMT")</f>
        <v>Fri, 17 Jan 2020 08:00:00 GMT</v>
      </c>
      <c r="D51" s="9" t="str">
        <f ca="1">IFERROR(__xludf.DUMMYFUNCTION("""COMPUTED_VALUE"""),"An Oscar for Parasite? The global rise of South Korean film  The 
Conversation UK")</f>
        <v>An Oscar for Parasite? The global rise of South Korean film  The 
Conversation UK</v>
      </c>
      <c r="E51" s="11" t="s">
        <v>104</v>
      </c>
    </row>
    <row r="52" spans="1:5" ht="37.5" customHeight="1" x14ac:dyDescent="0.25">
      <c r="A52" s="9" t="str">
        <f ca="1">IFERROR(__xludf.DUMMYFUNCTION("""COMPUTED_VALUE"""),"Busan International Film Festival Prepares for a Post-Pandemic Makeover - Hollywood Reporter")</f>
        <v>Busan International Film Festival Prepares for a Post-Pandemic Makeover - Hollywood Reporter</v>
      </c>
      <c r="B52" s="10" t="str">
        <f ca="1">IFERROR(__xludf.DUMMYFUNCTION("""COMPUTED_VALUE"""),"https://www.hollywoodreporter.com/movies/movie-features/busan-international-film-festival-post-covid-market-1235011544/")</f>
        <v>https://www.hollywoodreporter.com/movies/movie-features/busan-international-film-festival-post-covid-market-1235011544/</v>
      </c>
      <c r="C52" s="9" t="str">
        <f ca="1">IFERROR(__xludf.DUMMYFUNCTION("""COMPUTED_VALUE"""),"Sun, 12 Sep 2021 07:00:00 GMT")</f>
        <v>Sun, 12 Sep 2021 07:00:00 GMT</v>
      </c>
      <c r="D52" s="9" t="str">
        <f ca="1">IFERROR(__xludf.DUMMYFUNCTION("""COMPUTED_VALUE"""),"Busan International Film Festival Prepares for a Post-Pandemic Makeover  Hollywood 
Reporter")</f>
        <v>Busan International Film Festival Prepares for a Post-Pandemic Makeover  Hollywood 
Reporter</v>
      </c>
      <c r="E52" s="11" t="s">
        <v>105</v>
      </c>
    </row>
    <row r="53" spans="1:5" ht="184.8" x14ac:dyDescent="0.25">
      <c r="A53" s="9" t="str">
        <f ca="1">IFERROR(__xludf.DUMMYFUNCTION("""COMPUTED_VALUE"""),"15 Best Korean Movies on Netflix (September 2021) - Collider.com")</f>
        <v>15 Best Korean Movies on Netflix (September 2021) - Collider.com</v>
      </c>
      <c r="B53" s="10" t="str">
        <f ca="1">IFERROR(__xludf.DUMMYFUNCTION("""COMPUTED_VALUE"""),"https://collider.com/best-korean-movies-on-netflix/")</f>
        <v>https://collider.com/best-korean-movies-on-netflix/</v>
      </c>
      <c r="C53" s="9" t="str">
        <f ca="1">IFERROR(__xludf.DUMMYFUNCTION("""COMPUTED_VALUE"""),"Sat, 11 Sep 2021 07:00:00 GMT")</f>
        <v>Sat, 11 Sep 2021 07:00:00 GMT</v>
      </c>
      <c r="D53" s="9" t="str">
        <f ca="1">IFERROR(__xludf.DUMMYFUNCTION("""COMPUTED_VALUE"""),"15 Best Korean Movies on Netflix (September 2021)  Collider.com")</f>
        <v>15 Best Korean Movies on Netflix (September 2021)  Collider.com</v>
      </c>
      <c r="E53" s="11" t="s">
        <v>106</v>
      </c>
    </row>
    <row r="54" spans="1:5" ht="37.5" customHeight="1" x14ac:dyDescent="0.25">
      <c r="A54" s="9" t="str">
        <f ca="1">IFERROR(__xludf.DUMMYFUNCTION("""COMPUTED_VALUE"""),"How South Korea's box office is coming back from the dead - Screen International")</f>
        <v>How South Korea's box office is coming back from the dead - Screen International</v>
      </c>
      <c r="B54" s="10" t="str">
        <f ca="1">IFERROR(__xludf.DUMMYFUNCTION("""COMPUTED_VALUE"""),"https://www.screendaily.com/features/how-south-koreas-box-office-is-coming-back-from-the-dead/5151252.article")</f>
        <v>https://www.screendaily.com/features/how-south-koreas-box-office-is-coming-back-from-the-dead/5151252.article</v>
      </c>
      <c r="C54" s="9" t="str">
        <f ca="1">IFERROR(__xludf.DUMMYFUNCTION("""COMPUTED_VALUE"""),"Thu, 02 Jul 2020 07:00:00 GMT")</f>
        <v>Thu, 02 Jul 2020 07:00:00 GMT</v>
      </c>
      <c r="D54" s="9" t="str">
        <f ca="1">IFERROR(__xludf.DUMMYFUNCTION("""COMPUTED_VALUE"""),"How South Korea's box office is coming back from the dead  Screen 
International")</f>
        <v>How South Korea's box office is coming back from the dead  Screen 
International</v>
      </c>
      <c r="E54" s="11" t="s">
        <v>107</v>
      </c>
    </row>
    <row r="55" spans="1:5" ht="37.5" customHeight="1" x14ac:dyDescent="0.25">
      <c r="A55" s="9" t="str">
        <f ca="1">IFERROR(__xludf.DUMMYFUNCTION("""COMPUTED_VALUE"""),"How South Korea Dramas Took Over Your TV in 2021 - ELLE.com")</f>
        <v>How South Korea Dramas Took Over Your TV in 2021 - ELLE.com</v>
      </c>
      <c r="B55" s="10" t="str">
        <f ca="1">IFERROR(__xludf.DUMMYFUNCTION("""COMPUTED_VALUE"""),"https://www.elle.com/culture/movies-tv/a37293494/korean-drama-renaissance-explained/")</f>
        <v>https://www.elle.com/culture/movies-tv/a37293494/korean-drama-renaissance-explained/</v>
      </c>
      <c r="C55" s="9" t="str">
        <f ca="1">IFERROR(__xludf.DUMMYFUNCTION("""COMPUTED_VALUE"""),"Tue, 17 Aug 2021 07:00:00 GMT")</f>
        <v>Tue, 17 Aug 2021 07:00:00 GMT</v>
      </c>
      <c r="D55" s="9" t="str">
        <f ca="1">IFERROR(__xludf.DUMMYFUNCTION("""COMPUTED_VALUE"""),"How South Korea Dramas Took Over Your TV in 2021  ELLE.com")</f>
        <v>How South Korea Dramas Took Over Your TV in 2021  ELLE.com</v>
      </c>
      <c r="E55" s="11" t="s">
        <v>108</v>
      </c>
    </row>
    <row r="56" spans="1:5" ht="37.5" customHeight="1" x14ac:dyDescent="0.25">
      <c r="A56" s="9" t="str">
        <f ca="1">IFERROR(__xludf.DUMMYFUNCTION("""COMPUTED_VALUE"""),"Distribution Revolution About to Overtake South Korea’s Film Industry - Variety")</f>
        <v>Distribution Revolution About to Overtake South Korea’s Film Industry - Variety</v>
      </c>
      <c r="B56" s="10" t="str">
        <f ca="1">IFERROR(__xludf.DUMMYFUNCTION("""COMPUTED_VALUE"""),"https://variety.com/2018/biz/news/train-to-busan-kofic-1202801537-1202801537/")</f>
        <v>https://variety.com/2018/biz/news/train-to-busan-kofic-1202801537-1202801537/</v>
      </c>
      <c r="C56" s="9" t="str">
        <f ca="1">IFERROR(__xludf.DUMMYFUNCTION("""COMPUTED_VALUE"""),"Wed, 09 May 2018 07:00:00 GMT")</f>
        <v>Wed, 09 May 2018 07:00:00 GMT</v>
      </c>
      <c r="D56" s="9" t="str">
        <f ca="1">IFERROR(__xludf.DUMMYFUNCTION("""COMPUTED_VALUE"""),"Distribution Revolution About to Overtake South Korea’s Film Industry  
Variety")</f>
        <v>Distribution Revolution About to Overtake South Korea’s Film Industry  
Variety</v>
      </c>
      <c r="E56" s="11" t="s">
        <v>109</v>
      </c>
    </row>
    <row r="57" spans="1:5" ht="37.5" customHeight="1" x14ac:dyDescent="0.25">
      <c r="A57" s="9" t="str">
        <f ca="1">IFERROR(__xludf.DUMMYFUNCTION("""COMPUTED_VALUE"""),"South Korea's 'Squid Game Economy' Could End Badly - Forbes")</f>
        <v>South Korea's 'Squid Game Economy' Could End Badly - Forbes</v>
      </c>
      <c r="B57" s="10" t="str">
        <f ca="1">IFERROR(__xludf.DUMMYFUNCTION("""COMPUTED_VALUE"""),"https://www.forbes.com/sites/williampesek/2021/10/22/south-koreas-squid-game-economy-could-end-badly/")</f>
        <v>https://www.forbes.com/sites/williampesek/2021/10/22/south-koreas-squid-game-economy-could-end-badly/</v>
      </c>
      <c r="C57" s="9" t="str">
        <f ca="1">IFERROR(__xludf.DUMMYFUNCTION("""COMPUTED_VALUE"""),"Fri, 22 Oct 2021 07:00:00 GMT")</f>
        <v>Fri, 22 Oct 2021 07:00:00 GMT</v>
      </c>
      <c r="D57" s="9" t="str">
        <f ca="1">IFERROR(__xludf.DUMMYFUNCTION("""COMPUTED_VALUE"""),"South Korea's 'Squid Game Economy' Could End Badly  Forbes")</f>
        <v>South Korea's 'Squid Game Economy' Could End Badly  Forbes</v>
      </c>
      <c r="E57" s="11" t="s">
        <v>110</v>
      </c>
    </row>
    <row r="58" spans="1:5" ht="37.5" customHeight="1" x14ac:dyDescent="0.25">
      <c r="A58" s="9" t="str">
        <f ca="1">IFERROR(__xludf.DUMMYFUNCTION("""COMPUTED_VALUE"""),"In music and film, a new Korean wave is challenging Asian stereotypes - The Conversation CA")</f>
        <v>In music and film, a new Korean wave is challenging Asian stereotypes - The Conversation CA</v>
      </c>
      <c r="B58" s="10" t="str">
        <f ca="1">IFERROR(__xludf.DUMMYFUNCTION("""COMPUTED_VALUE"""),"https://theconversation.com/in-music-and-film-a-new-korean-wave-is-challenging-asian-stereotypes-158757")</f>
        <v>https://theconversation.com/in-music-and-film-a-new-korean-wave-is-challenging-asian-stereotypes-158757</v>
      </c>
      <c r="C58" s="9" t="str">
        <f ca="1">IFERROR(__xludf.DUMMYFUNCTION("""COMPUTED_VALUE"""),"Sun, 30 May 2021 07:00:00 GMT")</f>
        <v>Sun, 30 May 2021 07:00:00 GMT</v>
      </c>
      <c r="D58" s="9" t="str">
        <f ca="1">IFERROR(__xludf.DUMMYFUNCTION("""COMPUTED_VALUE"""),"In music and film, a new Korean wave is challenging Asian stereotypes  The 
Conversation CA")</f>
        <v>In music and film, a new Korean wave is challenging Asian stereotypes  The 
Conversation CA</v>
      </c>
      <c r="E58" s="11" t="s">
        <v>111</v>
      </c>
    </row>
    <row r="59" spans="1:5" ht="37.5" customHeight="1" x14ac:dyDescent="0.25">
      <c r="A59" s="9" t="str">
        <f ca="1">IFERROR(__xludf.DUMMYFUNCTION("""COMPUTED_VALUE"""),"South Korea’s Busan Festival Opens With ‘Parasite’ Stars and a Spirit of Recovery - Hollywood Reporter")</f>
        <v>South Korea’s Busan Festival Opens With ‘Parasite’ Stars and a Spirit of Recovery - Hollywood Reporter</v>
      </c>
      <c r="B59" s="10" t="str">
        <f ca="1">IFERROR(__xludf.DUMMYFUNCTION("""COMPUTED_VALUE"""),"https://www.hollywoodreporter.com/movies/movie-news/busan-film-festival-2021-open-bong-joon-ho-parasite-star-1235027080/")</f>
        <v>https://www.hollywoodreporter.com/movies/movie-news/busan-film-festival-2021-open-bong-joon-ho-parasite-star-1235027080/</v>
      </c>
      <c r="C59" s="9" t="str">
        <f ca="1">IFERROR(__xludf.DUMMYFUNCTION("""COMPUTED_VALUE"""),"Thu, 07 Oct 2021 07:00:00 GMT")</f>
        <v>Thu, 07 Oct 2021 07:00:00 GMT</v>
      </c>
      <c r="D59" s="9" t="str">
        <f ca="1">IFERROR(__xludf.DUMMYFUNCTION("""COMPUTED_VALUE"""),"South Korea’s Busan Festival Opens With ‘Parasite’ Stars and a Spirit of 
Recovery  Hollywood Reporter")</f>
        <v>South Korea’s Busan Festival Opens With ‘Parasite’ Stars and a Spirit of 
Recovery  Hollywood Reporter</v>
      </c>
      <c r="E59" s="11" t="s">
        <v>112</v>
      </c>
    </row>
    <row r="60" spans="1:5" ht="13.2" x14ac:dyDescent="0.25">
      <c r="A60" s="9"/>
      <c r="B60" s="9"/>
      <c r="C60" s="9"/>
      <c r="D60" s="9"/>
      <c r="E60" s="11"/>
    </row>
    <row r="61" spans="1:5" ht="13.2" x14ac:dyDescent="0.25">
      <c r="A61" s="9"/>
      <c r="B61" s="9"/>
      <c r="C61" s="9"/>
      <c r="D61" s="9"/>
      <c r="E61" s="11"/>
    </row>
    <row r="62" spans="1:5" ht="13.2" x14ac:dyDescent="0.25">
      <c r="A62" s="9"/>
      <c r="B62" s="9"/>
      <c r="C62" s="9"/>
      <c r="D62" s="9"/>
      <c r="E62" s="11"/>
    </row>
    <row r="63" spans="1:5" ht="13.2" x14ac:dyDescent="0.25">
      <c r="A63" s="9"/>
      <c r="B63" s="9"/>
      <c r="C63" s="9"/>
      <c r="D63" s="9"/>
      <c r="E63" s="11"/>
    </row>
    <row r="64" spans="1:5" ht="13.2" x14ac:dyDescent="0.25">
      <c r="A64" s="9"/>
      <c r="B64" s="9"/>
      <c r="C64" s="9"/>
      <c r="D64" s="9"/>
      <c r="E64" s="11"/>
    </row>
    <row r="65" spans="1:5" ht="13.2" x14ac:dyDescent="0.25">
      <c r="A65" s="9"/>
      <c r="B65" s="9"/>
      <c r="C65" s="9"/>
      <c r="D65" s="9"/>
      <c r="E65" s="11"/>
    </row>
    <row r="66" spans="1:5" ht="13.2" x14ac:dyDescent="0.25">
      <c r="A66" s="9"/>
      <c r="B66" s="9"/>
      <c r="C66" s="9"/>
      <c r="D66" s="9"/>
      <c r="E66" s="11"/>
    </row>
    <row r="67" spans="1:5" ht="13.2" x14ac:dyDescent="0.25">
      <c r="A67" s="9"/>
      <c r="B67" s="9"/>
      <c r="C67" s="9"/>
      <c r="D67" s="9"/>
      <c r="E67" s="11"/>
    </row>
    <row r="68" spans="1:5" ht="13.2" x14ac:dyDescent="0.25">
      <c r="A68" s="9"/>
      <c r="B68" s="9"/>
      <c r="C68" s="9"/>
      <c r="D68" s="9"/>
      <c r="E68" s="11"/>
    </row>
    <row r="69" spans="1:5" ht="13.2" x14ac:dyDescent="0.25">
      <c r="A69" s="9"/>
      <c r="B69" s="9"/>
      <c r="C69" s="9"/>
      <c r="D69" s="9"/>
      <c r="E69" s="11"/>
    </row>
    <row r="70" spans="1:5" ht="13.2" x14ac:dyDescent="0.25">
      <c r="A70" s="9"/>
      <c r="B70" s="9"/>
      <c r="C70" s="9"/>
      <c r="D70" s="9"/>
      <c r="E70" s="11"/>
    </row>
    <row r="71" spans="1:5" ht="13.2" x14ac:dyDescent="0.25">
      <c r="A71" s="9"/>
      <c r="B71" s="9"/>
      <c r="C71" s="9"/>
      <c r="D71" s="9"/>
      <c r="E71" s="11"/>
    </row>
    <row r="72" spans="1:5" ht="13.2" x14ac:dyDescent="0.25">
      <c r="A72" s="9"/>
      <c r="B72" s="9"/>
      <c r="C72" s="9"/>
      <c r="D72" s="9"/>
      <c r="E72" s="11"/>
    </row>
    <row r="73" spans="1:5" ht="13.2" x14ac:dyDescent="0.25">
      <c r="A73" s="9"/>
      <c r="B73" s="9"/>
      <c r="C73" s="9"/>
      <c r="D73" s="9"/>
      <c r="E73" s="11"/>
    </row>
    <row r="74" spans="1:5" ht="13.2" x14ac:dyDescent="0.25">
      <c r="A74" s="9"/>
      <c r="B74" s="9"/>
      <c r="C74" s="9"/>
      <c r="D74" s="9"/>
      <c r="E74" s="11"/>
    </row>
    <row r="75" spans="1:5" ht="13.2" x14ac:dyDescent="0.25">
      <c r="A75" s="9"/>
      <c r="B75" s="9"/>
      <c r="C75" s="9"/>
      <c r="D75" s="9"/>
      <c r="E75" s="11"/>
    </row>
    <row r="76" spans="1:5" ht="13.2" x14ac:dyDescent="0.25">
      <c r="A76" s="9"/>
      <c r="B76" s="9"/>
      <c r="C76" s="9"/>
      <c r="D76" s="9"/>
      <c r="E76" s="11"/>
    </row>
    <row r="77" spans="1:5" ht="13.2" x14ac:dyDescent="0.25">
      <c r="A77" s="9"/>
      <c r="B77" s="9"/>
      <c r="C77" s="9"/>
      <c r="D77" s="9"/>
      <c r="E77" s="11"/>
    </row>
    <row r="78" spans="1:5" ht="13.2" x14ac:dyDescent="0.25">
      <c r="A78" s="9"/>
      <c r="B78" s="9"/>
      <c r="C78" s="9"/>
      <c r="D78" s="9"/>
      <c r="E78" s="11"/>
    </row>
    <row r="79" spans="1:5" ht="13.2" x14ac:dyDescent="0.25">
      <c r="A79" s="9"/>
      <c r="B79" s="9"/>
      <c r="C79" s="9"/>
      <c r="D79" s="9"/>
      <c r="E79" s="11"/>
    </row>
    <row r="80" spans="1:5" ht="13.2" x14ac:dyDescent="0.25">
      <c r="A80" s="9"/>
      <c r="B80" s="9"/>
      <c r="C80" s="9"/>
      <c r="D80" s="9"/>
      <c r="E80" s="11"/>
    </row>
    <row r="81" spans="1:5" ht="13.2" x14ac:dyDescent="0.25">
      <c r="A81" s="9"/>
      <c r="B81" s="9"/>
      <c r="C81" s="9"/>
      <c r="D81" s="9"/>
      <c r="E81" s="11"/>
    </row>
    <row r="82" spans="1:5" ht="13.2" x14ac:dyDescent="0.25">
      <c r="A82" s="9"/>
      <c r="B82" s="9"/>
      <c r="C82" s="9"/>
      <c r="D82" s="9"/>
      <c r="E82" s="11"/>
    </row>
    <row r="83" spans="1:5" ht="13.2" x14ac:dyDescent="0.25">
      <c r="A83" s="9"/>
      <c r="B83" s="9"/>
      <c r="C83" s="9"/>
      <c r="D83" s="9"/>
      <c r="E83" s="11"/>
    </row>
    <row r="84" spans="1:5" ht="13.2" x14ac:dyDescent="0.25">
      <c r="A84" s="9"/>
      <c r="B84" s="9"/>
      <c r="C84" s="9"/>
      <c r="D84" s="9"/>
      <c r="E84" s="11"/>
    </row>
    <row r="85" spans="1:5" ht="13.2" x14ac:dyDescent="0.25">
      <c r="A85" s="9"/>
      <c r="B85" s="9"/>
      <c r="C85" s="9"/>
      <c r="D85" s="9"/>
      <c r="E85" s="11"/>
    </row>
    <row r="86" spans="1:5" ht="13.2" x14ac:dyDescent="0.25">
      <c r="A86" s="9"/>
      <c r="B86" s="9"/>
      <c r="C86" s="9"/>
      <c r="D86" s="9"/>
      <c r="E86" s="11"/>
    </row>
    <row r="87" spans="1:5" ht="13.2" x14ac:dyDescent="0.25">
      <c r="A87" s="9"/>
      <c r="B87" s="9"/>
      <c r="C87" s="9"/>
      <c r="D87" s="9"/>
      <c r="E87" s="11"/>
    </row>
    <row r="88" spans="1:5" ht="13.2" x14ac:dyDescent="0.25">
      <c r="A88" s="9"/>
      <c r="B88" s="9"/>
      <c r="C88" s="9"/>
      <c r="D88" s="9"/>
      <c r="E88" s="11"/>
    </row>
    <row r="89" spans="1:5" ht="13.2" x14ac:dyDescent="0.25">
      <c r="A89" s="9"/>
      <c r="B89" s="9"/>
      <c r="C89" s="9"/>
      <c r="D89" s="9"/>
      <c r="E89" s="11"/>
    </row>
    <row r="90" spans="1:5" ht="13.2" x14ac:dyDescent="0.25">
      <c r="A90" s="9"/>
      <c r="B90" s="9"/>
      <c r="C90" s="9"/>
      <c r="D90" s="9"/>
      <c r="E90" s="11"/>
    </row>
    <row r="91" spans="1:5" ht="13.2" x14ac:dyDescent="0.25">
      <c r="A91" s="9"/>
      <c r="B91" s="9"/>
      <c r="C91" s="9"/>
      <c r="D91" s="9"/>
      <c r="E91" s="11"/>
    </row>
    <row r="92" spans="1:5" ht="13.2" x14ac:dyDescent="0.25">
      <c r="A92" s="9"/>
      <c r="B92" s="9"/>
      <c r="C92" s="9"/>
      <c r="D92" s="9"/>
      <c r="E92" s="11"/>
    </row>
    <row r="93" spans="1:5" ht="13.2" x14ac:dyDescent="0.25">
      <c r="A93" s="9"/>
      <c r="B93" s="9"/>
      <c r="C93" s="9"/>
      <c r="D93" s="9"/>
      <c r="E93" s="11"/>
    </row>
    <row r="94" spans="1:5" ht="13.2" x14ac:dyDescent="0.25">
      <c r="A94" s="9"/>
      <c r="B94" s="9"/>
      <c r="C94" s="9"/>
      <c r="D94" s="9"/>
      <c r="E94" s="11"/>
    </row>
    <row r="95" spans="1:5" ht="13.2" x14ac:dyDescent="0.25">
      <c r="A95" s="9"/>
      <c r="B95" s="9"/>
      <c r="C95" s="9"/>
      <c r="D95" s="9"/>
      <c r="E95" s="11"/>
    </row>
    <row r="96" spans="1:5" ht="13.2" x14ac:dyDescent="0.25">
      <c r="A96" s="9"/>
      <c r="B96" s="9"/>
      <c r="C96" s="9"/>
      <c r="D96" s="9"/>
      <c r="E96" s="11"/>
    </row>
    <row r="97" spans="1:5" ht="13.2" x14ac:dyDescent="0.25">
      <c r="A97" s="9"/>
      <c r="B97" s="9"/>
      <c r="C97" s="9"/>
      <c r="D97" s="9"/>
      <c r="E97" s="11"/>
    </row>
    <row r="98" spans="1:5" ht="13.2" x14ac:dyDescent="0.25">
      <c r="A98" s="9"/>
      <c r="B98" s="9"/>
      <c r="C98" s="9"/>
      <c r="D98" s="9"/>
      <c r="E98" s="11"/>
    </row>
    <row r="99" spans="1:5" ht="13.2" x14ac:dyDescent="0.25">
      <c r="A99" s="9"/>
      <c r="B99" s="9"/>
      <c r="C99" s="9"/>
      <c r="D99" s="9"/>
      <c r="E99" s="11"/>
    </row>
    <row r="100" spans="1:5" ht="13.2" x14ac:dyDescent="0.25">
      <c r="A100" s="9"/>
      <c r="B100" s="9"/>
      <c r="C100" s="9"/>
      <c r="D100" s="9"/>
      <c r="E100" s="11"/>
    </row>
    <row r="101" spans="1:5" ht="13.2" x14ac:dyDescent="0.25">
      <c r="A101" s="9"/>
      <c r="B101" s="9"/>
      <c r="C101" s="9"/>
      <c r="D101" s="9"/>
      <c r="E101" s="11"/>
    </row>
    <row r="102" spans="1:5" ht="13.2" x14ac:dyDescent="0.25">
      <c r="A102" s="9"/>
      <c r="B102" s="9"/>
      <c r="C102" s="9"/>
      <c r="D102" s="9"/>
      <c r="E102" s="11"/>
    </row>
    <row r="103" spans="1:5" ht="13.2" x14ac:dyDescent="0.25">
      <c r="A103" s="9"/>
      <c r="B103" s="9"/>
      <c r="C103" s="9"/>
      <c r="D103" s="9"/>
      <c r="E103" s="11"/>
    </row>
    <row r="104" spans="1:5" ht="13.2" x14ac:dyDescent="0.25">
      <c r="A104" s="9"/>
      <c r="B104" s="9"/>
      <c r="C104" s="9"/>
      <c r="D104" s="9"/>
      <c r="E104" s="11"/>
    </row>
    <row r="105" spans="1:5" ht="13.2" x14ac:dyDescent="0.25">
      <c r="A105" s="9"/>
      <c r="B105" s="9"/>
      <c r="C105" s="9"/>
      <c r="D105" s="9"/>
      <c r="E105" s="11"/>
    </row>
    <row r="106" spans="1:5" ht="13.2" x14ac:dyDescent="0.25">
      <c r="A106" s="9"/>
      <c r="B106" s="9"/>
      <c r="C106" s="9"/>
      <c r="D106" s="9"/>
      <c r="E106" s="11"/>
    </row>
    <row r="107" spans="1:5" ht="13.2" x14ac:dyDescent="0.25">
      <c r="A107" s="9"/>
      <c r="B107" s="9"/>
      <c r="C107" s="9"/>
      <c r="D107" s="9"/>
      <c r="E107" s="11"/>
    </row>
    <row r="108" spans="1:5" ht="13.2" x14ac:dyDescent="0.25">
      <c r="A108" s="9"/>
      <c r="B108" s="9"/>
      <c r="C108" s="9"/>
      <c r="D108" s="9"/>
      <c r="E108" s="11"/>
    </row>
    <row r="109" spans="1:5" ht="13.2" x14ac:dyDescent="0.25">
      <c r="A109" s="9"/>
      <c r="B109" s="9"/>
      <c r="C109" s="9"/>
      <c r="D109" s="9"/>
      <c r="E109" s="11"/>
    </row>
    <row r="110" spans="1:5" ht="13.2" x14ac:dyDescent="0.25">
      <c r="A110" s="9"/>
      <c r="B110" s="9"/>
      <c r="C110" s="9"/>
      <c r="D110" s="9"/>
      <c r="E110" s="11"/>
    </row>
    <row r="111" spans="1:5" ht="13.2" x14ac:dyDescent="0.25">
      <c r="A111" s="9"/>
      <c r="B111" s="9"/>
      <c r="C111" s="9"/>
      <c r="D111" s="9"/>
      <c r="E111" s="11"/>
    </row>
    <row r="112" spans="1:5" ht="13.2" x14ac:dyDescent="0.25">
      <c r="A112" s="9"/>
      <c r="B112" s="9"/>
      <c r="C112" s="9"/>
      <c r="D112" s="9"/>
      <c r="E112" s="11"/>
    </row>
    <row r="113" spans="1:5" ht="13.2" x14ac:dyDescent="0.25">
      <c r="A113" s="9"/>
      <c r="B113" s="9"/>
      <c r="C113" s="9"/>
      <c r="D113" s="9"/>
      <c r="E113" s="11"/>
    </row>
    <row r="114" spans="1:5" ht="13.2" x14ac:dyDescent="0.25">
      <c r="A114" s="9"/>
      <c r="B114" s="9"/>
      <c r="C114" s="9"/>
      <c r="D114" s="9"/>
      <c r="E114" s="11"/>
    </row>
    <row r="115" spans="1:5" ht="13.2" x14ac:dyDescent="0.25">
      <c r="A115" s="9"/>
      <c r="B115" s="9"/>
      <c r="C115" s="9"/>
      <c r="D115" s="9"/>
      <c r="E115" s="11"/>
    </row>
    <row r="116" spans="1:5" ht="13.2" x14ac:dyDescent="0.25">
      <c r="A116" s="9"/>
      <c r="B116" s="9"/>
      <c r="C116" s="9"/>
      <c r="D116" s="9"/>
      <c r="E116" s="11"/>
    </row>
    <row r="117" spans="1:5" ht="13.2" x14ac:dyDescent="0.25">
      <c r="A117" s="9"/>
      <c r="B117" s="9"/>
      <c r="C117" s="9"/>
      <c r="D117" s="9"/>
      <c r="E117" s="11"/>
    </row>
    <row r="118" spans="1:5" ht="13.2" x14ac:dyDescent="0.25">
      <c r="A118" s="9"/>
      <c r="B118" s="9"/>
      <c r="C118" s="9"/>
      <c r="D118" s="9"/>
      <c r="E118" s="11"/>
    </row>
    <row r="119" spans="1:5" ht="13.2" x14ac:dyDescent="0.25">
      <c r="A119" s="9"/>
      <c r="B119" s="9"/>
      <c r="C119" s="9"/>
      <c r="D119" s="9"/>
      <c r="E119" s="11"/>
    </row>
    <row r="120" spans="1:5" ht="13.2" x14ac:dyDescent="0.25">
      <c r="A120" s="9"/>
      <c r="B120" s="9"/>
      <c r="C120" s="9"/>
      <c r="D120" s="9"/>
      <c r="E120" s="11"/>
    </row>
    <row r="121" spans="1:5" ht="13.2" x14ac:dyDescent="0.25">
      <c r="A121" s="9"/>
      <c r="B121" s="9"/>
      <c r="C121" s="9"/>
      <c r="D121" s="9"/>
      <c r="E121" s="11"/>
    </row>
    <row r="122" spans="1:5" ht="13.2" x14ac:dyDescent="0.25">
      <c r="A122" s="9"/>
      <c r="B122" s="9"/>
      <c r="C122" s="9"/>
      <c r="D122" s="9"/>
      <c r="E122" s="11"/>
    </row>
    <row r="123" spans="1:5" ht="13.2" x14ac:dyDescent="0.25">
      <c r="A123" s="9"/>
      <c r="B123" s="9"/>
      <c r="C123" s="9"/>
      <c r="D123" s="9"/>
      <c r="E123" s="11"/>
    </row>
    <row r="124" spans="1:5" ht="13.2" x14ac:dyDescent="0.25">
      <c r="A124" s="9"/>
      <c r="B124" s="9"/>
      <c r="C124" s="9"/>
      <c r="D124" s="9"/>
      <c r="E124" s="11"/>
    </row>
    <row r="125" spans="1:5" ht="13.2" x14ac:dyDescent="0.25">
      <c r="A125" s="9"/>
      <c r="B125" s="9"/>
      <c r="C125" s="9"/>
      <c r="D125" s="9"/>
      <c r="E125" s="11"/>
    </row>
    <row r="126" spans="1:5" ht="13.2" x14ac:dyDescent="0.25">
      <c r="A126" s="9"/>
      <c r="B126" s="9"/>
      <c r="C126" s="9"/>
      <c r="D126" s="9"/>
      <c r="E126" s="11"/>
    </row>
    <row r="127" spans="1:5" ht="13.2" x14ac:dyDescent="0.25">
      <c r="A127" s="9"/>
      <c r="B127" s="9"/>
      <c r="C127" s="9"/>
      <c r="D127" s="9"/>
      <c r="E127" s="11"/>
    </row>
    <row r="128" spans="1:5" ht="13.2" x14ac:dyDescent="0.25">
      <c r="A128" s="9"/>
      <c r="B128" s="9"/>
      <c r="C128" s="9"/>
      <c r="D128" s="9"/>
      <c r="E128" s="11"/>
    </row>
    <row r="129" spans="1:5" ht="13.2" x14ac:dyDescent="0.25">
      <c r="A129" s="9"/>
      <c r="B129" s="9"/>
      <c r="C129" s="9"/>
      <c r="D129" s="9"/>
      <c r="E129" s="11"/>
    </row>
    <row r="130" spans="1:5" ht="13.2" x14ac:dyDescent="0.25">
      <c r="A130" s="9"/>
      <c r="B130" s="9"/>
      <c r="C130" s="9"/>
      <c r="D130" s="9"/>
      <c r="E130" s="11"/>
    </row>
    <row r="131" spans="1:5" ht="13.2" x14ac:dyDescent="0.25">
      <c r="A131" s="9"/>
      <c r="B131" s="9"/>
      <c r="C131" s="9"/>
      <c r="D131" s="9"/>
      <c r="E131" s="11"/>
    </row>
    <row r="132" spans="1:5" ht="13.2" x14ac:dyDescent="0.25">
      <c r="A132" s="9"/>
      <c r="B132" s="9"/>
      <c r="C132" s="9"/>
      <c r="D132" s="9"/>
      <c r="E132" s="11"/>
    </row>
    <row r="133" spans="1:5" ht="13.2" x14ac:dyDescent="0.25">
      <c r="A133" s="9"/>
      <c r="B133" s="9"/>
      <c r="C133" s="9"/>
      <c r="D133" s="9"/>
      <c r="E133" s="11"/>
    </row>
    <row r="134" spans="1:5" ht="13.2" x14ac:dyDescent="0.25">
      <c r="A134" s="9"/>
      <c r="B134" s="9"/>
      <c r="C134" s="9"/>
      <c r="D134" s="9"/>
      <c r="E134" s="11"/>
    </row>
    <row r="135" spans="1:5" ht="13.2" x14ac:dyDescent="0.25">
      <c r="A135" s="9"/>
      <c r="B135" s="9"/>
      <c r="C135" s="9"/>
      <c r="D135" s="9"/>
      <c r="E135" s="11"/>
    </row>
    <row r="136" spans="1:5" ht="13.2" x14ac:dyDescent="0.25">
      <c r="A136" s="9"/>
      <c r="B136" s="9"/>
      <c r="C136" s="9"/>
      <c r="D136" s="9"/>
      <c r="E136" s="11"/>
    </row>
    <row r="137" spans="1:5" ht="13.2" x14ac:dyDescent="0.25">
      <c r="A137" s="9"/>
      <c r="B137" s="9"/>
      <c r="C137" s="9"/>
      <c r="D137" s="9"/>
      <c r="E137" s="11"/>
    </row>
    <row r="138" spans="1:5" ht="13.2" x14ac:dyDescent="0.25">
      <c r="A138" s="9"/>
      <c r="B138" s="9"/>
      <c r="C138" s="9"/>
      <c r="D138" s="9"/>
      <c r="E138" s="11"/>
    </row>
    <row r="139" spans="1:5" ht="13.2" x14ac:dyDescent="0.25">
      <c r="A139" s="9"/>
      <c r="B139" s="9"/>
      <c r="C139" s="9"/>
      <c r="D139" s="9"/>
      <c r="E139" s="11"/>
    </row>
    <row r="140" spans="1:5" ht="13.2" x14ac:dyDescent="0.25">
      <c r="A140" s="9"/>
      <c r="B140" s="9"/>
      <c r="C140" s="9"/>
      <c r="D140" s="9"/>
      <c r="E140" s="11"/>
    </row>
    <row r="141" spans="1:5" ht="13.2" x14ac:dyDescent="0.25">
      <c r="A141" s="9"/>
      <c r="B141" s="9"/>
      <c r="C141" s="9"/>
      <c r="D141" s="9"/>
      <c r="E141" s="11"/>
    </row>
    <row r="142" spans="1:5" ht="13.2" x14ac:dyDescent="0.25">
      <c r="A142" s="9"/>
      <c r="B142" s="9"/>
      <c r="C142" s="9"/>
      <c r="D142" s="9"/>
      <c r="E142" s="11"/>
    </row>
    <row r="143" spans="1:5" ht="13.2" x14ac:dyDescent="0.25">
      <c r="A143" s="9"/>
      <c r="B143" s="9"/>
      <c r="C143" s="9"/>
      <c r="D143" s="9"/>
      <c r="E143" s="11"/>
    </row>
    <row r="144" spans="1:5" ht="13.2" x14ac:dyDescent="0.25">
      <c r="A144" s="9"/>
      <c r="B144" s="9"/>
      <c r="C144" s="9"/>
      <c r="D144" s="9"/>
      <c r="E144" s="11"/>
    </row>
    <row r="145" spans="1:5" ht="13.2" x14ac:dyDescent="0.25">
      <c r="A145" s="9"/>
      <c r="B145" s="9"/>
      <c r="C145" s="9"/>
      <c r="D145" s="9"/>
      <c r="E145" s="11"/>
    </row>
    <row r="146" spans="1:5" ht="13.2" x14ac:dyDescent="0.25">
      <c r="A146" s="9"/>
      <c r="B146" s="9"/>
      <c r="C146" s="9"/>
      <c r="D146" s="9"/>
      <c r="E146" s="11"/>
    </row>
    <row r="147" spans="1:5" ht="13.2" x14ac:dyDescent="0.25">
      <c r="A147" s="9"/>
      <c r="B147" s="9"/>
      <c r="C147" s="9"/>
      <c r="D147" s="9"/>
      <c r="E147" s="11"/>
    </row>
    <row r="148" spans="1:5" ht="13.2" x14ac:dyDescent="0.25">
      <c r="A148" s="9"/>
      <c r="B148" s="9"/>
      <c r="C148" s="9"/>
      <c r="D148" s="9"/>
      <c r="E148" s="11"/>
    </row>
    <row r="149" spans="1:5" ht="13.2" x14ac:dyDescent="0.25">
      <c r="A149" s="9"/>
      <c r="B149" s="9"/>
      <c r="C149" s="9"/>
      <c r="D149" s="9"/>
      <c r="E149" s="11"/>
    </row>
    <row r="150" spans="1:5" ht="13.2" x14ac:dyDescent="0.25">
      <c r="A150" s="9"/>
      <c r="B150" s="9"/>
      <c r="C150" s="9"/>
      <c r="D150" s="9"/>
      <c r="E150" s="11"/>
    </row>
    <row r="151" spans="1:5" ht="13.2" x14ac:dyDescent="0.25">
      <c r="A151" s="9"/>
      <c r="B151" s="9"/>
      <c r="C151" s="9"/>
      <c r="D151" s="9"/>
      <c r="E151" s="11"/>
    </row>
    <row r="152" spans="1:5" ht="13.2" x14ac:dyDescent="0.25">
      <c r="A152" s="9"/>
      <c r="B152" s="9"/>
      <c r="C152" s="9"/>
      <c r="D152" s="9"/>
      <c r="E152" s="11"/>
    </row>
    <row r="153" spans="1:5" ht="13.2" x14ac:dyDescent="0.25">
      <c r="A153" s="9"/>
      <c r="B153" s="9"/>
      <c r="C153" s="9"/>
      <c r="D153" s="9"/>
      <c r="E153" s="11"/>
    </row>
    <row r="154" spans="1:5" ht="13.2" x14ac:dyDescent="0.25">
      <c r="A154" s="9"/>
      <c r="B154" s="9"/>
      <c r="C154" s="9"/>
      <c r="D154" s="9"/>
      <c r="E154" s="11"/>
    </row>
    <row r="155" spans="1:5" ht="13.2" x14ac:dyDescent="0.25">
      <c r="A155" s="9"/>
      <c r="B155" s="9"/>
      <c r="C155" s="9"/>
      <c r="D155" s="9"/>
      <c r="E155" s="11"/>
    </row>
    <row r="156" spans="1:5" ht="13.2" x14ac:dyDescent="0.25">
      <c r="A156" s="9"/>
      <c r="B156" s="9"/>
      <c r="C156" s="9"/>
      <c r="D156" s="9"/>
      <c r="E156" s="11"/>
    </row>
    <row r="157" spans="1:5" ht="13.2" x14ac:dyDescent="0.25">
      <c r="A157" s="9"/>
      <c r="B157" s="9"/>
      <c r="C157" s="9"/>
      <c r="D157" s="9"/>
      <c r="E157" s="11"/>
    </row>
    <row r="158" spans="1:5" ht="13.2" x14ac:dyDescent="0.25">
      <c r="A158" s="9"/>
      <c r="B158" s="9"/>
      <c r="C158" s="9"/>
      <c r="D158" s="9"/>
      <c r="E158" s="11"/>
    </row>
    <row r="159" spans="1:5" ht="13.2" x14ac:dyDescent="0.25">
      <c r="A159" s="9"/>
      <c r="B159" s="9"/>
      <c r="C159" s="9"/>
      <c r="D159" s="9"/>
      <c r="E159" s="11"/>
    </row>
    <row r="160" spans="1:5" ht="13.2" x14ac:dyDescent="0.25">
      <c r="A160" s="9"/>
      <c r="B160" s="9"/>
      <c r="C160" s="9"/>
      <c r="D160" s="9"/>
      <c r="E160" s="11"/>
    </row>
    <row r="161" spans="1:5" ht="13.2" x14ac:dyDescent="0.25">
      <c r="A161" s="9"/>
      <c r="B161" s="9"/>
      <c r="C161" s="9"/>
      <c r="D161" s="9"/>
      <c r="E161" s="11"/>
    </row>
    <row r="162" spans="1:5" ht="13.2" x14ac:dyDescent="0.25">
      <c r="A162" s="9"/>
      <c r="B162" s="9"/>
      <c r="C162" s="9"/>
      <c r="D162" s="9"/>
      <c r="E162" s="11"/>
    </row>
    <row r="163" spans="1:5" ht="13.2" x14ac:dyDescent="0.25">
      <c r="A163" s="9"/>
      <c r="B163" s="9"/>
      <c r="C163" s="9"/>
      <c r="D163" s="9"/>
      <c r="E163" s="11"/>
    </row>
    <row r="164" spans="1:5" ht="13.2" x14ac:dyDescent="0.25">
      <c r="A164" s="9"/>
      <c r="B164" s="9"/>
      <c r="C164" s="9"/>
      <c r="D164" s="9"/>
      <c r="E164" s="11"/>
    </row>
    <row r="165" spans="1:5" ht="13.2" x14ac:dyDescent="0.25">
      <c r="A165" s="9"/>
      <c r="B165" s="9"/>
      <c r="C165" s="9"/>
      <c r="D165" s="9"/>
      <c r="E165" s="11"/>
    </row>
    <row r="166" spans="1:5" ht="13.2" x14ac:dyDescent="0.25">
      <c r="A166" s="9"/>
      <c r="B166" s="9"/>
      <c r="C166" s="9"/>
      <c r="D166" s="9"/>
      <c r="E166" s="11"/>
    </row>
    <row r="167" spans="1:5" ht="13.2" x14ac:dyDescent="0.25">
      <c r="A167" s="9"/>
      <c r="B167" s="9"/>
      <c r="C167" s="9"/>
      <c r="D167" s="9"/>
      <c r="E167" s="11"/>
    </row>
    <row r="168" spans="1:5" ht="13.2" x14ac:dyDescent="0.25">
      <c r="A168" s="9"/>
      <c r="B168" s="9"/>
      <c r="C168" s="9"/>
      <c r="D168" s="9"/>
      <c r="E168" s="11"/>
    </row>
    <row r="169" spans="1:5" ht="13.2" x14ac:dyDescent="0.25">
      <c r="A169" s="9"/>
      <c r="B169" s="9"/>
      <c r="C169" s="9"/>
      <c r="D169" s="9"/>
      <c r="E169" s="11"/>
    </row>
    <row r="170" spans="1:5" ht="13.2" x14ac:dyDescent="0.25">
      <c r="A170" s="9"/>
      <c r="B170" s="9"/>
      <c r="C170" s="9"/>
      <c r="D170" s="9"/>
      <c r="E170" s="11"/>
    </row>
    <row r="171" spans="1:5" ht="13.2" x14ac:dyDescent="0.25">
      <c r="A171" s="9"/>
      <c r="B171" s="9"/>
      <c r="C171" s="9"/>
      <c r="D171" s="9"/>
      <c r="E171" s="11"/>
    </row>
    <row r="172" spans="1:5" ht="13.2" x14ac:dyDescent="0.25">
      <c r="A172" s="9"/>
      <c r="B172" s="9"/>
      <c r="C172" s="9"/>
      <c r="D172" s="9"/>
      <c r="E172" s="11"/>
    </row>
    <row r="173" spans="1:5" ht="13.2" x14ac:dyDescent="0.25">
      <c r="A173" s="9"/>
      <c r="B173" s="9"/>
      <c r="C173" s="9"/>
      <c r="D173" s="9"/>
      <c r="E173" s="11"/>
    </row>
    <row r="174" spans="1:5" ht="13.2" x14ac:dyDescent="0.25">
      <c r="A174" s="9"/>
      <c r="B174" s="9"/>
      <c r="C174" s="9"/>
      <c r="D174" s="9"/>
      <c r="E174" s="11"/>
    </row>
    <row r="175" spans="1:5" ht="13.2" x14ac:dyDescent="0.25">
      <c r="A175" s="9"/>
      <c r="B175" s="9"/>
      <c r="C175" s="9"/>
      <c r="D175" s="9"/>
      <c r="E175" s="11"/>
    </row>
    <row r="176" spans="1:5" ht="13.2" x14ac:dyDescent="0.25">
      <c r="A176" s="9"/>
      <c r="B176" s="9"/>
      <c r="C176" s="9"/>
      <c r="D176" s="9"/>
      <c r="E176" s="11"/>
    </row>
    <row r="177" spans="1:5" ht="13.2" x14ac:dyDescent="0.25">
      <c r="A177" s="9"/>
      <c r="B177" s="9"/>
      <c r="C177" s="9"/>
      <c r="D177" s="9"/>
      <c r="E177" s="11"/>
    </row>
    <row r="178" spans="1:5" ht="13.2" x14ac:dyDescent="0.25">
      <c r="A178" s="9"/>
      <c r="B178" s="9"/>
      <c r="C178" s="9"/>
      <c r="D178" s="9"/>
      <c r="E178" s="11"/>
    </row>
    <row r="179" spans="1:5" ht="13.2" x14ac:dyDescent="0.25">
      <c r="A179" s="9"/>
      <c r="B179" s="9"/>
      <c r="C179" s="9"/>
      <c r="D179" s="9"/>
      <c r="E179" s="11"/>
    </row>
    <row r="180" spans="1:5" ht="13.2" x14ac:dyDescent="0.25">
      <c r="A180" s="9"/>
      <c r="B180" s="9"/>
      <c r="C180" s="9"/>
      <c r="D180" s="9"/>
      <c r="E180" s="11"/>
    </row>
    <row r="181" spans="1:5" ht="13.2" x14ac:dyDescent="0.25">
      <c r="A181" s="9"/>
      <c r="B181" s="9"/>
      <c r="C181" s="9"/>
      <c r="D181" s="9"/>
      <c r="E181" s="11"/>
    </row>
    <row r="182" spans="1:5" ht="13.2" x14ac:dyDescent="0.25">
      <c r="A182" s="9"/>
      <c r="B182" s="9"/>
      <c r="C182" s="9"/>
      <c r="D182" s="9"/>
      <c r="E182" s="11"/>
    </row>
    <row r="183" spans="1:5" ht="13.2" x14ac:dyDescent="0.25">
      <c r="A183" s="9"/>
      <c r="B183" s="9"/>
      <c r="C183" s="9"/>
      <c r="D183" s="9"/>
      <c r="E183" s="11"/>
    </row>
    <row r="184" spans="1:5" ht="13.2" x14ac:dyDescent="0.25">
      <c r="A184" s="9"/>
      <c r="B184" s="9"/>
      <c r="C184" s="9"/>
      <c r="D184" s="9"/>
      <c r="E184" s="11"/>
    </row>
    <row r="185" spans="1:5" ht="13.2" x14ac:dyDescent="0.25">
      <c r="A185" s="9"/>
      <c r="B185" s="9"/>
      <c r="C185" s="9"/>
      <c r="D185" s="9"/>
      <c r="E185" s="11"/>
    </row>
    <row r="186" spans="1:5" ht="13.2" x14ac:dyDescent="0.25">
      <c r="A186" s="9"/>
      <c r="B186" s="9"/>
      <c r="C186" s="9"/>
      <c r="D186" s="9"/>
      <c r="E186" s="11"/>
    </row>
    <row r="187" spans="1:5" ht="13.2" x14ac:dyDescent="0.25">
      <c r="A187" s="9"/>
      <c r="B187" s="9"/>
      <c r="C187" s="9"/>
      <c r="D187" s="9"/>
      <c r="E187" s="11"/>
    </row>
    <row r="188" spans="1:5" ht="13.2" x14ac:dyDescent="0.25">
      <c r="A188" s="9"/>
      <c r="B188" s="9"/>
      <c r="C188" s="9"/>
      <c r="D188" s="9"/>
      <c r="E188" s="11"/>
    </row>
    <row r="189" spans="1:5" ht="13.2" x14ac:dyDescent="0.25">
      <c r="A189" s="9"/>
      <c r="B189" s="9"/>
      <c r="C189" s="9"/>
      <c r="D189" s="9"/>
      <c r="E189" s="11"/>
    </row>
    <row r="190" spans="1:5" ht="13.2" x14ac:dyDescent="0.25">
      <c r="A190" s="9"/>
      <c r="B190" s="9"/>
      <c r="C190" s="9"/>
      <c r="D190" s="9"/>
      <c r="E190" s="11"/>
    </row>
    <row r="191" spans="1:5" ht="13.2" x14ac:dyDescent="0.25">
      <c r="A191" s="9"/>
      <c r="B191" s="9"/>
      <c r="C191" s="9"/>
      <c r="D191" s="9"/>
      <c r="E191" s="11"/>
    </row>
    <row r="192" spans="1:5" ht="13.2" x14ac:dyDescent="0.25">
      <c r="A192" s="9"/>
      <c r="B192" s="9"/>
      <c r="C192" s="9"/>
      <c r="D192" s="9"/>
      <c r="E192" s="11"/>
    </row>
    <row r="193" spans="1:5" ht="13.2" x14ac:dyDescent="0.25">
      <c r="A193" s="9"/>
      <c r="B193" s="9"/>
      <c r="C193" s="9"/>
      <c r="D193" s="9"/>
      <c r="E193" s="11"/>
    </row>
    <row r="194" spans="1:5" ht="13.2" x14ac:dyDescent="0.25">
      <c r="A194" s="9"/>
      <c r="B194" s="9"/>
      <c r="C194" s="9"/>
      <c r="D194" s="9"/>
      <c r="E194" s="11"/>
    </row>
    <row r="195" spans="1:5" ht="13.2" x14ac:dyDescent="0.25">
      <c r="A195" s="9"/>
      <c r="B195" s="9"/>
      <c r="C195" s="9"/>
      <c r="D195" s="9"/>
      <c r="E195" s="11"/>
    </row>
    <row r="196" spans="1:5" ht="13.2" x14ac:dyDescent="0.25">
      <c r="A196" s="9"/>
      <c r="B196" s="9"/>
      <c r="C196" s="9"/>
      <c r="D196" s="9"/>
      <c r="E196" s="11"/>
    </row>
    <row r="197" spans="1:5" ht="13.2" x14ac:dyDescent="0.25">
      <c r="A197" s="9"/>
      <c r="B197" s="9"/>
      <c r="C197" s="9"/>
      <c r="D197" s="9"/>
      <c r="E197" s="11"/>
    </row>
    <row r="198" spans="1:5" ht="13.2" x14ac:dyDescent="0.25">
      <c r="A198" s="9"/>
      <c r="B198" s="9"/>
      <c r="C198" s="9"/>
      <c r="D198" s="9"/>
      <c r="E198" s="11"/>
    </row>
    <row r="199" spans="1:5" ht="13.2" x14ac:dyDescent="0.25">
      <c r="A199" s="9"/>
      <c r="B199" s="9"/>
      <c r="C199" s="9"/>
      <c r="D199" s="9"/>
      <c r="E199" s="11"/>
    </row>
    <row r="200" spans="1:5" ht="13.2" x14ac:dyDescent="0.25">
      <c r="A200" s="9"/>
      <c r="B200" s="9"/>
      <c r="C200" s="9"/>
      <c r="D200" s="9"/>
      <c r="E200" s="11"/>
    </row>
    <row r="201" spans="1:5" ht="13.2" x14ac:dyDescent="0.25">
      <c r="A201" s="9"/>
      <c r="B201" s="9"/>
      <c r="C201" s="9"/>
      <c r="D201" s="9"/>
      <c r="E201" s="11"/>
    </row>
    <row r="202" spans="1:5" ht="13.2" x14ac:dyDescent="0.25">
      <c r="A202" s="9"/>
      <c r="B202" s="9"/>
      <c r="C202" s="9"/>
      <c r="D202" s="9"/>
      <c r="E202" s="11"/>
    </row>
    <row r="203" spans="1:5" ht="13.2" x14ac:dyDescent="0.25">
      <c r="A203" s="9"/>
      <c r="B203" s="9"/>
      <c r="C203" s="9"/>
      <c r="D203" s="9"/>
      <c r="E203" s="11"/>
    </row>
    <row r="204" spans="1:5" ht="13.2" x14ac:dyDescent="0.25">
      <c r="A204" s="9"/>
      <c r="B204" s="9"/>
      <c r="C204" s="9"/>
      <c r="D204" s="9"/>
      <c r="E204" s="11"/>
    </row>
    <row r="205" spans="1:5" ht="13.2" x14ac:dyDescent="0.25">
      <c r="A205" s="9"/>
      <c r="B205" s="9"/>
      <c r="C205" s="9"/>
      <c r="D205" s="9"/>
      <c r="E205" s="11"/>
    </row>
    <row r="206" spans="1:5" ht="13.2" x14ac:dyDescent="0.25">
      <c r="A206" s="9"/>
      <c r="B206" s="9"/>
      <c r="C206" s="9"/>
      <c r="D206" s="9"/>
      <c r="E206" s="11"/>
    </row>
    <row r="207" spans="1:5" ht="13.2" x14ac:dyDescent="0.25">
      <c r="A207" s="9"/>
      <c r="B207" s="9"/>
      <c r="C207" s="9"/>
      <c r="D207" s="9"/>
      <c r="E207" s="11"/>
    </row>
    <row r="208" spans="1:5" ht="13.2" x14ac:dyDescent="0.25">
      <c r="A208" s="9"/>
      <c r="B208" s="9"/>
      <c r="C208" s="9"/>
      <c r="D208" s="9"/>
      <c r="E208" s="11"/>
    </row>
    <row r="209" spans="1:5" ht="13.2" x14ac:dyDescent="0.25">
      <c r="A209" s="9"/>
      <c r="B209" s="9"/>
      <c r="C209" s="9"/>
      <c r="D209" s="9"/>
      <c r="E209" s="11"/>
    </row>
    <row r="210" spans="1:5" ht="13.2" x14ac:dyDescent="0.25">
      <c r="A210" s="9"/>
      <c r="B210" s="9"/>
      <c r="C210" s="9"/>
      <c r="D210" s="9"/>
      <c r="E210" s="11"/>
    </row>
    <row r="211" spans="1:5" ht="13.2" x14ac:dyDescent="0.25">
      <c r="A211" s="9"/>
      <c r="B211" s="9"/>
      <c r="C211" s="9"/>
      <c r="D211" s="9"/>
      <c r="E211" s="11"/>
    </row>
    <row r="212" spans="1:5" ht="13.2" x14ac:dyDescent="0.25">
      <c r="A212" s="9"/>
      <c r="B212" s="9"/>
      <c r="C212" s="9"/>
      <c r="D212" s="9"/>
      <c r="E212" s="11"/>
    </row>
    <row r="213" spans="1:5" ht="13.2" x14ac:dyDescent="0.25">
      <c r="A213" s="9"/>
      <c r="B213" s="9"/>
      <c r="C213" s="9"/>
      <c r="D213" s="9"/>
      <c r="E213" s="11"/>
    </row>
    <row r="214" spans="1:5" ht="13.2" x14ac:dyDescent="0.25">
      <c r="A214" s="9"/>
      <c r="B214" s="9"/>
      <c r="C214" s="9"/>
      <c r="D214" s="9"/>
      <c r="E214" s="11"/>
    </row>
    <row r="215" spans="1:5" ht="13.2" x14ac:dyDescent="0.25">
      <c r="A215" s="9"/>
      <c r="B215" s="9"/>
      <c r="C215" s="9"/>
      <c r="D215" s="9"/>
      <c r="E215" s="11"/>
    </row>
    <row r="216" spans="1:5" ht="13.2" x14ac:dyDescent="0.25">
      <c r="A216" s="9"/>
      <c r="B216" s="9"/>
      <c r="C216" s="9"/>
      <c r="D216" s="9"/>
      <c r="E216" s="11"/>
    </row>
    <row r="217" spans="1:5" ht="13.2" x14ac:dyDescent="0.25">
      <c r="A217" s="9"/>
      <c r="B217" s="9"/>
      <c r="C217" s="9"/>
      <c r="D217" s="9"/>
      <c r="E217" s="11"/>
    </row>
    <row r="218" spans="1:5" ht="13.2" x14ac:dyDescent="0.25">
      <c r="A218" s="9"/>
      <c r="B218" s="9"/>
      <c r="C218" s="9"/>
      <c r="D218" s="9"/>
      <c r="E218" s="11"/>
    </row>
    <row r="219" spans="1:5" ht="13.2" x14ac:dyDescent="0.25">
      <c r="A219" s="9"/>
      <c r="B219" s="9"/>
      <c r="C219" s="9"/>
      <c r="D219" s="9"/>
      <c r="E219" s="11"/>
    </row>
    <row r="220" spans="1:5" ht="13.2" x14ac:dyDescent="0.25">
      <c r="A220" s="9"/>
      <c r="B220" s="9"/>
      <c r="C220" s="9"/>
      <c r="D220" s="9"/>
      <c r="E220" s="11"/>
    </row>
    <row r="221" spans="1:5" ht="13.2" x14ac:dyDescent="0.25">
      <c r="A221" s="9"/>
      <c r="B221" s="9"/>
      <c r="C221" s="9"/>
      <c r="D221" s="9"/>
      <c r="E221" s="11"/>
    </row>
    <row r="222" spans="1:5" ht="13.2" x14ac:dyDescent="0.25">
      <c r="A222" s="9"/>
      <c r="B222" s="9"/>
      <c r="C222" s="9"/>
      <c r="D222" s="9"/>
      <c r="E222" s="11"/>
    </row>
    <row r="223" spans="1:5" ht="13.2" x14ac:dyDescent="0.25">
      <c r="A223" s="9"/>
      <c r="B223" s="9"/>
      <c r="C223" s="9"/>
      <c r="D223" s="9"/>
      <c r="E223" s="11"/>
    </row>
    <row r="224" spans="1:5" ht="13.2" x14ac:dyDescent="0.25">
      <c r="A224" s="9"/>
      <c r="B224" s="9"/>
      <c r="C224" s="9"/>
      <c r="D224" s="9"/>
      <c r="E224" s="11"/>
    </row>
    <row r="225" spans="1:5" ht="13.2" x14ac:dyDescent="0.25">
      <c r="A225" s="9"/>
      <c r="B225" s="9"/>
      <c r="C225" s="9"/>
      <c r="D225" s="9"/>
      <c r="E225" s="11"/>
    </row>
    <row r="226" spans="1:5" ht="13.2" x14ac:dyDescent="0.25">
      <c r="A226" s="9"/>
      <c r="B226" s="9"/>
      <c r="C226" s="9"/>
      <c r="D226" s="9"/>
      <c r="E226" s="11"/>
    </row>
    <row r="227" spans="1:5" ht="13.2" x14ac:dyDescent="0.25">
      <c r="A227" s="9"/>
      <c r="B227" s="9"/>
      <c r="C227" s="9"/>
      <c r="D227" s="9"/>
      <c r="E227" s="11"/>
    </row>
    <row r="228" spans="1:5" ht="13.2" x14ac:dyDescent="0.25">
      <c r="A228" s="9"/>
      <c r="B228" s="9"/>
      <c r="C228" s="9"/>
      <c r="D228" s="9"/>
      <c r="E228" s="11"/>
    </row>
    <row r="229" spans="1:5" ht="13.2" x14ac:dyDescent="0.25">
      <c r="A229" s="9"/>
      <c r="B229" s="9"/>
      <c r="C229" s="9"/>
      <c r="D229" s="9"/>
      <c r="E229" s="11"/>
    </row>
    <row r="230" spans="1:5" ht="13.2" x14ac:dyDescent="0.25">
      <c r="A230" s="9"/>
      <c r="B230" s="9"/>
      <c r="C230" s="9"/>
      <c r="D230" s="9"/>
      <c r="E230" s="11"/>
    </row>
    <row r="231" spans="1:5" ht="13.2" x14ac:dyDescent="0.25">
      <c r="A231" s="9"/>
      <c r="B231" s="9"/>
      <c r="C231" s="9"/>
      <c r="D231" s="9"/>
      <c r="E231" s="11"/>
    </row>
    <row r="232" spans="1:5" ht="13.2" x14ac:dyDescent="0.25">
      <c r="A232" s="9"/>
      <c r="B232" s="9"/>
      <c r="C232" s="9"/>
      <c r="D232" s="9"/>
      <c r="E232" s="11"/>
    </row>
    <row r="233" spans="1:5" ht="13.2" x14ac:dyDescent="0.25">
      <c r="A233" s="9"/>
      <c r="B233" s="9"/>
      <c r="C233" s="9"/>
      <c r="D233" s="9"/>
      <c r="E233" s="11"/>
    </row>
    <row r="234" spans="1:5" ht="13.2" x14ac:dyDescent="0.25">
      <c r="A234" s="9"/>
      <c r="B234" s="9"/>
      <c r="C234" s="9"/>
      <c r="D234" s="9"/>
      <c r="E234" s="11"/>
    </row>
    <row r="235" spans="1:5" ht="13.2" x14ac:dyDescent="0.25">
      <c r="A235" s="9"/>
      <c r="B235" s="9"/>
      <c r="C235" s="9"/>
      <c r="D235" s="9"/>
      <c r="E235" s="11"/>
    </row>
    <row r="236" spans="1:5" ht="13.2" x14ac:dyDescent="0.25">
      <c r="A236" s="9"/>
      <c r="B236" s="9"/>
      <c r="C236" s="9"/>
      <c r="D236" s="9"/>
      <c r="E236" s="11"/>
    </row>
    <row r="237" spans="1:5" ht="13.2" x14ac:dyDescent="0.25">
      <c r="A237" s="9"/>
      <c r="B237" s="9"/>
      <c r="C237" s="9"/>
      <c r="D237" s="9"/>
      <c r="E237" s="11"/>
    </row>
    <row r="238" spans="1:5" ht="13.2" x14ac:dyDescent="0.25">
      <c r="A238" s="9"/>
      <c r="B238" s="9"/>
      <c r="C238" s="9"/>
      <c r="D238" s="9"/>
      <c r="E238" s="11"/>
    </row>
    <row r="239" spans="1:5" ht="13.2" x14ac:dyDescent="0.25">
      <c r="A239" s="9"/>
      <c r="B239" s="9"/>
      <c r="C239" s="9"/>
      <c r="D239" s="9"/>
      <c r="E239" s="11"/>
    </row>
    <row r="240" spans="1:5" ht="13.2" x14ac:dyDescent="0.25">
      <c r="A240" s="9"/>
      <c r="B240" s="9"/>
      <c r="C240" s="9"/>
      <c r="D240" s="9"/>
      <c r="E240" s="11"/>
    </row>
    <row r="241" spans="1:5" ht="13.2" x14ac:dyDescent="0.25">
      <c r="A241" s="9"/>
      <c r="B241" s="9"/>
      <c r="C241" s="9"/>
      <c r="D241" s="9"/>
      <c r="E241" s="11"/>
    </row>
    <row r="242" spans="1:5" ht="13.2" x14ac:dyDescent="0.25">
      <c r="A242" s="9"/>
      <c r="B242" s="9"/>
      <c r="C242" s="9"/>
      <c r="D242" s="9"/>
      <c r="E242" s="11"/>
    </row>
    <row r="243" spans="1:5" ht="13.2" x14ac:dyDescent="0.25">
      <c r="A243" s="9"/>
      <c r="B243" s="9"/>
      <c r="C243" s="9"/>
      <c r="D243" s="9"/>
      <c r="E243" s="11"/>
    </row>
    <row r="244" spans="1:5" ht="13.2" x14ac:dyDescent="0.25">
      <c r="A244" s="9"/>
      <c r="B244" s="9"/>
      <c r="C244" s="9"/>
      <c r="D244" s="9"/>
      <c r="E244" s="11"/>
    </row>
    <row r="245" spans="1:5" ht="13.2" x14ac:dyDescent="0.25">
      <c r="A245" s="9"/>
      <c r="B245" s="9"/>
      <c r="C245" s="9"/>
      <c r="D245" s="9"/>
      <c r="E245" s="11"/>
    </row>
    <row r="246" spans="1:5" ht="13.2" x14ac:dyDescent="0.25">
      <c r="A246" s="9"/>
      <c r="B246" s="9"/>
      <c r="C246" s="9"/>
      <c r="D246" s="9"/>
      <c r="E246" s="11"/>
    </row>
    <row r="247" spans="1:5" ht="13.2" x14ac:dyDescent="0.25">
      <c r="A247" s="9"/>
      <c r="B247" s="9"/>
      <c r="C247" s="9"/>
      <c r="D247" s="9"/>
      <c r="E247" s="11"/>
    </row>
    <row r="248" spans="1:5" ht="13.2" x14ac:dyDescent="0.25">
      <c r="A248" s="9"/>
      <c r="B248" s="9"/>
      <c r="C248" s="9"/>
      <c r="D248" s="9"/>
      <c r="E248" s="11"/>
    </row>
    <row r="249" spans="1:5" ht="13.2" x14ac:dyDescent="0.25">
      <c r="A249" s="9"/>
      <c r="B249" s="9"/>
      <c r="C249" s="9"/>
      <c r="D249" s="9"/>
      <c r="E249" s="11"/>
    </row>
    <row r="250" spans="1:5" ht="13.2" x14ac:dyDescent="0.25">
      <c r="A250" s="9"/>
      <c r="B250" s="9"/>
      <c r="C250" s="9"/>
      <c r="D250" s="9"/>
      <c r="E250" s="11"/>
    </row>
    <row r="251" spans="1:5" ht="13.2" x14ac:dyDescent="0.25">
      <c r="A251" s="9"/>
      <c r="B251" s="9"/>
      <c r="C251" s="9"/>
      <c r="D251" s="9"/>
      <c r="E251" s="11"/>
    </row>
    <row r="252" spans="1:5" ht="13.2" x14ac:dyDescent="0.25">
      <c r="A252" s="9"/>
      <c r="B252" s="9"/>
      <c r="C252" s="9"/>
      <c r="D252" s="9"/>
      <c r="E252" s="11"/>
    </row>
    <row r="253" spans="1:5" ht="13.2" x14ac:dyDescent="0.25">
      <c r="A253" s="9"/>
      <c r="B253" s="9"/>
      <c r="C253" s="9"/>
      <c r="D253" s="9"/>
      <c r="E253" s="11"/>
    </row>
    <row r="254" spans="1:5" ht="13.2" x14ac:dyDescent="0.25">
      <c r="A254" s="9"/>
      <c r="B254" s="9"/>
      <c r="C254" s="9"/>
      <c r="D254" s="9"/>
      <c r="E254" s="11"/>
    </row>
    <row r="255" spans="1:5" ht="13.2" x14ac:dyDescent="0.25">
      <c r="A255" s="9"/>
      <c r="B255" s="9"/>
      <c r="C255" s="9"/>
      <c r="D255" s="9"/>
      <c r="E255" s="11"/>
    </row>
    <row r="256" spans="1:5" ht="13.2" x14ac:dyDescent="0.25">
      <c r="A256" s="9"/>
      <c r="B256" s="9"/>
      <c r="C256" s="9"/>
      <c r="D256" s="9"/>
      <c r="E256" s="11"/>
    </row>
    <row r="257" spans="1:5" ht="13.2" x14ac:dyDescent="0.25">
      <c r="A257" s="9"/>
      <c r="B257" s="9"/>
      <c r="C257" s="9"/>
      <c r="D257" s="9"/>
      <c r="E257" s="11"/>
    </row>
    <row r="258" spans="1:5" ht="13.2" x14ac:dyDescent="0.25">
      <c r="A258" s="9"/>
      <c r="B258" s="9"/>
      <c r="C258" s="9"/>
      <c r="D258" s="9"/>
      <c r="E258" s="11"/>
    </row>
    <row r="259" spans="1:5" ht="13.2" x14ac:dyDescent="0.25">
      <c r="A259" s="9"/>
      <c r="B259" s="9"/>
      <c r="C259" s="9"/>
      <c r="D259" s="9"/>
      <c r="E259" s="11"/>
    </row>
    <row r="260" spans="1:5" ht="13.2" x14ac:dyDescent="0.25">
      <c r="A260" s="9"/>
      <c r="B260" s="9"/>
      <c r="C260" s="9"/>
      <c r="D260" s="9"/>
      <c r="E260" s="11"/>
    </row>
    <row r="261" spans="1:5" ht="13.2" x14ac:dyDescent="0.25">
      <c r="A261" s="9"/>
      <c r="B261" s="9"/>
      <c r="C261" s="9"/>
      <c r="D261" s="9"/>
      <c r="E261" s="11"/>
    </row>
    <row r="262" spans="1:5" ht="13.2" x14ac:dyDescent="0.25">
      <c r="A262" s="9"/>
      <c r="B262" s="9"/>
      <c r="C262" s="9"/>
      <c r="D262" s="9"/>
      <c r="E262" s="11"/>
    </row>
    <row r="263" spans="1:5" ht="13.2" x14ac:dyDescent="0.25">
      <c r="A263" s="9"/>
      <c r="B263" s="9"/>
      <c r="C263" s="9"/>
      <c r="D263" s="9"/>
      <c r="E263" s="11"/>
    </row>
    <row r="264" spans="1:5" ht="13.2" x14ac:dyDescent="0.25">
      <c r="A264" s="9"/>
      <c r="B264" s="9"/>
      <c r="C264" s="9"/>
      <c r="D264" s="9"/>
      <c r="E264" s="11"/>
    </row>
    <row r="265" spans="1:5" ht="13.2" x14ac:dyDescent="0.25">
      <c r="A265" s="9"/>
      <c r="B265" s="9"/>
      <c r="C265" s="9"/>
      <c r="D265" s="9"/>
      <c r="E265" s="11"/>
    </row>
    <row r="266" spans="1:5" ht="13.2" x14ac:dyDescent="0.25">
      <c r="A266" s="9"/>
      <c r="B266" s="9"/>
      <c r="C266" s="9"/>
      <c r="D266" s="9"/>
      <c r="E266" s="11"/>
    </row>
    <row r="267" spans="1:5" ht="13.2" x14ac:dyDescent="0.25">
      <c r="A267" s="9"/>
      <c r="B267" s="9"/>
      <c r="C267" s="9"/>
      <c r="D267" s="9"/>
      <c r="E267" s="11"/>
    </row>
    <row r="268" spans="1:5" ht="13.2" x14ac:dyDescent="0.25">
      <c r="A268" s="9"/>
      <c r="B268" s="9"/>
      <c r="C268" s="9"/>
      <c r="D268" s="9"/>
      <c r="E268" s="11"/>
    </row>
    <row r="269" spans="1:5" ht="13.2" x14ac:dyDescent="0.25">
      <c r="A269" s="9"/>
      <c r="B269" s="9"/>
      <c r="C269" s="9"/>
      <c r="D269" s="9"/>
      <c r="E269" s="11"/>
    </row>
    <row r="270" spans="1:5" ht="13.2" x14ac:dyDescent="0.25">
      <c r="A270" s="9"/>
      <c r="B270" s="9"/>
      <c r="C270" s="9"/>
      <c r="D270" s="9"/>
      <c r="E270" s="11"/>
    </row>
    <row r="271" spans="1:5" ht="13.2" x14ac:dyDescent="0.25">
      <c r="A271" s="9"/>
      <c r="B271" s="9"/>
      <c r="C271" s="9"/>
      <c r="D271" s="9"/>
      <c r="E271" s="11"/>
    </row>
    <row r="272" spans="1:5" ht="13.2" x14ac:dyDescent="0.25">
      <c r="A272" s="9"/>
      <c r="B272" s="9"/>
      <c r="C272" s="9"/>
      <c r="D272" s="9"/>
      <c r="E272" s="11"/>
    </row>
    <row r="273" spans="1:5" ht="13.2" x14ac:dyDescent="0.25">
      <c r="A273" s="9"/>
      <c r="B273" s="9"/>
      <c r="C273" s="9"/>
      <c r="D273" s="9"/>
      <c r="E273" s="11"/>
    </row>
    <row r="274" spans="1:5" ht="13.2" x14ac:dyDescent="0.25">
      <c r="A274" s="9"/>
      <c r="B274" s="9"/>
      <c r="C274" s="9"/>
      <c r="D274" s="9"/>
      <c r="E274" s="11"/>
    </row>
    <row r="275" spans="1:5" ht="13.2" x14ac:dyDescent="0.25">
      <c r="A275" s="9"/>
      <c r="B275" s="9"/>
      <c r="C275" s="9"/>
      <c r="D275" s="9"/>
      <c r="E275" s="11"/>
    </row>
    <row r="276" spans="1:5" ht="13.2" x14ac:dyDescent="0.25">
      <c r="A276" s="9"/>
      <c r="B276" s="9"/>
      <c r="C276" s="9"/>
      <c r="D276" s="9"/>
      <c r="E276" s="11"/>
    </row>
    <row r="277" spans="1:5" ht="13.2" x14ac:dyDescent="0.25">
      <c r="A277" s="9"/>
      <c r="B277" s="9"/>
      <c r="C277" s="9"/>
      <c r="D277" s="9"/>
      <c r="E277" s="11"/>
    </row>
    <row r="278" spans="1:5" ht="13.2" x14ac:dyDescent="0.25">
      <c r="A278" s="9"/>
      <c r="B278" s="9"/>
      <c r="C278" s="9"/>
      <c r="D278" s="9"/>
      <c r="E278" s="11"/>
    </row>
    <row r="279" spans="1:5" ht="13.2" x14ac:dyDescent="0.25">
      <c r="A279" s="9"/>
      <c r="B279" s="9"/>
      <c r="C279" s="9"/>
      <c r="D279" s="9"/>
      <c r="E279" s="11"/>
    </row>
    <row r="280" spans="1:5" ht="13.2" x14ac:dyDescent="0.25">
      <c r="A280" s="9"/>
      <c r="B280" s="9"/>
      <c r="C280" s="9"/>
      <c r="D280" s="9"/>
      <c r="E280" s="11"/>
    </row>
    <row r="281" spans="1:5" ht="13.2" x14ac:dyDescent="0.25">
      <c r="A281" s="9"/>
      <c r="B281" s="9"/>
      <c r="C281" s="9"/>
      <c r="D281" s="9"/>
      <c r="E281" s="11"/>
    </row>
    <row r="282" spans="1:5" ht="13.2" x14ac:dyDescent="0.25">
      <c r="A282" s="9"/>
      <c r="B282" s="9"/>
      <c r="C282" s="9"/>
      <c r="D282" s="9"/>
      <c r="E282" s="11"/>
    </row>
    <row r="283" spans="1:5" ht="13.2" x14ac:dyDescent="0.25">
      <c r="A283" s="9"/>
      <c r="B283" s="9"/>
      <c r="C283" s="9"/>
      <c r="D283" s="9"/>
      <c r="E283" s="11"/>
    </row>
    <row r="284" spans="1:5" ht="13.2" x14ac:dyDescent="0.25">
      <c r="A284" s="9"/>
      <c r="B284" s="9"/>
      <c r="C284" s="9"/>
      <c r="D284" s="9"/>
      <c r="E284" s="11"/>
    </row>
    <row r="285" spans="1:5" ht="13.2" x14ac:dyDescent="0.25">
      <c r="A285" s="9"/>
      <c r="B285" s="9"/>
      <c r="C285" s="9"/>
      <c r="D285" s="9"/>
      <c r="E285" s="11"/>
    </row>
    <row r="286" spans="1:5" ht="13.2" x14ac:dyDescent="0.25">
      <c r="A286" s="9"/>
      <c r="B286" s="9"/>
      <c r="C286" s="9"/>
      <c r="D286" s="9"/>
      <c r="E286" s="11"/>
    </row>
    <row r="287" spans="1:5" ht="13.2" x14ac:dyDescent="0.25">
      <c r="A287" s="9"/>
      <c r="B287" s="9"/>
      <c r="C287" s="9"/>
      <c r="D287" s="9"/>
      <c r="E287" s="11"/>
    </row>
    <row r="288" spans="1:5" ht="13.2" x14ac:dyDescent="0.25">
      <c r="A288" s="9"/>
      <c r="B288" s="9"/>
      <c r="C288" s="9"/>
      <c r="D288" s="9"/>
      <c r="E288" s="11"/>
    </row>
    <row r="289" spans="1:5" ht="13.2" x14ac:dyDescent="0.25">
      <c r="A289" s="9"/>
      <c r="B289" s="9"/>
      <c r="C289" s="9"/>
      <c r="D289" s="9"/>
      <c r="E289" s="11"/>
    </row>
    <row r="290" spans="1:5" ht="13.2" x14ac:dyDescent="0.25">
      <c r="A290" s="9"/>
      <c r="B290" s="9"/>
      <c r="C290" s="9"/>
      <c r="D290" s="9"/>
      <c r="E290" s="11"/>
    </row>
    <row r="291" spans="1:5" ht="13.2" x14ac:dyDescent="0.25">
      <c r="A291" s="9"/>
      <c r="B291" s="9"/>
      <c r="C291" s="9"/>
      <c r="D291" s="9"/>
      <c r="E291" s="11"/>
    </row>
    <row r="292" spans="1:5" ht="13.2" x14ac:dyDescent="0.25">
      <c r="A292" s="9"/>
      <c r="B292" s="9"/>
      <c r="C292" s="9"/>
      <c r="D292" s="9"/>
      <c r="E292" s="11"/>
    </row>
    <row r="293" spans="1:5" ht="13.2" x14ac:dyDescent="0.25">
      <c r="A293" s="9"/>
      <c r="B293" s="9"/>
      <c r="C293" s="9"/>
      <c r="D293" s="9"/>
      <c r="E293" s="11"/>
    </row>
    <row r="294" spans="1:5" ht="13.2" x14ac:dyDescent="0.25">
      <c r="A294" s="9"/>
      <c r="B294" s="9"/>
      <c r="C294" s="9"/>
      <c r="D294" s="9"/>
      <c r="E294" s="11"/>
    </row>
    <row r="295" spans="1:5" ht="13.2" x14ac:dyDescent="0.25">
      <c r="A295" s="9"/>
      <c r="B295" s="9"/>
      <c r="C295" s="9"/>
      <c r="D295" s="9"/>
      <c r="E295" s="11"/>
    </row>
    <row r="296" spans="1:5" ht="13.2" x14ac:dyDescent="0.25">
      <c r="A296" s="9"/>
      <c r="B296" s="9"/>
      <c r="C296" s="9"/>
      <c r="D296" s="9"/>
      <c r="E296" s="11"/>
    </row>
    <row r="297" spans="1:5" ht="13.2" x14ac:dyDescent="0.25">
      <c r="A297" s="9"/>
      <c r="B297" s="9"/>
      <c r="C297" s="9"/>
      <c r="D297" s="9"/>
      <c r="E297" s="11"/>
    </row>
    <row r="298" spans="1:5" ht="13.2" x14ac:dyDescent="0.25">
      <c r="A298" s="9"/>
      <c r="B298" s="9"/>
      <c r="C298" s="9"/>
      <c r="D298" s="9"/>
      <c r="E298" s="11"/>
    </row>
    <row r="299" spans="1:5" ht="13.2" x14ac:dyDescent="0.25">
      <c r="A299" s="9"/>
      <c r="B299" s="9"/>
      <c r="C299" s="9"/>
      <c r="D299" s="9"/>
      <c r="E299" s="11"/>
    </row>
    <row r="300" spans="1:5" ht="13.2" x14ac:dyDescent="0.25">
      <c r="A300" s="9"/>
      <c r="B300" s="9"/>
      <c r="C300" s="9"/>
      <c r="D300" s="9"/>
      <c r="E300" s="11"/>
    </row>
    <row r="301" spans="1:5" ht="13.2" x14ac:dyDescent="0.25">
      <c r="A301" s="9"/>
      <c r="B301" s="9"/>
      <c r="C301" s="9"/>
      <c r="D301" s="9"/>
      <c r="E301" s="11"/>
    </row>
    <row r="302" spans="1:5" ht="13.2" x14ac:dyDescent="0.25">
      <c r="A302" s="9"/>
      <c r="B302" s="9"/>
      <c r="C302" s="9"/>
      <c r="D302" s="9"/>
      <c r="E302" s="11"/>
    </row>
    <row r="303" spans="1:5" ht="13.2" x14ac:dyDescent="0.25">
      <c r="A303" s="9"/>
      <c r="B303" s="9"/>
      <c r="C303" s="9"/>
      <c r="D303" s="9"/>
      <c r="E303" s="11"/>
    </row>
    <row r="304" spans="1:5" ht="13.2" x14ac:dyDescent="0.25">
      <c r="A304" s="9"/>
      <c r="B304" s="9"/>
      <c r="C304" s="9"/>
      <c r="D304" s="9"/>
      <c r="E304" s="11"/>
    </row>
    <row r="305" spans="1:5" ht="13.2" x14ac:dyDescent="0.25">
      <c r="A305" s="9"/>
      <c r="B305" s="9"/>
      <c r="C305" s="9"/>
      <c r="D305" s="9"/>
      <c r="E305" s="11"/>
    </row>
    <row r="306" spans="1:5" ht="13.2" x14ac:dyDescent="0.25">
      <c r="A306" s="9"/>
      <c r="B306" s="9"/>
      <c r="C306" s="9"/>
      <c r="D306" s="9"/>
      <c r="E306" s="11"/>
    </row>
    <row r="307" spans="1:5" ht="13.2" x14ac:dyDescent="0.25">
      <c r="A307" s="9"/>
      <c r="B307" s="9"/>
      <c r="C307" s="9"/>
      <c r="D307" s="9"/>
      <c r="E307" s="11"/>
    </row>
    <row r="308" spans="1:5" ht="13.2" x14ac:dyDescent="0.25">
      <c r="A308" s="9"/>
      <c r="B308" s="9"/>
      <c r="C308" s="9"/>
      <c r="D308" s="9"/>
      <c r="E308" s="11"/>
    </row>
    <row r="309" spans="1:5" ht="13.2" x14ac:dyDescent="0.25">
      <c r="A309" s="9"/>
      <c r="B309" s="9"/>
      <c r="C309" s="9"/>
      <c r="D309" s="9"/>
      <c r="E309" s="11"/>
    </row>
    <row r="310" spans="1:5" ht="13.2" x14ac:dyDescent="0.25">
      <c r="A310" s="9"/>
      <c r="B310" s="9"/>
      <c r="C310" s="9"/>
      <c r="D310" s="9"/>
      <c r="E310" s="11"/>
    </row>
    <row r="311" spans="1:5" ht="13.2" x14ac:dyDescent="0.25">
      <c r="A311" s="9"/>
      <c r="B311" s="9"/>
      <c r="C311" s="9"/>
      <c r="D311" s="9"/>
      <c r="E311" s="11"/>
    </row>
    <row r="312" spans="1:5" ht="13.2" x14ac:dyDescent="0.25">
      <c r="A312" s="9"/>
      <c r="B312" s="9"/>
      <c r="C312" s="9"/>
      <c r="D312" s="9"/>
      <c r="E312" s="11"/>
    </row>
    <row r="313" spans="1:5" ht="13.2" x14ac:dyDescent="0.25">
      <c r="A313" s="9"/>
      <c r="B313" s="9"/>
      <c r="C313" s="9"/>
      <c r="D313" s="9"/>
      <c r="E313" s="11"/>
    </row>
    <row r="314" spans="1:5" ht="13.2" x14ac:dyDescent="0.25">
      <c r="A314" s="9"/>
      <c r="B314" s="9"/>
      <c r="C314" s="9"/>
      <c r="D314" s="9"/>
      <c r="E314" s="11"/>
    </row>
    <row r="315" spans="1:5" ht="13.2" x14ac:dyDescent="0.25">
      <c r="A315" s="9"/>
      <c r="B315" s="9"/>
      <c r="C315" s="9"/>
      <c r="D315" s="9"/>
      <c r="E315" s="11"/>
    </row>
    <row r="316" spans="1:5" ht="13.2" x14ac:dyDescent="0.25">
      <c r="A316" s="9"/>
      <c r="B316" s="9"/>
      <c r="C316" s="9"/>
      <c r="D316" s="9"/>
      <c r="E316" s="11"/>
    </row>
    <row r="317" spans="1:5" ht="13.2" x14ac:dyDescent="0.25">
      <c r="A317" s="9"/>
      <c r="B317" s="9"/>
      <c r="C317" s="9"/>
      <c r="D317" s="9"/>
      <c r="E317" s="11"/>
    </row>
    <row r="318" spans="1:5" ht="13.2" x14ac:dyDescent="0.25">
      <c r="A318" s="9"/>
      <c r="B318" s="9"/>
      <c r="C318" s="9"/>
      <c r="D318" s="9"/>
      <c r="E318" s="11"/>
    </row>
    <row r="319" spans="1:5" ht="13.2" x14ac:dyDescent="0.25">
      <c r="A319" s="9"/>
      <c r="B319" s="9"/>
      <c r="C319" s="9"/>
      <c r="D319" s="9"/>
      <c r="E319" s="11"/>
    </row>
    <row r="320" spans="1:5" ht="13.2" x14ac:dyDescent="0.25">
      <c r="A320" s="9"/>
      <c r="B320" s="9"/>
      <c r="C320" s="9"/>
      <c r="D320" s="9"/>
      <c r="E320" s="11"/>
    </row>
    <row r="321" spans="1:5" ht="13.2" x14ac:dyDescent="0.25">
      <c r="A321" s="9"/>
      <c r="B321" s="9"/>
      <c r="C321" s="9"/>
      <c r="D321" s="9"/>
      <c r="E321" s="11"/>
    </row>
    <row r="322" spans="1:5" ht="13.2" x14ac:dyDescent="0.25">
      <c r="A322" s="9"/>
      <c r="B322" s="9"/>
      <c r="C322" s="9"/>
      <c r="D322" s="9"/>
      <c r="E322" s="11"/>
    </row>
    <row r="323" spans="1:5" ht="13.2" x14ac:dyDescent="0.25">
      <c r="A323" s="9"/>
      <c r="B323" s="9"/>
      <c r="C323" s="9"/>
      <c r="D323" s="9"/>
      <c r="E323" s="11"/>
    </row>
    <row r="324" spans="1:5" ht="13.2" x14ac:dyDescent="0.25">
      <c r="A324" s="9"/>
      <c r="B324" s="9"/>
      <c r="C324" s="9"/>
      <c r="D324" s="9"/>
      <c r="E324" s="11"/>
    </row>
    <row r="325" spans="1:5" ht="13.2" x14ac:dyDescent="0.25">
      <c r="A325" s="9"/>
      <c r="B325" s="9"/>
      <c r="C325" s="9"/>
      <c r="D325" s="9"/>
      <c r="E325" s="11"/>
    </row>
    <row r="326" spans="1:5" ht="13.2" x14ac:dyDescent="0.25">
      <c r="A326" s="9"/>
      <c r="B326" s="9"/>
      <c r="C326" s="9"/>
      <c r="D326" s="9"/>
      <c r="E326" s="11"/>
    </row>
    <row r="327" spans="1:5" ht="13.2" x14ac:dyDescent="0.25">
      <c r="A327" s="9"/>
      <c r="B327" s="9"/>
      <c r="C327" s="9"/>
      <c r="D327" s="9"/>
      <c r="E327" s="11"/>
    </row>
    <row r="328" spans="1:5" ht="13.2" x14ac:dyDescent="0.25">
      <c r="A328" s="9"/>
      <c r="B328" s="9"/>
      <c r="C328" s="9"/>
      <c r="D328" s="9"/>
      <c r="E328" s="11"/>
    </row>
    <row r="329" spans="1:5" ht="13.2" x14ac:dyDescent="0.25">
      <c r="A329" s="9"/>
      <c r="B329" s="9"/>
      <c r="C329" s="9"/>
      <c r="D329" s="9"/>
      <c r="E329" s="11"/>
    </row>
    <row r="330" spans="1:5" ht="13.2" x14ac:dyDescent="0.25">
      <c r="A330" s="9"/>
      <c r="B330" s="9"/>
      <c r="C330" s="9"/>
      <c r="D330" s="9"/>
      <c r="E330" s="11"/>
    </row>
    <row r="331" spans="1:5" ht="13.2" x14ac:dyDescent="0.25">
      <c r="A331" s="9"/>
      <c r="B331" s="9"/>
      <c r="C331" s="9"/>
      <c r="D331" s="9"/>
      <c r="E331" s="11"/>
    </row>
    <row r="332" spans="1:5" ht="13.2" x14ac:dyDescent="0.25">
      <c r="A332" s="9"/>
      <c r="B332" s="9"/>
      <c r="C332" s="9"/>
      <c r="D332" s="9"/>
      <c r="E332" s="11"/>
    </row>
    <row r="333" spans="1:5" ht="13.2" x14ac:dyDescent="0.25">
      <c r="A333" s="9"/>
      <c r="B333" s="9"/>
      <c r="C333" s="9"/>
      <c r="D333" s="9"/>
      <c r="E333" s="11"/>
    </row>
    <row r="334" spans="1:5" ht="13.2" x14ac:dyDescent="0.25">
      <c r="A334" s="9"/>
      <c r="B334" s="9"/>
      <c r="C334" s="9"/>
      <c r="D334" s="9"/>
      <c r="E334" s="11"/>
    </row>
    <row r="335" spans="1:5" ht="13.2" x14ac:dyDescent="0.25">
      <c r="A335" s="9"/>
      <c r="B335" s="9"/>
      <c r="C335" s="9"/>
      <c r="D335" s="9"/>
      <c r="E335" s="11"/>
    </row>
    <row r="336" spans="1:5" ht="13.2" x14ac:dyDescent="0.25">
      <c r="A336" s="9"/>
      <c r="B336" s="9"/>
      <c r="C336" s="9"/>
      <c r="D336" s="9"/>
      <c r="E336" s="11"/>
    </row>
    <row r="337" spans="1:5" ht="13.2" x14ac:dyDescent="0.25">
      <c r="A337" s="9"/>
      <c r="B337" s="9"/>
      <c r="C337" s="9"/>
      <c r="D337" s="9"/>
      <c r="E337" s="11"/>
    </row>
    <row r="338" spans="1:5" ht="13.2" x14ac:dyDescent="0.25">
      <c r="A338" s="9"/>
      <c r="B338" s="9"/>
      <c r="C338" s="9"/>
      <c r="D338" s="9"/>
      <c r="E338" s="11"/>
    </row>
    <row r="339" spans="1:5" ht="13.2" x14ac:dyDescent="0.25">
      <c r="A339" s="9"/>
      <c r="B339" s="9"/>
      <c r="C339" s="9"/>
      <c r="D339" s="9"/>
      <c r="E339" s="11"/>
    </row>
    <row r="340" spans="1:5" ht="13.2" x14ac:dyDescent="0.25">
      <c r="A340" s="9"/>
      <c r="B340" s="9"/>
      <c r="C340" s="9"/>
      <c r="D340" s="9"/>
      <c r="E340" s="11"/>
    </row>
    <row r="341" spans="1:5" ht="13.2" x14ac:dyDescent="0.25">
      <c r="A341" s="9"/>
      <c r="B341" s="9"/>
      <c r="C341" s="9"/>
      <c r="D341" s="9"/>
      <c r="E341" s="11"/>
    </row>
    <row r="342" spans="1:5" ht="13.2" x14ac:dyDescent="0.25">
      <c r="A342" s="9"/>
      <c r="B342" s="9"/>
      <c r="C342" s="9"/>
      <c r="D342" s="9"/>
      <c r="E342" s="11"/>
    </row>
    <row r="343" spans="1:5" ht="13.2" x14ac:dyDescent="0.25">
      <c r="A343" s="9"/>
      <c r="B343" s="9"/>
      <c r="C343" s="9"/>
      <c r="D343" s="9"/>
      <c r="E343" s="11"/>
    </row>
    <row r="344" spans="1:5" ht="13.2" x14ac:dyDescent="0.25">
      <c r="A344" s="9"/>
      <c r="B344" s="9"/>
      <c r="C344" s="9"/>
      <c r="D344" s="9"/>
      <c r="E344" s="11"/>
    </row>
    <row r="345" spans="1:5" ht="13.2" x14ac:dyDescent="0.25">
      <c r="A345" s="9"/>
      <c r="B345" s="9"/>
      <c r="C345" s="9"/>
      <c r="D345" s="9"/>
      <c r="E345" s="11"/>
    </row>
    <row r="346" spans="1:5" ht="13.2" x14ac:dyDescent="0.25">
      <c r="A346" s="9"/>
      <c r="B346" s="9"/>
      <c r="C346" s="9"/>
      <c r="D346" s="9"/>
      <c r="E346" s="11"/>
    </row>
    <row r="347" spans="1:5" ht="13.2" x14ac:dyDescent="0.25">
      <c r="A347" s="9"/>
      <c r="B347" s="9"/>
      <c r="C347" s="9"/>
      <c r="D347" s="9"/>
      <c r="E347" s="11"/>
    </row>
    <row r="348" spans="1:5" ht="13.2" x14ac:dyDescent="0.25">
      <c r="A348" s="9"/>
      <c r="B348" s="9"/>
      <c r="C348" s="9"/>
      <c r="D348" s="9"/>
      <c r="E348" s="11"/>
    </row>
    <row r="349" spans="1:5" ht="13.2" x14ac:dyDescent="0.25">
      <c r="A349" s="9"/>
      <c r="B349" s="9"/>
      <c r="C349" s="9"/>
      <c r="D349" s="9"/>
      <c r="E349" s="11"/>
    </row>
    <row r="350" spans="1:5" ht="13.2" x14ac:dyDescent="0.25">
      <c r="A350" s="9"/>
      <c r="B350" s="9"/>
      <c r="C350" s="9"/>
      <c r="D350" s="9"/>
      <c r="E350" s="11"/>
    </row>
    <row r="351" spans="1:5" ht="13.2" x14ac:dyDescent="0.25">
      <c r="A351" s="9"/>
      <c r="B351" s="9"/>
      <c r="C351" s="9"/>
      <c r="D351" s="9"/>
      <c r="E351" s="11"/>
    </row>
    <row r="352" spans="1:5" ht="13.2" x14ac:dyDescent="0.25">
      <c r="A352" s="9"/>
      <c r="B352" s="9"/>
      <c r="C352" s="9"/>
      <c r="D352" s="9"/>
      <c r="E352" s="11"/>
    </row>
    <row r="353" spans="1:5" ht="13.2" x14ac:dyDescent="0.25">
      <c r="A353" s="9"/>
      <c r="B353" s="9"/>
      <c r="C353" s="9"/>
      <c r="D353" s="9"/>
      <c r="E353" s="11"/>
    </row>
    <row r="354" spans="1:5" ht="13.2" x14ac:dyDescent="0.25">
      <c r="A354" s="9"/>
      <c r="B354" s="9"/>
      <c r="C354" s="9"/>
      <c r="D354" s="9"/>
      <c r="E354" s="11"/>
    </row>
    <row r="355" spans="1:5" ht="13.2" x14ac:dyDescent="0.25">
      <c r="A355" s="9"/>
      <c r="B355" s="9"/>
      <c r="C355" s="9"/>
      <c r="D355" s="9"/>
      <c r="E355" s="11"/>
    </row>
    <row r="356" spans="1:5" ht="13.2" x14ac:dyDescent="0.25">
      <c r="A356" s="9"/>
      <c r="B356" s="9"/>
      <c r="C356" s="9"/>
      <c r="D356" s="9"/>
      <c r="E356" s="11"/>
    </row>
    <row r="357" spans="1:5" ht="13.2" x14ac:dyDescent="0.25">
      <c r="A357" s="9"/>
      <c r="B357" s="9"/>
      <c r="C357" s="9"/>
      <c r="D357" s="9"/>
      <c r="E357" s="11"/>
    </row>
    <row r="358" spans="1:5" ht="13.2" x14ac:dyDescent="0.25">
      <c r="A358" s="9"/>
      <c r="B358" s="9"/>
      <c r="C358" s="9"/>
      <c r="D358" s="9"/>
      <c r="E358" s="11"/>
    </row>
    <row r="359" spans="1:5" ht="13.2" x14ac:dyDescent="0.25">
      <c r="A359" s="9"/>
      <c r="B359" s="9"/>
      <c r="C359" s="9"/>
      <c r="D359" s="9"/>
      <c r="E359" s="11"/>
    </row>
    <row r="360" spans="1:5" ht="13.2" x14ac:dyDescent="0.25">
      <c r="A360" s="9"/>
      <c r="B360" s="9"/>
      <c r="C360" s="9"/>
      <c r="D360" s="9"/>
      <c r="E360" s="11"/>
    </row>
    <row r="361" spans="1:5" ht="13.2" x14ac:dyDescent="0.25">
      <c r="A361" s="9"/>
      <c r="B361" s="9"/>
      <c r="C361" s="9"/>
      <c r="D361" s="9"/>
      <c r="E361" s="11"/>
    </row>
    <row r="362" spans="1:5" ht="13.2" x14ac:dyDescent="0.25">
      <c r="A362" s="9"/>
      <c r="B362" s="9"/>
      <c r="C362" s="9"/>
      <c r="D362" s="9"/>
      <c r="E362" s="11"/>
    </row>
    <row r="363" spans="1:5" ht="13.2" x14ac:dyDescent="0.25">
      <c r="A363" s="9"/>
      <c r="B363" s="9"/>
      <c r="C363" s="9"/>
      <c r="D363" s="9"/>
      <c r="E363" s="11"/>
    </row>
    <row r="364" spans="1:5" ht="13.2" x14ac:dyDescent="0.25">
      <c r="A364" s="9"/>
      <c r="B364" s="9"/>
      <c r="C364" s="9"/>
      <c r="D364" s="9"/>
      <c r="E364" s="11"/>
    </row>
    <row r="365" spans="1:5" ht="13.2" x14ac:dyDescent="0.25">
      <c r="A365" s="9"/>
      <c r="B365" s="9"/>
      <c r="C365" s="9"/>
      <c r="D365" s="9"/>
      <c r="E365" s="11"/>
    </row>
    <row r="366" spans="1:5" ht="13.2" x14ac:dyDescent="0.25">
      <c r="A366" s="9"/>
      <c r="B366" s="9"/>
      <c r="C366" s="9"/>
      <c r="D366" s="9"/>
      <c r="E366" s="11"/>
    </row>
    <row r="367" spans="1:5" ht="13.2" x14ac:dyDescent="0.25">
      <c r="A367" s="9"/>
      <c r="B367" s="9"/>
      <c r="C367" s="9"/>
      <c r="D367" s="9"/>
      <c r="E367" s="11"/>
    </row>
    <row r="368" spans="1:5" ht="13.2" x14ac:dyDescent="0.25">
      <c r="A368" s="9"/>
      <c r="B368" s="9"/>
      <c r="C368" s="9"/>
      <c r="D368" s="9"/>
      <c r="E368" s="11"/>
    </row>
    <row r="369" spans="1:5" ht="13.2" x14ac:dyDescent="0.25">
      <c r="A369" s="9"/>
      <c r="B369" s="9"/>
      <c r="C369" s="9"/>
      <c r="D369" s="9"/>
      <c r="E369" s="11"/>
    </row>
    <row r="370" spans="1:5" ht="13.2" x14ac:dyDescent="0.25">
      <c r="A370" s="9"/>
      <c r="B370" s="9"/>
      <c r="C370" s="9"/>
      <c r="D370" s="9"/>
      <c r="E370" s="11"/>
    </row>
    <row r="371" spans="1:5" ht="13.2" x14ac:dyDescent="0.25">
      <c r="A371" s="9"/>
      <c r="B371" s="9"/>
      <c r="C371" s="9"/>
      <c r="D371" s="9"/>
      <c r="E371" s="11"/>
    </row>
    <row r="372" spans="1:5" ht="13.2" x14ac:dyDescent="0.25">
      <c r="A372" s="9"/>
      <c r="B372" s="9"/>
      <c r="C372" s="9"/>
      <c r="D372" s="9"/>
      <c r="E372" s="11"/>
    </row>
    <row r="373" spans="1:5" ht="13.2" x14ac:dyDescent="0.25">
      <c r="A373" s="9"/>
      <c r="B373" s="9"/>
      <c r="C373" s="9"/>
      <c r="D373" s="9"/>
      <c r="E373" s="11"/>
    </row>
    <row r="374" spans="1:5" ht="13.2" x14ac:dyDescent="0.25">
      <c r="A374" s="9"/>
      <c r="B374" s="9"/>
      <c r="C374" s="9"/>
      <c r="D374" s="9"/>
      <c r="E374" s="11"/>
    </row>
    <row r="375" spans="1:5" ht="13.2" x14ac:dyDescent="0.25">
      <c r="A375" s="9"/>
      <c r="B375" s="9"/>
      <c r="C375" s="9"/>
      <c r="D375" s="9"/>
      <c r="E375" s="11"/>
    </row>
    <row r="376" spans="1:5" ht="13.2" x14ac:dyDescent="0.25">
      <c r="A376" s="9"/>
      <c r="B376" s="9"/>
      <c r="C376" s="9"/>
      <c r="D376" s="9"/>
      <c r="E376" s="11"/>
    </row>
    <row r="377" spans="1:5" ht="13.2" x14ac:dyDescent="0.25">
      <c r="A377" s="9"/>
      <c r="B377" s="9"/>
      <c r="C377" s="9"/>
      <c r="D377" s="9"/>
      <c r="E377" s="11"/>
    </row>
    <row r="378" spans="1:5" ht="13.2" x14ac:dyDescent="0.25">
      <c r="A378" s="9"/>
      <c r="B378" s="9"/>
      <c r="C378" s="9"/>
      <c r="D378" s="9"/>
      <c r="E378" s="11"/>
    </row>
    <row r="379" spans="1:5" ht="13.2" x14ac:dyDescent="0.25">
      <c r="A379" s="9"/>
      <c r="B379" s="9"/>
      <c r="C379" s="9"/>
      <c r="D379" s="9"/>
      <c r="E379" s="11"/>
    </row>
    <row r="380" spans="1:5" ht="13.2" x14ac:dyDescent="0.25">
      <c r="A380" s="9"/>
      <c r="B380" s="9"/>
      <c r="C380" s="9"/>
      <c r="D380" s="9"/>
      <c r="E380" s="11"/>
    </row>
    <row r="381" spans="1:5" ht="13.2" x14ac:dyDescent="0.25">
      <c r="A381" s="9"/>
      <c r="B381" s="9"/>
      <c r="C381" s="9"/>
      <c r="D381" s="9"/>
      <c r="E381" s="11"/>
    </row>
    <row r="382" spans="1:5" ht="13.2" x14ac:dyDescent="0.25">
      <c r="A382" s="9"/>
      <c r="B382" s="9"/>
      <c r="C382" s="9"/>
      <c r="D382" s="9"/>
      <c r="E382" s="11"/>
    </row>
    <row r="383" spans="1:5" ht="13.2" x14ac:dyDescent="0.25">
      <c r="A383" s="9"/>
      <c r="B383" s="9"/>
      <c r="C383" s="9"/>
      <c r="D383" s="9"/>
      <c r="E383" s="11"/>
    </row>
    <row r="384" spans="1:5" ht="13.2" x14ac:dyDescent="0.25">
      <c r="A384" s="9"/>
      <c r="B384" s="9"/>
      <c r="C384" s="9"/>
      <c r="D384" s="9"/>
      <c r="E384" s="11"/>
    </row>
    <row r="385" spans="1:5" ht="13.2" x14ac:dyDescent="0.25">
      <c r="A385" s="9"/>
      <c r="B385" s="9"/>
      <c r="C385" s="9"/>
      <c r="D385" s="9"/>
      <c r="E385" s="11"/>
    </row>
    <row r="386" spans="1:5" ht="13.2" x14ac:dyDescent="0.25">
      <c r="A386" s="9"/>
      <c r="B386" s="9"/>
      <c r="C386" s="9"/>
      <c r="D386" s="9"/>
      <c r="E386" s="11"/>
    </row>
    <row r="387" spans="1:5" ht="13.2" x14ac:dyDescent="0.25">
      <c r="A387" s="9"/>
      <c r="B387" s="9"/>
      <c r="C387" s="9"/>
      <c r="D387" s="9"/>
      <c r="E387" s="11"/>
    </row>
    <row r="388" spans="1:5" ht="13.2" x14ac:dyDescent="0.25">
      <c r="A388" s="9"/>
      <c r="B388" s="9"/>
      <c r="C388" s="9"/>
      <c r="D388" s="9"/>
      <c r="E388" s="11"/>
    </row>
    <row r="389" spans="1:5" ht="13.2" x14ac:dyDescent="0.25">
      <c r="A389" s="9"/>
      <c r="B389" s="9"/>
      <c r="C389" s="9"/>
      <c r="D389" s="9"/>
      <c r="E389" s="11"/>
    </row>
    <row r="390" spans="1:5" ht="13.2" x14ac:dyDescent="0.25">
      <c r="A390" s="9"/>
      <c r="B390" s="9"/>
      <c r="C390" s="9"/>
      <c r="D390" s="9"/>
      <c r="E390" s="11"/>
    </row>
    <row r="391" spans="1:5" ht="13.2" x14ac:dyDescent="0.25">
      <c r="A391" s="9"/>
      <c r="B391" s="9"/>
      <c r="C391" s="9"/>
      <c r="D391" s="9"/>
      <c r="E391" s="11"/>
    </row>
    <row r="392" spans="1:5" ht="13.2" x14ac:dyDescent="0.25">
      <c r="A392" s="9"/>
      <c r="B392" s="9"/>
      <c r="C392" s="9"/>
      <c r="D392" s="9"/>
      <c r="E392" s="11"/>
    </row>
    <row r="393" spans="1:5" ht="13.2" x14ac:dyDescent="0.25">
      <c r="A393" s="9"/>
      <c r="B393" s="9"/>
      <c r="C393" s="9"/>
      <c r="D393" s="9"/>
      <c r="E393" s="11"/>
    </row>
    <row r="394" spans="1:5" ht="13.2" x14ac:dyDescent="0.25">
      <c r="A394" s="9"/>
      <c r="B394" s="9"/>
      <c r="C394" s="9"/>
      <c r="D394" s="9"/>
      <c r="E394" s="11"/>
    </row>
    <row r="395" spans="1:5" ht="13.2" x14ac:dyDescent="0.25">
      <c r="A395" s="9"/>
      <c r="B395" s="9"/>
      <c r="C395" s="9"/>
      <c r="D395" s="9"/>
      <c r="E395" s="11"/>
    </row>
    <row r="396" spans="1:5" ht="13.2" x14ac:dyDescent="0.25">
      <c r="A396" s="9"/>
      <c r="B396" s="9"/>
      <c r="C396" s="9"/>
      <c r="D396" s="9"/>
      <c r="E396" s="11"/>
    </row>
    <row r="397" spans="1:5" ht="13.2" x14ac:dyDescent="0.25">
      <c r="A397" s="9"/>
      <c r="B397" s="9"/>
      <c r="C397" s="9"/>
      <c r="D397" s="9"/>
      <c r="E397" s="11"/>
    </row>
    <row r="398" spans="1:5" ht="13.2" x14ac:dyDescent="0.25">
      <c r="A398" s="9"/>
      <c r="B398" s="9"/>
      <c r="C398" s="9"/>
      <c r="D398" s="9"/>
      <c r="E398" s="11"/>
    </row>
    <row r="399" spans="1:5" ht="13.2" x14ac:dyDescent="0.25">
      <c r="A399" s="9"/>
      <c r="B399" s="9"/>
      <c r="C399" s="9"/>
      <c r="D399" s="9"/>
      <c r="E399" s="11"/>
    </row>
    <row r="400" spans="1:5" ht="13.2" x14ac:dyDescent="0.25">
      <c r="A400" s="9"/>
      <c r="B400" s="9"/>
      <c r="C400" s="9"/>
      <c r="D400" s="9"/>
      <c r="E400" s="11"/>
    </row>
    <row r="401" spans="1:5" ht="13.2" x14ac:dyDescent="0.25">
      <c r="A401" s="9"/>
      <c r="B401" s="9"/>
      <c r="C401" s="9"/>
      <c r="D401" s="9"/>
      <c r="E401" s="11"/>
    </row>
    <row r="402" spans="1:5" ht="13.2" x14ac:dyDescent="0.25">
      <c r="A402" s="9"/>
      <c r="B402" s="9"/>
      <c r="C402" s="9"/>
      <c r="D402" s="9"/>
      <c r="E402" s="11"/>
    </row>
    <row r="403" spans="1:5" ht="13.2" x14ac:dyDescent="0.25">
      <c r="A403" s="9"/>
      <c r="B403" s="9"/>
      <c r="C403" s="9"/>
      <c r="D403" s="9"/>
      <c r="E403" s="11"/>
    </row>
    <row r="404" spans="1:5" ht="13.2" x14ac:dyDescent="0.25">
      <c r="A404" s="9"/>
      <c r="B404" s="9"/>
      <c r="C404" s="9"/>
      <c r="D404" s="9"/>
      <c r="E404" s="11"/>
    </row>
    <row r="405" spans="1:5" ht="13.2" x14ac:dyDescent="0.25">
      <c r="A405" s="9"/>
      <c r="B405" s="9"/>
      <c r="C405" s="9"/>
      <c r="D405" s="9"/>
      <c r="E405" s="11"/>
    </row>
    <row r="406" spans="1:5" ht="13.2" x14ac:dyDescent="0.25">
      <c r="A406" s="9"/>
      <c r="B406" s="9"/>
      <c r="C406" s="9"/>
      <c r="D406" s="9"/>
      <c r="E406" s="11"/>
    </row>
    <row r="407" spans="1:5" ht="13.2" x14ac:dyDescent="0.25">
      <c r="A407" s="9"/>
      <c r="B407" s="9"/>
      <c r="C407" s="9"/>
      <c r="D407" s="9"/>
      <c r="E407" s="11"/>
    </row>
    <row r="408" spans="1:5" ht="13.2" x14ac:dyDescent="0.25">
      <c r="A408" s="9"/>
      <c r="B408" s="9"/>
      <c r="C408" s="9"/>
      <c r="D408" s="9"/>
      <c r="E408" s="11"/>
    </row>
    <row r="409" spans="1:5" ht="13.2" x14ac:dyDescent="0.25">
      <c r="A409" s="9"/>
      <c r="B409" s="9"/>
      <c r="C409" s="9"/>
      <c r="D409" s="9"/>
      <c r="E409" s="11"/>
    </row>
    <row r="410" spans="1:5" ht="13.2" x14ac:dyDescent="0.25">
      <c r="A410" s="9"/>
      <c r="B410" s="9"/>
      <c r="C410" s="9"/>
      <c r="D410" s="9"/>
      <c r="E410" s="11"/>
    </row>
    <row r="411" spans="1:5" ht="13.2" x14ac:dyDescent="0.25">
      <c r="A411" s="9"/>
      <c r="B411" s="9"/>
      <c r="C411" s="9"/>
      <c r="D411" s="9"/>
      <c r="E411" s="11"/>
    </row>
    <row r="412" spans="1:5" ht="13.2" x14ac:dyDescent="0.25">
      <c r="A412" s="9"/>
      <c r="B412" s="9"/>
      <c r="C412" s="9"/>
      <c r="D412" s="9"/>
      <c r="E412" s="11"/>
    </row>
    <row r="413" spans="1:5" ht="13.2" x14ac:dyDescent="0.25">
      <c r="A413" s="9"/>
      <c r="B413" s="9"/>
      <c r="C413" s="9"/>
      <c r="D413" s="9"/>
      <c r="E413" s="11"/>
    </row>
    <row r="414" spans="1:5" ht="13.2" x14ac:dyDescent="0.25">
      <c r="A414" s="9"/>
      <c r="B414" s="9"/>
      <c r="C414" s="9"/>
      <c r="D414" s="9"/>
      <c r="E414" s="11"/>
    </row>
    <row r="415" spans="1:5" ht="13.2" x14ac:dyDescent="0.25">
      <c r="A415" s="9"/>
      <c r="B415" s="9"/>
      <c r="C415" s="9"/>
      <c r="D415" s="9"/>
      <c r="E415" s="11"/>
    </row>
    <row r="416" spans="1:5" ht="13.2" x14ac:dyDescent="0.25">
      <c r="A416" s="9"/>
      <c r="B416" s="9"/>
      <c r="C416" s="9"/>
      <c r="D416" s="9"/>
      <c r="E416" s="11"/>
    </row>
    <row r="417" spans="1:5" ht="13.2" x14ac:dyDescent="0.25">
      <c r="A417" s="9"/>
      <c r="B417" s="9"/>
      <c r="C417" s="9"/>
      <c r="D417" s="9"/>
      <c r="E417" s="11"/>
    </row>
    <row r="418" spans="1:5" ht="13.2" x14ac:dyDescent="0.25">
      <c r="A418" s="9"/>
      <c r="B418" s="9"/>
      <c r="C418" s="9"/>
      <c r="D418" s="9"/>
      <c r="E418" s="11"/>
    </row>
    <row r="419" spans="1:5" ht="13.2" x14ac:dyDescent="0.25">
      <c r="A419" s="9"/>
      <c r="B419" s="9"/>
      <c r="C419" s="9"/>
      <c r="D419" s="9"/>
      <c r="E419" s="11"/>
    </row>
    <row r="420" spans="1:5" ht="13.2" x14ac:dyDescent="0.25">
      <c r="A420" s="9"/>
      <c r="B420" s="9"/>
      <c r="C420" s="9"/>
      <c r="D420" s="9"/>
      <c r="E420" s="11"/>
    </row>
    <row r="421" spans="1:5" ht="13.2" x14ac:dyDescent="0.25">
      <c r="A421" s="9"/>
      <c r="B421" s="9"/>
      <c r="C421" s="9"/>
      <c r="D421" s="9"/>
      <c r="E421" s="11"/>
    </row>
    <row r="422" spans="1:5" ht="13.2" x14ac:dyDescent="0.25">
      <c r="A422" s="9"/>
      <c r="B422" s="9"/>
      <c r="C422" s="9"/>
      <c r="D422" s="9"/>
      <c r="E422" s="11"/>
    </row>
    <row r="423" spans="1:5" ht="13.2" x14ac:dyDescent="0.25">
      <c r="A423" s="9"/>
      <c r="B423" s="9"/>
      <c r="C423" s="9"/>
      <c r="D423" s="9"/>
      <c r="E423" s="11"/>
    </row>
    <row r="424" spans="1:5" ht="13.2" x14ac:dyDescent="0.25">
      <c r="A424" s="9"/>
      <c r="B424" s="9"/>
      <c r="C424" s="9"/>
      <c r="D424" s="9"/>
      <c r="E424" s="11"/>
    </row>
    <row r="425" spans="1:5" ht="13.2" x14ac:dyDescent="0.25">
      <c r="A425" s="9"/>
      <c r="B425" s="9"/>
      <c r="C425" s="9"/>
      <c r="D425" s="9"/>
      <c r="E425" s="11"/>
    </row>
    <row r="426" spans="1:5" ht="13.2" x14ac:dyDescent="0.25">
      <c r="A426" s="9"/>
      <c r="B426" s="9"/>
      <c r="C426" s="9"/>
      <c r="D426" s="9"/>
      <c r="E426" s="11"/>
    </row>
    <row r="427" spans="1:5" ht="13.2" x14ac:dyDescent="0.25">
      <c r="A427" s="9"/>
      <c r="B427" s="9"/>
      <c r="C427" s="9"/>
      <c r="D427" s="9"/>
      <c r="E427" s="11"/>
    </row>
    <row r="428" spans="1:5" ht="13.2" x14ac:dyDescent="0.25">
      <c r="A428" s="9"/>
      <c r="B428" s="9"/>
      <c r="C428" s="9"/>
      <c r="D428" s="9"/>
      <c r="E428" s="11"/>
    </row>
    <row r="429" spans="1:5" ht="13.2" x14ac:dyDescent="0.25">
      <c r="A429" s="9"/>
      <c r="B429" s="9"/>
      <c r="C429" s="9"/>
      <c r="D429" s="9"/>
      <c r="E429" s="11"/>
    </row>
    <row r="430" spans="1:5" ht="13.2" x14ac:dyDescent="0.25">
      <c r="A430" s="9"/>
      <c r="B430" s="9"/>
      <c r="C430" s="9"/>
      <c r="D430" s="9"/>
      <c r="E430" s="11"/>
    </row>
    <row r="431" spans="1:5" ht="13.2" x14ac:dyDescent="0.25">
      <c r="A431" s="9"/>
      <c r="B431" s="9"/>
      <c r="C431" s="9"/>
      <c r="D431" s="9"/>
      <c r="E431" s="11"/>
    </row>
    <row r="432" spans="1:5" ht="13.2" x14ac:dyDescent="0.25">
      <c r="A432" s="9"/>
      <c r="B432" s="9"/>
      <c r="C432" s="9"/>
      <c r="D432" s="9"/>
      <c r="E432" s="11"/>
    </row>
    <row r="433" spans="1:5" ht="13.2" x14ac:dyDescent="0.25">
      <c r="A433" s="9"/>
      <c r="B433" s="9"/>
      <c r="C433" s="9"/>
      <c r="D433" s="9"/>
      <c r="E433" s="11"/>
    </row>
    <row r="434" spans="1:5" ht="13.2" x14ac:dyDescent="0.25">
      <c r="A434" s="9"/>
      <c r="B434" s="9"/>
      <c r="C434" s="9"/>
      <c r="D434" s="9"/>
      <c r="E434" s="11"/>
    </row>
    <row r="435" spans="1:5" ht="13.2" x14ac:dyDescent="0.25">
      <c r="A435" s="9"/>
      <c r="B435" s="9"/>
      <c r="C435" s="9"/>
      <c r="D435" s="9"/>
      <c r="E435" s="11"/>
    </row>
    <row r="436" spans="1:5" ht="13.2" x14ac:dyDescent="0.25">
      <c r="A436" s="9"/>
      <c r="B436" s="9"/>
      <c r="C436" s="9"/>
      <c r="D436" s="9"/>
      <c r="E436" s="11"/>
    </row>
    <row r="437" spans="1:5" ht="13.2" x14ac:dyDescent="0.25">
      <c r="A437" s="9"/>
      <c r="B437" s="9"/>
      <c r="C437" s="9"/>
      <c r="D437" s="9"/>
      <c r="E437" s="11"/>
    </row>
    <row r="438" spans="1:5" ht="13.2" x14ac:dyDescent="0.25">
      <c r="A438" s="9"/>
      <c r="B438" s="9"/>
      <c r="C438" s="9"/>
      <c r="D438" s="9"/>
      <c r="E438" s="11"/>
    </row>
    <row r="439" spans="1:5" ht="13.2" x14ac:dyDescent="0.25">
      <c r="A439" s="9"/>
      <c r="B439" s="9"/>
      <c r="C439" s="9"/>
      <c r="D439" s="9"/>
      <c r="E439" s="11"/>
    </row>
    <row r="440" spans="1:5" ht="13.2" x14ac:dyDescent="0.25">
      <c r="A440" s="9"/>
      <c r="B440" s="9"/>
      <c r="C440" s="9"/>
      <c r="D440" s="9"/>
      <c r="E440" s="11"/>
    </row>
    <row r="441" spans="1:5" ht="13.2" x14ac:dyDescent="0.25">
      <c r="A441" s="9"/>
      <c r="B441" s="9"/>
      <c r="C441" s="9"/>
      <c r="D441" s="9"/>
      <c r="E441" s="11"/>
    </row>
    <row r="442" spans="1:5" ht="13.2" x14ac:dyDescent="0.25">
      <c r="A442" s="9"/>
      <c r="B442" s="9"/>
      <c r="C442" s="9"/>
      <c r="D442" s="9"/>
      <c r="E442" s="11"/>
    </row>
    <row r="443" spans="1:5" ht="13.2" x14ac:dyDescent="0.25">
      <c r="A443" s="9"/>
      <c r="B443" s="9"/>
      <c r="C443" s="9"/>
      <c r="D443" s="9"/>
      <c r="E443" s="11"/>
    </row>
    <row r="444" spans="1:5" ht="13.2" x14ac:dyDescent="0.25">
      <c r="A444" s="9"/>
      <c r="B444" s="9"/>
      <c r="C444" s="9"/>
      <c r="D444" s="9"/>
      <c r="E444" s="11"/>
    </row>
    <row r="445" spans="1:5" ht="13.2" x14ac:dyDescent="0.25">
      <c r="A445" s="9"/>
      <c r="B445" s="9"/>
      <c r="C445" s="9"/>
      <c r="D445" s="9"/>
      <c r="E445" s="11"/>
    </row>
    <row r="446" spans="1:5" ht="13.2" x14ac:dyDescent="0.25">
      <c r="A446" s="9"/>
      <c r="B446" s="9"/>
      <c r="C446" s="9"/>
      <c r="D446" s="9"/>
      <c r="E446" s="11"/>
    </row>
    <row r="447" spans="1:5" ht="13.2" x14ac:dyDescent="0.25">
      <c r="A447" s="9"/>
      <c r="B447" s="9"/>
      <c r="C447" s="9"/>
      <c r="D447" s="9"/>
      <c r="E447" s="11"/>
    </row>
    <row r="448" spans="1:5" ht="13.2" x14ac:dyDescent="0.25">
      <c r="A448" s="9"/>
      <c r="B448" s="9"/>
      <c r="C448" s="9"/>
      <c r="D448" s="9"/>
      <c r="E448" s="11"/>
    </row>
    <row r="449" spans="1:5" ht="13.2" x14ac:dyDescent="0.25">
      <c r="A449" s="9"/>
      <c r="B449" s="9"/>
      <c r="C449" s="9"/>
      <c r="D449" s="9"/>
      <c r="E449" s="11"/>
    </row>
    <row r="450" spans="1:5" ht="13.2" x14ac:dyDescent="0.25">
      <c r="A450" s="9"/>
      <c r="B450" s="9"/>
      <c r="C450" s="9"/>
      <c r="D450" s="9"/>
      <c r="E450" s="11"/>
    </row>
    <row r="451" spans="1:5" ht="13.2" x14ac:dyDescent="0.25">
      <c r="A451" s="9"/>
      <c r="B451" s="9"/>
      <c r="C451" s="9"/>
      <c r="D451" s="9"/>
      <c r="E451" s="11"/>
    </row>
    <row r="452" spans="1:5" ht="13.2" x14ac:dyDescent="0.25">
      <c r="A452" s="9"/>
      <c r="B452" s="9"/>
      <c r="C452" s="9"/>
      <c r="D452" s="9"/>
      <c r="E452" s="11"/>
    </row>
    <row r="453" spans="1:5" ht="13.2" x14ac:dyDescent="0.25">
      <c r="A453" s="9"/>
      <c r="B453" s="9"/>
      <c r="C453" s="9"/>
      <c r="D453" s="9"/>
      <c r="E453" s="11"/>
    </row>
    <row r="454" spans="1:5" ht="13.2" x14ac:dyDescent="0.25">
      <c r="A454" s="9"/>
      <c r="B454" s="9"/>
      <c r="C454" s="9"/>
      <c r="D454" s="9"/>
      <c r="E454" s="11"/>
    </row>
    <row r="455" spans="1:5" ht="13.2" x14ac:dyDescent="0.25">
      <c r="A455" s="9"/>
      <c r="B455" s="9"/>
      <c r="C455" s="9"/>
      <c r="D455" s="9"/>
      <c r="E455" s="11"/>
    </row>
    <row r="456" spans="1:5" ht="13.2" x14ac:dyDescent="0.25">
      <c r="A456" s="9"/>
      <c r="B456" s="9"/>
      <c r="C456" s="9"/>
      <c r="D456" s="9"/>
      <c r="E456" s="11"/>
    </row>
    <row r="457" spans="1:5" ht="13.2" x14ac:dyDescent="0.25">
      <c r="A457" s="9"/>
      <c r="B457" s="9"/>
      <c r="C457" s="9"/>
      <c r="D457" s="9"/>
      <c r="E457" s="11"/>
    </row>
    <row r="458" spans="1:5" ht="13.2" x14ac:dyDescent="0.25">
      <c r="A458" s="9"/>
      <c r="B458" s="9"/>
      <c r="C458" s="9"/>
      <c r="D458" s="9"/>
      <c r="E458" s="11"/>
    </row>
    <row r="459" spans="1:5" ht="13.2" x14ac:dyDescent="0.25">
      <c r="A459" s="9"/>
      <c r="B459" s="9"/>
      <c r="C459" s="9"/>
      <c r="D459" s="9"/>
      <c r="E459" s="11"/>
    </row>
    <row r="460" spans="1:5" ht="13.2" x14ac:dyDescent="0.25">
      <c r="A460" s="9"/>
      <c r="B460" s="9"/>
      <c r="C460" s="9"/>
      <c r="D460" s="9"/>
      <c r="E460" s="11"/>
    </row>
    <row r="461" spans="1:5" ht="13.2" x14ac:dyDescent="0.25">
      <c r="A461" s="9"/>
      <c r="B461" s="9"/>
      <c r="C461" s="9"/>
      <c r="D461" s="9"/>
      <c r="E461" s="11"/>
    </row>
    <row r="462" spans="1:5" ht="13.2" x14ac:dyDescent="0.25">
      <c r="A462" s="9"/>
      <c r="B462" s="9"/>
      <c r="C462" s="9"/>
      <c r="D462" s="9"/>
      <c r="E462" s="11"/>
    </row>
    <row r="463" spans="1:5" ht="13.2" x14ac:dyDescent="0.25">
      <c r="A463" s="9"/>
      <c r="B463" s="9"/>
      <c r="C463" s="9"/>
      <c r="D463" s="9"/>
      <c r="E463" s="11"/>
    </row>
    <row r="464" spans="1:5" ht="13.2" x14ac:dyDescent="0.25">
      <c r="A464" s="9"/>
      <c r="B464" s="9"/>
      <c r="C464" s="9"/>
      <c r="D464" s="9"/>
      <c r="E464" s="11"/>
    </row>
    <row r="465" spans="1:5" ht="13.2" x14ac:dyDescent="0.25">
      <c r="A465" s="9"/>
      <c r="B465" s="9"/>
      <c r="C465" s="9"/>
      <c r="D465" s="9"/>
      <c r="E465" s="11"/>
    </row>
    <row r="466" spans="1:5" ht="13.2" x14ac:dyDescent="0.25">
      <c r="A466" s="9"/>
      <c r="B466" s="9"/>
      <c r="C466" s="9"/>
      <c r="D466" s="9"/>
      <c r="E466" s="11"/>
    </row>
    <row r="467" spans="1:5" ht="13.2" x14ac:dyDescent="0.25">
      <c r="A467" s="9"/>
      <c r="B467" s="9"/>
      <c r="C467" s="9"/>
      <c r="D467" s="9"/>
      <c r="E467" s="11"/>
    </row>
    <row r="468" spans="1:5" ht="13.2" x14ac:dyDescent="0.25">
      <c r="A468" s="9"/>
      <c r="B468" s="9"/>
      <c r="C468" s="9"/>
      <c r="D468" s="9"/>
      <c r="E468" s="11"/>
    </row>
    <row r="469" spans="1:5" ht="13.2" x14ac:dyDescent="0.25">
      <c r="A469" s="9"/>
      <c r="B469" s="9"/>
      <c r="C469" s="9"/>
      <c r="D469" s="9"/>
      <c r="E469" s="11"/>
    </row>
    <row r="470" spans="1:5" ht="13.2" x14ac:dyDescent="0.25">
      <c r="A470" s="9"/>
      <c r="B470" s="9"/>
      <c r="C470" s="9"/>
      <c r="D470" s="9"/>
      <c r="E470" s="11"/>
    </row>
    <row r="471" spans="1:5" ht="13.2" x14ac:dyDescent="0.25">
      <c r="A471" s="9"/>
      <c r="B471" s="9"/>
      <c r="C471" s="9"/>
      <c r="D471" s="9"/>
      <c r="E471" s="11"/>
    </row>
    <row r="472" spans="1:5" ht="13.2" x14ac:dyDescent="0.25">
      <c r="A472" s="9"/>
      <c r="B472" s="9"/>
      <c r="C472" s="9"/>
      <c r="D472" s="9"/>
      <c r="E472" s="11"/>
    </row>
    <row r="473" spans="1:5" ht="13.2" x14ac:dyDescent="0.25">
      <c r="A473" s="9"/>
      <c r="B473" s="9"/>
      <c r="C473" s="9"/>
      <c r="D473" s="9"/>
      <c r="E473" s="11"/>
    </row>
    <row r="474" spans="1:5" ht="13.2" x14ac:dyDescent="0.25">
      <c r="A474" s="9"/>
      <c r="B474" s="9"/>
      <c r="C474" s="9"/>
      <c r="D474" s="9"/>
      <c r="E474" s="11"/>
    </row>
    <row r="475" spans="1:5" ht="13.2" x14ac:dyDescent="0.25">
      <c r="A475" s="9"/>
      <c r="B475" s="9"/>
      <c r="C475" s="9"/>
      <c r="D475" s="9"/>
      <c r="E475" s="11"/>
    </row>
    <row r="476" spans="1:5" ht="13.2" x14ac:dyDescent="0.25">
      <c r="A476" s="9"/>
      <c r="B476" s="9"/>
      <c r="C476" s="9"/>
      <c r="D476" s="9"/>
      <c r="E476" s="11"/>
    </row>
    <row r="477" spans="1:5" ht="13.2" x14ac:dyDescent="0.25">
      <c r="A477" s="9"/>
      <c r="B477" s="9"/>
      <c r="C477" s="9"/>
      <c r="D477" s="9"/>
      <c r="E477" s="11"/>
    </row>
    <row r="478" spans="1:5" ht="13.2" x14ac:dyDescent="0.25">
      <c r="A478" s="9"/>
      <c r="B478" s="9"/>
      <c r="C478" s="9"/>
      <c r="D478" s="9"/>
      <c r="E478" s="11"/>
    </row>
    <row r="479" spans="1:5" ht="13.2" x14ac:dyDescent="0.25">
      <c r="A479" s="9"/>
      <c r="B479" s="9"/>
      <c r="C479" s="9"/>
      <c r="D479" s="9"/>
      <c r="E479" s="11"/>
    </row>
    <row r="480" spans="1:5" ht="13.2" x14ac:dyDescent="0.25">
      <c r="A480" s="9"/>
      <c r="B480" s="9"/>
      <c r="C480" s="9"/>
      <c r="D480" s="9"/>
      <c r="E480" s="11"/>
    </row>
    <row r="481" spans="1:5" ht="13.2" x14ac:dyDescent="0.25">
      <c r="A481" s="9"/>
      <c r="B481" s="9"/>
      <c r="C481" s="9"/>
      <c r="D481" s="9"/>
      <c r="E481" s="11"/>
    </row>
    <row r="482" spans="1:5" ht="13.2" x14ac:dyDescent="0.25">
      <c r="A482" s="9"/>
      <c r="B482" s="9"/>
      <c r="C482" s="9"/>
      <c r="D482" s="9"/>
      <c r="E482" s="11"/>
    </row>
    <row r="483" spans="1:5" ht="13.2" x14ac:dyDescent="0.25">
      <c r="A483" s="9"/>
      <c r="B483" s="9"/>
      <c r="C483" s="9"/>
      <c r="D483" s="9"/>
      <c r="E483" s="11"/>
    </row>
    <row r="484" spans="1:5" ht="13.2" x14ac:dyDescent="0.25">
      <c r="A484" s="9"/>
      <c r="B484" s="9"/>
      <c r="C484" s="9"/>
      <c r="D484" s="9"/>
      <c r="E484" s="11"/>
    </row>
    <row r="485" spans="1:5" ht="13.2" x14ac:dyDescent="0.25">
      <c r="A485" s="9"/>
      <c r="B485" s="9"/>
      <c r="C485" s="9"/>
      <c r="D485" s="9"/>
      <c r="E485" s="11"/>
    </row>
    <row r="486" spans="1:5" ht="13.2" x14ac:dyDescent="0.25">
      <c r="A486" s="9"/>
      <c r="B486" s="9"/>
      <c r="C486" s="9"/>
      <c r="D486" s="9"/>
      <c r="E486" s="11"/>
    </row>
    <row r="487" spans="1:5" ht="13.2" x14ac:dyDescent="0.25">
      <c r="A487" s="9"/>
      <c r="B487" s="9"/>
      <c r="C487" s="9"/>
      <c r="D487" s="9"/>
      <c r="E487" s="11"/>
    </row>
    <row r="488" spans="1:5" ht="13.2" x14ac:dyDescent="0.25">
      <c r="A488" s="9"/>
      <c r="B488" s="9"/>
      <c r="C488" s="9"/>
      <c r="D488" s="9"/>
      <c r="E488" s="11"/>
    </row>
    <row r="489" spans="1:5" ht="13.2" x14ac:dyDescent="0.25">
      <c r="A489" s="9"/>
      <c r="B489" s="9"/>
      <c r="C489" s="9"/>
      <c r="D489" s="9"/>
      <c r="E489" s="11"/>
    </row>
    <row r="490" spans="1:5" ht="13.2" x14ac:dyDescent="0.25">
      <c r="A490" s="9"/>
      <c r="B490" s="9"/>
      <c r="C490" s="9"/>
      <c r="D490" s="9"/>
      <c r="E490" s="11"/>
    </row>
    <row r="491" spans="1:5" ht="13.2" x14ac:dyDescent="0.25">
      <c r="A491" s="9"/>
      <c r="B491" s="9"/>
      <c r="C491" s="9"/>
      <c r="D491" s="9"/>
      <c r="E491" s="11"/>
    </row>
    <row r="492" spans="1:5" ht="13.2" x14ac:dyDescent="0.25">
      <c r="A492" s="9"/>
      <c r="B492" s="9"/>
      <c r="C492" s="9"/>
      <c r="D492" s="9"/>
      <c r="E492" s="11"/>
    </row>
    <row r="493" spans="1:5" ht="13.2" x14ac:dyDescent="0.25">
      <c r="A493" s="9"/>
      <c r="B493" s="9"/>
      <c r="C493" s="9"/>
      <c r="D493" s="9"/>
      <c r="E493" s="11"/>
    </row>
    <row r="494" spans="1:5" ht="13.2" x14ac:dyDescent="0.25">
      <c r="A494" s="9"/>
      <c r="B494" s="9"/>
      <c r="C494" s="9"/>
      <c r="D494" s="9"/>
      <c r="E494" s="11"/>
    </row>
    <row r="495" spans="1:5" ht="13.2" x14ac:dyDescent="0.25">
      <c r="A495" s="9"/>
      <c r="B495" s="9"/>
      <c r="C495" s="9"/>
      <c r="D495" s="9"/>
      <c r="E495" s="11"/>
    </row>
    <row r="496" spans="1:5" ht="13.2" x14ac:dyDescent="0.25">
      <c r="A496" s="9"/>
      <c r="B496" s="9"/>
      <c r="C496" s="9"/>
      <c r="D496" s="9"/>
      <c r="E496" s="11"/>
    </row>
    <row r="497" spans="1:5" ht="13.2" x14ac:dyDescent="0.25">
      <c r="A497" s="9"/>
      <c r="B497" s="9"/>
      <c r="C497" s="9"/>
      <c r="D497" s="9"/>
      <c r="E497" s="11"/>
    </row>
    <row r="498" spans="1:5" ht="13.2" x14ac:dyDescent="0.25">
      <c r="A498" s="9"/>
      <c r="B498" s="9"/>
      <c r="C498" s="9"/>
      <c r="D498" s="9"/>
      <c r="E498" s="11"/>
    </row>
    <row r="499" spans="1:5" ht="13.2" x14ac:dyDescent="0.25">
      <c r="A499" s="9"/>
      <c r="B499" s="9"/>
      <c r="C499" s="9"/>
      <c r="D499" s="9"/>
      <c r="E499" s="11"/>
    </row>
    <row r="500" spans="1:5" ht="13.2" x14ac:dyDescent="0.25">
      <c r="A500" s="9"/>
      <c r="B500" s="9"/>
      <c r="C500" s="9"/>
      <c r="D500" s="9"/>
      <c r="E500" s="11"/>
    </row>
    <row r="501" spans="1:5" ht="13.2" x14ac:dyDescent="0.25">
      <c r="A501" s="9"/>
      <c r="B501" s="9"/>
      <c r="C501" s="9"/>
      <c r="D501" s="9"/>
      <c r="E501" s="11"/>
    </row>
    <row r="502" spans="1:5" ht="13.2" x14ac:dyDescent="0.25">
      <c r="A502" s="9"/>
      <c r="B502" s="9"/>
      <c r="C502" s="9"/>
      <c r="D502" s="9"/>
      <c r="E502" s="11"/>
    </row>
    <row r="503" spans="1:5" ht="13.2" x14ac:dyDescent="0.25">
      <c r="A503" s="9"/>
      <c r="B503" s="9"/>
      <c r="C503" s="9"/>
      <c r="D503" s="9"/>
      <c r="E503" s="11"/>
    </row>
    <row r="504" spans="1:5" ht="13.2" x14ac:dyDescent="0.25">
      <c r="A504" s="9"/>
      <c r="B504" s="9"/>
      <c r="C504" s="9"/>
      <c r="D504" s="9"/>
      <c r="E504" s="11"/>
    </row>
    <row r="505" spans="1:5" ht="13.2" x14ac:dyDescent="0.25">
      <c r="A505" s="9"/>
      <c r="B505" s="9"/>
      <c r="C505" s="9"/>
      <c r="D505" s="9"/>
      <c r="E505" s="11"/>
    </row>
    <row r="506" spans="1:5" ht="13.2" x14ac:dyDescent="0.25">
      <c r="A506" s="9"/>
      <c r="B506" s="9"/>
      <c r="C506" s="9"/>
      <c r="D506" s="9"/>
      <c r="E506" s="11"/>
    </row>
    <row r="507" spans="1:5" ht="13.2" x14ac:dyDescent="0.25">
      <c r="A507" s="9"/>
      <c r="B507" s="9"/>
      <c r="C507" s="9"/>
      <c r="D507" s="9"/>
      <c r="E507" s="11"/>
    </row>
    <row r="508" spans="1:5" ht="13.2" x14ac:dyDescent="0.25">
      <c r="A508" s="9"/>
      <c r="B508" s="9"/>
      <c r="C508" s="9"/>
      <c r="D508" s="9"/>
      <c r="E508" s="11"/>
    </row>
    <row r="509" spans="1:5" ht="13.2" x14ac:dyDescent="0.25">
      <c r="A509" s="9"/>
      <c r="B509" s="9"/>
      <c r="C509" s="9"/>
      <c r="D509" s="9"/>
      <c r="E509" s="11"/>
    </row>
    <row r="510" spans="1:5" ht="13.2" x14ac:dyDescent="0.25">
      <c r="A510" s="9"/>
      <c r="B510" s="9"/>
      <c r="C510" s="9"/>
      <c r="D510" s="9"/>
      <c r="E510" s="11"/>
    </row>
    <row r="511" spans="1:5" ht="13.2" x14ac:dyDescent="0.25">
      <c r="A511" s="9"/>
      <c r="B511" s="9"/>
      <c r="C511" s="9"/>
      <c r="D511" s="9"/>
      <c r="E511" s="11"/>
    </row>
    <row r="512" spans="1:5" ht="13.2" x14ac:dyDescent="0.25">
      <c r="A512" s="9"/>
      <c r="B512" s="9"/>
      <c r="C512" s="9"/>
      <c r="D512" s="9"/>
      <c r="E512" s="11"/>
    </row>
    <row r="513" spans="1:5" ht="13.2" x14ac:dyDescent="0.25">
      <c r="A513" s="9"/>
      <c r="B513" s="9"/>
      <c r="C513" s="9"/>
      <c r="D513" s="9"/>
      <c r="E513" s="11"/>
    </row>
    <row r="514" spans="1:5" ht="13.2" x14ac:dyDescent="0.25">
      <c r="A514" s="9"/>
      <c r="B514" s="9"/>
      <c r="C514" s="9"/>
      <c r="D514" s="9"/>
      <c r="E514" s="11"/>
    </row>
    <row r="515" spans="1:5" ht="13.2" x14ac:dyDescent="0.25">
      <c r="A515" s="9"/>
      <c r="B515" s="9"/>
      <c r="C515" s="9"/>
      <c r="D515" s="9"/>
      <c r="E515" s="11"/>
    </row>
    <row r="516" spans="1:5" ht="13.2" x14ac:dyDescent="0.25">
      <c r="A516" s="9"/>
      <c r="B516" s="9"/>
      <c r="C516" s="9"/>
      <c r="D516" s="9"/>
      <c r="E516" s="11"/>
    </row>
    <row r="517" spans="1:5" ht="13.2" x14ac:dyDescent="0.25">
      <c r="A517" s="9"/>
      <c r="B517" s="9"/>
      <c r="C517" s="9"/>
      <c r="D517" s="9"/>
      <c r="E517" s="11"/>
    </row>
    <row r="518" spans="1:5" ht="13.2" x14ac:dyDescent="0.25">
      <c r="A518" s="9"/>
      <c r="B518" s="9"/>
      <c r="C518" s="9"/>
      <c r="D518" s="9"/>
      <c r="E518" s="11"/>
    </row>
    <row r="519" spans="1:5" ht="13.2" x14ac:dyDescent="0.25">
      <c r="A519" s="9"/>
      <c r="B519" s="9"/>
      <c r="C519" s="9"/>
      <c r="D519" s="9"/>
      <c r="E519" s="11"/>
    </row>
    <row r="520" spans="1:5" ht="13.2" x14ac:dyDescent="0.25">
      <c r="A520" s="9"/>
      <c r="B520" s="9"/>
      <c r="C520" s="9"/>
      <c r="D520" s="9"/>
      <c r="E520" s="11"/>
    </row>
    <row r="521" spans="1:5" ht="13.2" x14ac:dyDescent="0.25">
      <c r="A521" s="9"/>
      <c r="B521" s="9"/>
      <c r="C521" s="9"/>
      <c r="D521" s="9"/>
      <c r="E521" s="11"/>
    </row>
    <row r="522" spans="1:5" ht="13.2" x14ac:dyDescent="0.25">
      <c r="A522" s="9"/>
      <c r="B522" s="9"/>
      <c r="C522" s="9"/>
      <c r="D522" s="9"/>
      <c r="E522" s="11"/>
    </row>
    <row r="523" spans="1:5" ht="13.2" x14ac:dyDescent="0.25">
      <c r="A523" s="9"/>
      <c r="B523" s="9"/>
      <c r="C523" s="9"/>
      <c r="D523" s="9"/>
      <c r="E523" s="11"/>
    </row>
    <row r="524" spans="1:5" ht="13.2" x14ac:dyDescent="0.25">
      <c r="A524" s="9"/>
      <c r="B524" s="9"/>
      <c r="C524" s="9"/>
      <c r="D524" s="9"/>
      <c r="E524" s="11"/>
    </row>
    <row r="525" spans="1:5" ht="13.2" x14ac:dyDescent="0.25">
      <c r="A525" s="9"/>
      <c r="B525" s="9"/>
      <c r="C525" s="9"/>
      <c r="D525" s="9"/>
      <c r="E525" s="11"/>
    </row>
    <row r="526" spans="1:5" ht="13.2" x14ac:dyDescent="0.25">
      <c r="A526" s="9"/>
      <c r="B526" s="9"/>
      <c r="C526" s="9"/>
      <c r="D526" s="9"/>
      <c r="E526" s="11"/>
    </row>
    <row r="527" spans="1:5" ht="13.2" x14ac:dyDescent="0.25">
      <c r="A527" s="9"/>
      <c r="B527" s="9"/>
      <c r="C527" s="9"/>
      <c r="D527" s="9"/>
      <c r="E527" s="11"/>
    </row>
    <row r="528" spans="1:5" ht="13.2" x14ac:dyDescent="0.25">
      <c r="A528" s="9"/>
      <c r="B528" s="9"/>
      <c r="C528" s="9"/>
      <c r="D528" s="9"/>
      <c r="E528" s="11"/>
    </row>
    <row r="529" spans="1:5" ht="13.2" x14ac:dyDescent="0.25">
      <c r="A529" s="9"/>
      <c r="B529" s="9"/>
      <c r="C529" s="9"/>
      <c r="D529" s="9"/>
      <c r="E529" s="11"/>
    </row>
    <row r="530" spans="1:5" ht="13.2" x14ac:dyDescent="0.25">
      <c r="A530" s="9"/>
      <c r="B530" s="9"/>
      <c r="C530" s="9"/>
      <c r="D530" s="9"/>
      <c r="E530" s="11"/>
    </row>
    <row r="531" spans="1:5" ht="13.2" x14ac:dyDescent="0.25">
      <c r="A531" s="9"/>
      <c r="B531" s="9"/>
      <c r="C531" s="9"/>
      <c r="D531" s="9"/>
      <c r="E531" s="11"/>
    </row>
    <row r="532" spans="1:5" ht="13.2" x14ac:dyDescent="0.25">
      <c r="A532" s="9"/>
      <c r="B532" s="9"/>
      <c r="C532" s="9"/>
      <c r="D532" s="9"/>
      <c r="E532" s="11"/>
    </row>
    <row r="533" spans="1:5" ht="13.2" x14ac:dyDescent="0.25">
      <c r="A533" s="9"/>
      <c r="B533" s="9"/>
      <c r="C533" s="9"/>
      <c r="D533" s="9"/>
      <c r="E533" s="11"/>
    </row>
    <row r="534" spans="1:5" ht="13.2" x14ac:dyDescent="0.25">
      <c r="A534" s="9"/>
      <c r="B534" s="9"/>
      <c r="C534" s="9"/>
      <c r="D534" s="9"/>
      <c r="E534" s="11"/>
    </row>
    <row r="535" spans="1:5" ht="13.2" x14ac:dyDescent="0.25">
      <c r="A535" s="9"/>
      <c r="B535" s="9"/>
      <c r="C535" s="9"/>
      <c r="D535" s="9"/>
      <c r="E535" s="11"/>
    </row>
    <row r="536" spans="1:5" ht="13.2" x14ac:dyDescent="0.25">
      <c r="A536" s="9"/>
      <c r="B536" s="9"/>
      <c r="C536" s="9"/>
      <c r="D536" s="9"/>
      <c r="E536" s="11"/>
    </row>
    <row r="537" spans="1:5" ht="13.2" x14ac:dyDescent="0.25">
      <c r="A537" s="9"/>
      <c r="B537" s="9"/>
      <c r="C537" s="9"/>
      <c r="D537" s="9"/>
      <c r="E537" s="11"/>
    </row>
    <row r="538" spans="1:5" ht="13.2" x14ac:dyDescent="0.25">
      <c r="A538" s="9"/>
      <c r="B538" s="9"/>
      <c r="C538" s="9"/>
      <c r="D538" s="9"/>
      <c r="E538" s="11"/>
    </row>
    <row r="539" spans="1:5" ht="13.2" x14ac:dyDescent="0.25">
      <c r="A539" s="9"/>
      <c r="B539" s="9"/>
      <c r="C539" s="9"/>
      <c r="D539" s="9"/>
      <c r="E539" s="11"/>
    </row>
    <row r="540" spans="1:5" ht="13.2" x14ac:dyDescent="0.25">
      <c r="A540" s="9"/>
      <c r="B540" s="9"/>
      <c r="C540" s="9"/>
      <c r="D540" s="9"/>
      <c r="E540" s="11"/>
    </row>
    <row r="541" spans="1:5" ht="13.2" x14ac:dyDescent="0.25">
      <c r="A541" s="9"/>
      <c r="B541" s="9"/>
      <c r="C541" s="9"/>
      <c r="D541" s="9"/>
      <c r="E541" s="11"/>
    </row>
    <row r="542" spans="1:5" ht="13.2" x14ac:dyDescent="0.25">
      <c r="A542" s="9"/>
      <c r="B542" s="9"/>
      <c r="C542" s="9"/>
      <c r="D542" s="9"/>
      <c r="E542" s="11"/>
    </row>
    <row r="543" spans="1:5" ht="13.2" x14ac:dyDescent="0.25">
      <c r="A543" s="9"/>
      <c r="B543" s="9"/>
      <c r="C543" s="9"/>
      <c r="D543" s="9"/>
      <c r="E543" s="11"/>
    </row>
    <row r="544" spans="1:5" ht="13.2" x14ac:dyDescent="0.25">
      <c r="A544" s="9"/>
      <c r="B544" s="9"/>
      <c r="C544" s="9"/>
      <c r="D544" s="9"/>
      <c r="E544" s="11"/>
    </row>
    <row r="545" spans="1:5" ht="13.2" x14ac:dyDescent="0.25">
      <c r="A545" s="9"/>
      <c r="B545" s="9"/>
      <c r="C545" s="9"/>
      <c r="D545" s="9"/>
      <c r="E545" s="11"/>
    </row>
    <row r="546" spans="1:5" ht="13.2" x14ac:dyDescent="0.25">
      <c r="A546" s="9"/>
      <c r="B546" s="9"/>
      <c r="C546" s="9"/>
      <c r="D546" s="9"/>
      <c r="E546" s="11"/>
    </row>
    <row r="547" spans="1:5" ht="13.2" x14ac:dyDescent="0.25">
      <c r="A547" s="9"/>
      <c r="B547" s="9"/>
      <c r="C547" s="9"/>
      <c r="D547" s="9"/>
      <c r="E547" s="11"/>
    </row>
    <row r="548" spans="1:5" ht="13.2" x14ac:dyDescent="0.25">
      <c r="A548" s="9"/>
      <c r="B548" s="9"/>
      <c r="C548" s="9"/>
      <c r="D548" s="9"/>
      <c r="E548" s="11"/>
    </row>
    <row r="549" spans="1:5" ht="13.2" x14ac:dyDescent="0.25">
      <c r="A549" s="9"/>
      <c r="B549" s="9"/>
      <c r="C549" s="9"/>
      <c r="D549" s="9"/>
      <c r="E549" s="11"/>
    </row>
    <row r="550" spans="1:5" ht="13.2" x14ac:dyDescent="0.25">
      <c r="A550" s="9"/>
      <c r="B550" s="9"/>
      <c r="C550" s="9"/>
      <c r="D550" s="9"/>
      <c r="E550" s="11"/>
    </row>
    <row r="551" spans="1:5" ht="13.2" x14ac:dyDescent="0.25">
      <c r="A551" s="9"/>
      <c r="B551" s="9"/>
      <c r="C551" s="9"/>
      <c r="D551" s="9"/>
      <c r="E551" s="11"/>
    </row>
    <row r="552" spans="1:5" ht="13.2" x14ac:dyDescent="0.25">
      <c r="A552" s="9"/>
      <c r="B552" s="9"/>
      <c r="C552" s="9"/>
      <c r="D552" s="9"/>
      <c r="E552" s="11"/>
    </row>
    <row r="553" spans="1:5" ht="13.2" x14ac:dyDescent="0.25">
      <c r="A553" s="9"/>
      <c r="B553" s="9"/>
      <c r="C553" s="9"/>
      <c r="D553" s="9"/>
      <c r="E553" s="11"/>
    </row>
    <row r="554" spans="1:5" ht="13.2" x14ac:dyDescent="0.25">
      <c r="A554" s="9"/>
      <c r="B554" s="9"/>
      <c r="C554" s="9"/>
      <c r="D554" s="9"/>
      <c r="E554" s="11"/>
    </row>
    <row r="555" spans="1:5" ht="13.2" x14ac:dyDescent="0.25">
      <c r="A555" s="9"/>
      <c r="B555" s="9"/>
      <c r="C555" s="9"/>
      <c r="D555" s="9"/>
      <c r="E555" s="11"/>
    </row>
    <row r="556" spans="1:5" ht="13.2" x14ac:dyDescent="0.25">
      <c r="A556" s="9"/>
      <c r="B556" s="9"/>
      <c r="C556" s="9"/>
      <c r="D556" s="9"/>
      <c r="E556" s="11"/>
    </row>
    <row r="557" spans="1:5" ht="13.2" x14ac:dyDescent="0.25">
      <c r="A557" s="9"/>
      <c r="B557" s="9"/>
      <c r="C557" s="9"/>
      <c r="D557" s="9"/>
      <c r="E557" s="11"/>
    </row>
    <row r="558" spans="1:5" ht="13.2" x14ac:dyDescent="0.25">
      <c r="A558" s="9"/>
      <c r="B558" s="9"/>
      <c r="C558" s="9"/>
      <c r="D558" s="9"/>
      <c r="E558" s="11"/>
    </row>
    <row r="559" spans="1:5" ht="13.2" x14ac:dyDescent="0.25">
      <c r="A559" s="9"/>
      <c r="B559" s="9"/>
      <c r="C559" s="9"/>
      <c r="D559" s="9"/>
      <c r="E559" s="11"/>
    </row>
    <row r="560" spans="1:5" ht="13.2" x14ac:dyDescent="0.25">
      <c r="A560" s="9"/>
      <c r="B560" s="9"/>
      <c r="C560" s="9"/>
      <c r="D560" s="9"/>
      <c r="E560" s="11"/>
    </row>
    <row r="561" spans="1:5" ht="13.2" x14ac:dyDescent="0.25">
      <c r="A561" s="9"/>
      <c r="B561" s="9"/>
      <c r="C561" s="9"/>
      <c r="D561" s="9"/>
      <c r="E561" s="11"/>
    </row>
    <row r="562" spans="1:5" ht="13.2" x14ac:dyDescent="0.25">
      <c r="A562" s="9"/>
      <c r="B562" s="9"/>
      <c r="C562" s="9"/>
      <c r="D562" s="9"/>
      <c r="E562" s="11"/>
    </row>
    <row r="563" spans="1:5" ht="13.2" x14ac:dyDescent="0.25">
      <c r="A563" s="9"/>
      <c r="B563" s="9"/>
      <c r="C563" s="9"/>
      <c r="D563" s="9"/>
      <c r="E563" s="11"/>
    </row>
    <row r="564" spans="1:5" ht="13.2" x14ac:dyDescent="0.25">
      <c r="A564" s="9"/>
      <c r="B564" s="9"/>
      <c r="C564" s="9"/>
      <c r="D564" s="9"/>
      <c r="E564" s="11"/>
    </row>
    <row r="565" spans="1:5" ht="13.2" x14ac:dyDescent="0.25">
      <c r="A565" s="9"/>
      <c r="B565" s="9"/>
      <c r="C565" s="9"/>
      <c r="D565" s="9"/>
      <c r="E565" s="11"/>
    </row>
    <row r="566" spans="1:5" ht="13.2" x14ac:dyDescent="0.25">
      <c r="A566" s="9"/>
      <c r="B566" s="9"/>
      <c r="C566" s="9"/>
      <c r="D566" s="9"/>
      <c r="E566" s="11"/>
    </row>
    <row r="567" spans="1:5" ht="13.2" x14ac:dyDescent="0.25">
      <c r="A567" s="9"/>
      <c r="B567" s="9"/>
      <c r="C567" s="9"/>
      <c r="D567" s="9"/>
      <c r="E567" s="11"/>
    </row>
    <row r="568" spans="1:5" ht="13.2" x14ac:dyDescent="0.25">
      <c r="A568" s="9"/>
      <c r="B568" s="9"/>
      <c r="C568" s="9"/>
      <c r="D568" s="9"/>
      <c r="E568" s="11"/>
    </row>
    <row r="569" spans="1:5" ht="13.2" x14ac:dyDescent="0.25">
      <c r="A569" s="9"/>
      <c r="B569" s="9"/>
      <c r="C569" s="9"/>
      <c r="D569" s="9"/>
      <c r="E569" s="11"/>
    </row>
    <row r="570" spans="1:5" ht="13.2" x14ac:dyDescent="0.25">
      <c r="A570" s="9"/>
      <c r="B570" s="9"/>
      <c r="C570" s="9"/>
      <c r="D570" s="9"/>
      <c r="E570" s="11"/>
    </row>
    <row r="571" spans="1:5" ht="13.2" x14ac:dyDescent="0.25">
      <c r="A571" s="9"/>
      <c r="B571" s="9"/>
      <c r="C571" s="9"/>
      <c r="D571" s="9"/>
      <c r="E571" s="11"/>
    </row>
    <row r="572" spans="1:5" ht="13.2" x14ac:dyDescent="0.25">
      <c r="A572" s="9"/>
      <c r="B572" s="9"/>
      <c r="C572" s="9"/>
      <c r="D572" s="9"/>
      <c r="E572" s="11"/>
    </row>
    <row r="573" spans="1:5" ht="13.2" x14ac:dyDescent="0.25">
      <c r="A573" s="9"/>
      <c r="B573" s="9"/>
      <c r="C573" s="9"/>
      <c r="D573" s="9"/>
      <c r="E573" s="11"/>
    </row>
    <row r="574" spans="1:5" ht="13.2" x14ac:dyDescent="0.25">
      <c r="A574" s="9"/>
      <c r="B574" s="9"/>
      <c r="C574" s="9"/>
      <c r="D574" s="9"/>
      <c r="E574" s="11"/>
    </row>
    <row r="575" spans="1:5" ht="13.2" x14ac:dyDescent="0.25">
      <c r="A575" s="9"/>
      <c r="B575" s="9"/>
      <c r="C575" s="9"/>
      <c r="D575" s="9"/>
      <c r="E575" s="11"/>
    </row>
    <row r="576" spans="1:5" ht="13.2" x14ac:dyDescent="0.25">
      <c r="A576" s="9"/>
      <c r="B576" s="9"/>
      <c r="C576" s="9"/>
      <c r="D576" s="9"/>
      <c r="E576" s="11"/>
    </row>
    <row r="577" spans="1:5" ht="13.2" x14ac:dyDescent="0.25">
      <c r="A577" s="9"/>
      <c r="B577" s="9"/>
      <c r="C577" s="9"/>
      <c r="D577" s="9"/>
      <c r="E577" s="11"/>
    </row>
    <row r="578" spans="1:5" ht="13.2" x14ac:dyDescent="0.25">
      <c r="A578" s="9"/>
      <c r="B578" s="9"/>
      <c r="C578" s="9"/>
      <c r="D578" s="9"/>
      <c r="E578" s="11"/>
    </row>
    <row r="579" spans="1:5" ht="13.2" x14ac:dyDescent="0.25">
      <c r="A579" s="9"/>
      <c r="B579" s="9"/>
      <c r="C579" s="9"/>
      <c r="D579" s="9"/>
      <c r="E579" s="11"/>
    </row>
    <row r="580" spans="1:5" ht="13.2" x14ac:dyDescent="0.25">
      <c r="A580" s="9"/>
      <c r="B580" s="9"/>
      <c r="C580" s="9"/>
      <c r="D580" s="9"/>
      <c r="E580" s="11"/>
    </row>
    <row r="581" spans="1:5" ht="13.2" x14ac:dyDescent="0.25">
      <c r="A581" s="9"/>
      <c r="B581" s="9"/>
      <c r="C581" s="9"/>
      <c r="D581" s="9"/>
      <c r="E581" s="11"/>
    </row>
    <row r="582" spans="1:5" ht="13.2" x14ac:dyDescent="0.25">
      <c r="A582" s="9"/>
      <c r="B582" s="9"/>
      <c r="C582" s="9"/>
      <c r="D582" s="9"/>
      <c r="E582" s="11"/>
    </row>
    <row r="583" spans="1:5" ht="13.2" x14ac:dyDescent="0.25">
      <c r="A583" s="9"/>
      <c r="B583" s="9"/>
      <c r="C583" s="9"/>
      <c r="D583" s="9"/>
      <c r="E583" s="11"/>
    </row>
    <row r="584" spans="1:5" ht="13.2" x14ac:dyDescent="0.25">
      <c r="A584" s="9"/>
      <c r="B584" s="9"/>
      <c r="C584" s="9"/>
      <c r="D584" s="9"/>
      <c r="E584" s="11"/>
    </row>
    <row r="585" spans="1:5" ht="13.2" x14ac:dyDescent="0.25">
      <c r="A585" s="9"/>
      <c r="B585" s="9"/>
      <c r="C585" s="9"/>
      <c r="D585" s="9"/>
      <c r="E585" s="11"/>
    </row>
    <row r="586" spans="1:5" ht="13.2" x14ac:dyDescent="0.25">
      <c r="A586" s="9"/>
      <c r="B586" s="9"/>
      <c r="C586" s="9"/>
      <c r="D586" s="9"/>
      <c r="E586" s="11"/>
    </row>
    <row r="587" spans="1:5" ht="13.2" x14ac:dyDescent="0.25">
      <c r="A587" s="9"/>
      <c r="B587" s="9"/>
      <c r="C587" s="9"/>
      <c r="D587" s="9"/>
      <c r="E587" s="11"/>
    </row>
    <row r="588" spans="1:5" ht="13.2" x14ac:dyDescent="0.25">
      <c r="A588" s="9"/>
      <c r="B588" s="9"/>
      <c r="C588" s="9"/>
      <c r="D588" s="9"/>
      <c r="E588" s="11"/>
    </row>
    <row r="589" spans="1:5" ht="13.2" x14ac:dyDescent="0.25">
      <c r="A589" s="9"/>
      <c r="B589" s="9"/>
      <c r="C589" s="9"/>
      <c r="D589" s="9"/>
      <c r="E589" s="11"/>
    </row>
    <row r="590" spans="1:5" ht="13.2" x14ac:dyDescent="0.25">
      <c r="A590" s="9"/>
      <c r="B590" s="9"/>
      <c r="C590" s="9"/>
      <c r="D590" s="9"/>
      <c r="E590" s="11"/>
    </row>
    <row r="591" spans="1:5" ht="13.2" x14ac:dyDescent="0.25">
      <c r="A591" s="9"/>
      <c r="B591" s="9"/>
      <c r="C591" s="9"/>
      <c r="D591" s="9"/>
      <c r="E591" s="11"/>
    </row>
    <row r="592" spans="1:5" ht="13.2" x14ac:dyDescent="0.25">
      <c r="A592" s="9"/>
      <c r="B592" s="9"/>
      <c r="C592" s="9"/>
      <c r="D592" s="9"/>
      <c r="E592" s="11"/>
    </row>
    <row r="593" spans="1:5" ht="13.2" x14ac:dyDescent="0.25">
      <c r="A593" s="9"/>
      <c r="B593" s="9"/>
      <c r="C593" s="9"/>
      <c r="D593" s="9"/>
      <c r="E593" s="11"/>
    </row>
    <row r="594" spans="1:5" ht="13.2" x14ac:dyDescent="0.25">
      <c r="A594" s="9"/>
      <c r="B594" s="9"/>
      <c r="C594" s="9"/>
      <c r="D594" s="9"/>
      <c r="E594" s="11"/>
    </row>
    <row r="595" spans="1:5" ht="13.2" x14ac:dyDescent="0.25">
      <c r="A595" s="9"/>
      <c r="B595" s="9"/>
      <c r="C595" s="9"/>
      <c r="D595" s="9"/>
      <c r="E595" s="11"/>
    </row>
    <row r="596" spans="1:5" ht="13.2" x14ac:dyDescent="0.25">
      <c r="A596" s="9"/>
      <c r="B596" s="9"/>
      <c r="C596" s="9"/>
      <c r="D596" s="9"/>
      <c r="E596" s="11"/>
    </row>
    <row r="597" spans="1:5" ht="13.2" x14ac:dyDescent="0.25">
      <c r="A597" s="9"/>
      <c r="B597" s="9"/>
      <c r="C597" s="9"/>
      <c r="D597" s="9"/>
      <c r="E597" s="11"/>
    </row>
    <row r="598" spans="1:5" ht="13.2" x14ac:dyDescent="0.25">
      <c r="A598" s="9"/>
      <c r="B598" s="9"/>
      <c r="C598" s="9"/>
      <c r="D598" s="9"/>
      <c r="E598" s="11"/>
    </row>
    <row r="599" spans="1:5" ht="13.2" x14ac:dyDescent="0.25">
      <c r="A599" s="9"/>
      <c r="B599" s="9"/>
      <c r="C599" s="9"/>
      <c r="D599" s="9"/>
      <c r="E599" s="11"/>
    </row>
    <row r="600" spans="1:5" ht="13.2" x14ac:dyDescent="0.25">
      <c r="A600" s="9"/>
      <c r="B600" s="9"/>
      <c r="C600" s="9"/>
      <c r="D600" s="9"/>
      <c r="E600" s="11"/>
    </row>
    <row r="601" spans="1:5" ht="13.2" x14ac:dyDescent="0.25">
      <c r="A601" s="9"/>
      <c r="B601" s="9"/>
      <c r="C601" s="9"/>
      <c r="D601" s="9"/>
      <c r="E601" s="11"/>
    </row>
    <row r="602" spans="1:5" ht="13.2" x14ac:dyDescent="0.25">
      <c r="A602" s="9"/>
      <c r="B602" s="9"/>
      <c r="C602" s="9"/>
      <c r="D602" s="9"/>
      <c r="E602" s="11"/>
    </row>
    <row r="603" spans="1:5" ht="13.2" x14ac:dyDescent="0.25">
      <c r="A603" s="9"/>
      <c r="B603" s="9"/>
      <c r="C603" s="9"/>
      <c r="D603" s="9"/>
      <c r="E603" s="11"/>
    </row>
    <row r="604" spans="1:5" ht="13.2" x14ac:dyDescent="0.25">
      <c r="A604" s="9"/>
      <c r="B604" s="9"/>
      <c r="C604" s="9"/>
      <c r="D604" s="9"/>
      <c r="E604" s="11"/>
    </row>
    <row r="605" spans="1:5" ht="13.2" x14ac:dyDescent="0.25">
      <c r="A605" s="9"/>
      <c r="B605" s="9"/>
      <c r="C605" s="9"/>
      <c r="D605" s="9"/>
      <c r="E605" s="11"/>
    </row>
    <row r="606" spans="1:5" ht="13.2" x14ac:dyDescent="0.25">
      <c r="A606" s="9"/>
      <c r="B606" s="9"/>
      <c r="C606" s="9"/>
      <c r="D606" s="9"/>
      <c r="E606" s="11"/>
    </row>
    <row r="607" spans="1:5" ht="13.2" x14ac:dyDescent="0.25">
      <c r="A607" s="9"/>
      <c r="B607" s="9"/>
      <c r="C607" s="9"/>
      <c r="D607" s="9"/>
      <c r="E607" s="11"/>
    </row>
    <row r="608" spans="1:5" ht="13.2" x14ac:dyDescent="0.25">
      <c r="A608" s="9"/>
      <c r="B608" s="9"/>
      <c r="C608" s="9"/>
      <c r="D608" s="9"/>
      <c r="E608" s="11"/>
    </row>
    <row r="609" spans="1:5" ht="13.2" x14ac:dyDescent="0.25">
      <c r="A609" s="9"/>
      <c r="B609" s="9"/>
      <c r="C609" s="9"/>
      <c r="D609" s="9"/>
      <c r="E609" s="11"/>
    </row>
    <row r="610" spans="1:5" ht="13.2" x14ac:dyDescent="0.25">
      <c r="A610" s="9"/>
      <c r="B610" s="9"/>
      <c r="C610" s="9"/>
      <c r="D610" s="9"/>
      <c r="E610" s="11"/>
    </row>
    <row r="611" spans="1:5" ht="13.2" x14ac:dyDescent="0.25">
      <c r="A611" s="9"/>
      <c r="B611" s="9"/>
      <c r="C611" s="9"/>
      <c r="D611" s="9"/>
      <c r="E611" s="11"/>
    </row>
    <row r="612" spans="1:5" ht="13.2" x14ac:dyDescent="0.25">
      <c r="A612" s="9"/>
      <c r="B612" s="9"/>
      <c r="C612" s="9"/>
      <c r="D612" s="9"/>
      <c r="E612" s="11"/>
    </row>
    <row r="613" spans="1:5" ht="13.2" x14ac:dyDescent="0.25">
      <c r="A613" s="9"/>
      <c r="B613" s="9"/>
      <c r="C613" s="9"/>
      <c r="D613" s="9"/>
      <c r="E613" s="11"/>
    </row>
    <row r="614" spans="1:5" ht="13.2" x14ac:dyDescent="0.25">
      <c r="A614" s="9"/>
      <c r="B614" s="9"/>
      <c r="C614" s="9"/>
      <c r="D614" s="9"/>
      <c r="E614" s="11"/>
    </row>
    <row r="615" spans="1:5" ht="13.2" x14ac:dyDescent="0.25">
      <c r="A615" s="9"/>
      <c r="B615" s="9"/>
      <c r="C615" s="9"/>
      <c r="D615" s="9"/>
      <c r="E615" s="11"/>
    </row>
    <row r="616" spans="1:5" ht="13.2" x14ac:dyDescent="0.25">
      <c r="A616" s="9"/>
      <c r="B616" s="9"/>
      <c r="C616" s="9"/>
      <c r="D616" s="9"/>
      <c r="E616" s="11"/>
    </row>
    <row r="617" spans="1:5" ht="13.2" x14ac:dyDescent="0.25">
      <c r="A617" s="9"/>
      <c r="B617" s="9"/>
      <c r="C617" s="9"/>
      <c r="D617" s="9"/>
      <c r="E617" s="11"/>
    </row>
    <row r="618" spans="1:5" ht="13.2" x14ac:dyDescent="0.25">
      <c r="A618" s="9"/>
      <c r="B618" s="9"/>
      <c r="C618" s="9"/>
      <c r="D618" s="9"/>
      <c r="E618" s="11"/>
    </row>
    <row r="619" spans="1:5" ht="13.2" x14ac:dyDescent="0.25">
      <c r="A619" s="9"/>
      <c r="B619" s="9"/>
      <c r="C619" s="9"/>
      <c r="D619" s="9"/>
      <c r="E619" s="11"/>
    </row>
    <row r="620" spans="1:5" ht="13.2" x14ac:dyDescent="0.25">
      <c r="A620" s="9"/>
      <c r="B620" s="9"/>
      <c r="C620" s="9"/>
      <c r="D620" s="9"/>
      <c r="E620" s="11"/>
    </row>
    <row r="621" spans="1:5" ht="13.2" x14ac:dyDescent="0.25">
      <c r="A621" s="9"/>
      <c r="B621" s="9"/>
      <c r="C621" s="9"/>
      <c r="D621" s="9"/>
      <c r="E621" s="11"/>
    </row>
    <row r="622" spans="1:5" ht="13.2" x14ac:dyDescent="0.25">
      <c r="A622" s="9"/>
      <c r="B622" s="9"/>
      <c r="C622" s="9"/>
      <c r="D622" s="9"/>
      <c r="E622" s="11"/>
    </row>
    <row r="623" spans="1:5" ht="13.2" x14ac:dyDescent="0.25">
      <c r="A623" s="9"/>
      <c r="B623" s="9"/>
      <c r="C623" s="9"/>
      <c r="D623" s="9"/>
      <c r="E623" s="11"/>
    </row>
    <row r="624" spans="1:5" ht="13.2" x14ac:dyDescent="0.25">
      <c r="A624" s="9"/>
      <c r="B624" s="9"/>
      <c r="C624" s="9"/>
      <c r="D624" s="9"/>
      <c r="E624" s="11"/>
    </row>
    <row r="625" spans="1:5" ht="13.2" x14ac:dyDescent="0.25">
      <c r="A625" s="9"/>
      <c r="B625" s="9"/>
      <c r="C625" s="9"/>
      <c r="D625" s="9"/>
      <c r="E625" s="11"/>
    </row>
    <row r="626" spans="1:5" ht="13.2" x14ac:dyDescent="0.25">
      <c r="A626" s="9"/>
      <c r="B626" s="9"/>
      <c r="C626" s="9"/>
      <c r="D626" s="9"/>
      <c r="E626" s="11"/>
    </row>
    <row r="627" spans="1:5" ht="13.2" x14ac:dyDescent="0.25">
      <c r="A627" s="9"/>
      <c r="B627" s="9"/>
      <c r="C627" s="9"/>
      <c r="D627" s="9"/>
      <c r="E627" s="11"/>
    </row>
    <row r="628" spans="1:5" ht="13.2" x14ac:dyDescent="0.25">
      <c r="A628" s="9"/>
      <c r="B628" s="9"/>
      <c r="C628" s="9"/>
      <c r="D628" s="9"/>
      <c r="E628" s="11"/>
    </row>
    <row r="629" spans="1:5" ht="13.2" x14ac:dyDescent="0.25">
      <c r="A629" s="9"/>
      <c r="B629" s="9"/>
      <c r="C629" s="9"/>
      <c r="D629" s="9"/>
      <c r="E629" s="11"/>
    </row>
    <row r="630" spans="1:5" ht="13.2" x14ac:dyDescent="0.25">
      <c r="A630" s="9"/>
      <c r="B630" s="9"/>
      <c r="C630" s="9"/>
      <c r="D630" s="9"/>
      <c r="E630" s="11"/>
    </row>
    <row r="631" spans="1:5" ht="13.2" x14ac:dyDescent="0.25">
      <c r="A631" s="9"/>
      <c r="B631" s="9"/>
      <c r="C631" s="9"/>
      <c r="D631" s="9"/>
      <c r="E631" s="11"/>
    </row>
    <row r="632" spans="1:5" ht="13.2" x14ac:dyDescent="0.25">
      <c r="A632" s="9"/>
      <c r="B632" s="9"/>
      <c r="C632" s="9"/>
      <c r="D632" s="9"/>
      <c r="E632" s="11"/>
    </row>
    <row r="633" spans="1:5" ht="13.2" x14ac:dyDescent="0.25">
      <c r="A633" s="9"/>
      <c r="B633" s="9"/>
      <c r="C633" s="9"/>
      <c r="D633" s="9"/>
      <c r="E633" s="11"/>
    </row>
    <row r="634" spans="1:5" ht="13.2" x14ac:dyDescent="0.25">
      <c r="A634" s="9"/>
      <c r="B634" s="9"/>
      <c r="C634" s="9"/>
      <c r="D634" s="9"/>
      <c r="E634" s="11"/>
    </row>
    <row r="635" spans="1:5" ht="13.2" x14ac:dyDescent="0.25">
      <c r="A635" s="9"/>
      <c r="B635" s="9"/>
      <c r="C635" s="9"/>
      <c r="D635" s="9"/>
      <c r="E635" s="11"/>
    </row>
    <row r="636" spans="1:5" ht="13.2" x14ac:dyDescent="0.25">
      <c r="A636" s="9"/>
      <c r="B636" s="9"/>
      <c r="C636" s="9"/>
      <c r="D636" s="9"/>
      <c r="E636" s="11"/>
    </row>
    <row r="637" spans="1:5" ht="13.2" x14ac:dyDescent="0.25">
      <c r="A637" s="9"/>
      <c r="B637" s="9"/>
      <c r="C637" s="9"/>
      <c r="D637" s="9"/>
      <c r="E637" s="11"/>
    </row>
    <row r="638" spans="1:5" ht="13.2" x14ac:dyDescent="0.25">
      <c r="A638" s="9"/>
      <c r="B638" s="9"/>
      <c r="C638" s="9"/>
      <c r="D638" s="9"/>
      <c r="E638" s="11"/>
    </row>
    <row r="639" spans="1:5" ht="13.2" x14ac:dyDescent="0.25">
      <c r="A639" s="9"/>
      <c r="B639" s="9"/>
      <c r="C639" s="9"/>
      <c r="D639" s="9"/>
      <c r="E639" s="11"/>
    </row>
    <row r="640" spans="1:5" ht="13.2" x14ac:dyDescent="0.25">
      <c r="A640" s="9"/>
      <c r="B640" s="9"/>
      <c r="C640" s="9"/>
      <c r="D640" s="9"/>
      <c r="E640" s="11"/>
    </row>
    <row r="641" spans="1:5" ht="13.2" x14ac:dyDescent="0.25">
      <c r="A641" s="9"/>
      <c r="B641" s="9"/>
      <c r="C641" s="9"/>
      <c r="D641" s="9"/>
      <c r="E641" s="11"/>
    </row>
    <row r="642" spans="1:5" ht="13.2" x14ac:dyDescent="0.25">
      <c r="A642" s="9"/>
      <c r="B642" s="9"/>
      <c r="C642" s="9"/>
      <c r="D642" s="9"/>
      <c r="E642" s="11"/>
    </row>
    <row r="643" spans="1:5" ht="13.2" x14ac:dyDescent="0.25">
      <c r="A643" s="9"/>
      <c r="B643" s="9"/>
      <c r="C643" s="9"/>
      <c r="D643" s="9"/>
      <c r="E643" s="11"/>
    </row>
    <row r="644" spans="1:5" ht="13.2" x14ac:dyDescent="0.25">
      <c r="A644" s="9"/>
      <c r="B644" s="9"/>
      <c r="C644" s="9"/>
      <c r="D644" s="9"/>
      <c r="E644" s="11"/>
    </row>
    <row r="645" spans="1:5" ht="13.2" x14ac:dyDescent="0.25">
      <c r="A645" s="9"/>
      <c r="B645" s="9"/>
      <c r="C645" s="9"/>
      <c r="D645" s="9"/>
      <c r="E645" s="11"/>
    </row>
    <row r="646" spans="1:5" ht="13.2" x14ac:dyDescent="0.25">
      <c r="A646" s="9"/>
      <c r="B646" s="9"/>
      <c r="C646" s="9"/>
      <c r="D646" s="9"/>
      <c r="E646" s="11"/>
    </row>
    <row r="647" spans="1:5" ht="13.2" x14ac:dyDescent="0.25">
      <c r="A647" s="9"/>
      <c r="B647" s="9"/>
      <c r="C647" s="9"/>
      <c r="D647" s="9"/>
      <c r="E647" s="11"/>
    </row>
    <row r="648" spans="1:5" ht="13.2" x14ac:dyDescent="0.25">
      <c r="A648" s="9"/>
      <c r="B648" s="9"/>
      <c r="C648" s="9"/>
      <c r="D648" s="9"/>
      <c r="E648" s="11"/>
    </row>
    <row r="649" spans="1:5" ht="13.2" x14ac:dyDescent="0.25">
      <c r="A649" s="9"/>
      <c r="B649" s="9"/>
      <c r="C649" s="9"/>
      <c r="D649" s="9"/>
      <c r="E649" s="11"/>
    </row>
    <row r="650" spans="1:5" ht="13.2" x14ac:dyDescent="0.25">
      <c r="A650" s="9"/>
      <c r="B650" s="9"/>
      <c r="C650" s="9"/>
      <c r="D650" s="9"/>
      <c r="E650" s="11"/>
    </row>
    <row r="651" spans="1:5" ht="13.2" x14ac:dyDescent="0.25">
      <c r="A651" s="9"/>
      <c r="B651" s="9"/>
      <c r="C651" s="9"/>
      <c r="D651" s="9"/>
      <c r="E651" s="11"/>
    </row>
    <row r="652" spans="1:5" ht="13.2" x14ac:dyDescent="0.25">
      <c r="A652" s="9"/>
      <c r="B652" s="9"/>
      <c r="C652" s="9"/>
      <c r="D652" s="9"/>
      <c r="E652" s="11"/>
    </row>
    <row r="653" spans="1:5" ht="13.2" x14ac:dyDescent="0.25">
      <c r="A653" s="9"/>
      <c r="B653" s="9"/>
      <c r="C653" s="9"/>
      <c r="D653" s="9"/>
      <c r="E653" s="11"/>
    </row>
    <row r="654" spans="1:5" ht="13.2" x14ac:dyDescent="0.25">
      <c r="A654" s="9"/>
      <c r="B654" s="9"/>
      <c r="C654" s="9"/>
      <c r="D654" s="9"/>
      <c r="E654" s="11"/>
    </row>
    <row r="655" spans="1:5" ht="13.2" x14ac:dyDescent="0.25">
      <c r="A655" s="9"/>
      <c r="B655" s="9"/>
      <c r="C655" s="9"/>
      <c r="D655" s="9"/>
      <c r="E655" s="11"/>
    </row>
    <row r="656" spans="1:5" ht="13.2" x14ac:dyDescent="0.25">
      <c r="A656" s="9"/>
      <c r="B656" s="9"/>
      <c r="C656" s="9"/>
      <c r="D656" s="9"/>
      <c r="E656" s="11"/>
    </row>
    <row r="657" spans="1:5" ht="13.2" x14ac:dyDescent="0.25">
      <c r="A657" s="9"/>
      <c r="B657" s="9"/>
      <c r="C657" s="9"/>
      <c r="D657" s="9"/>
      <c r="E657" s="11"/>
    </row>
    <row r="658" spans="1:5" ht="13.2" x14ac:dyDescent="0.25">
      <c r="A658" s="9"/>
      <c r="B658" s="9"/>
      <c r="C658" s="9"/>
      <c r="D658" s="9"/>
      <c r="E658" s="11"/>
    </row>
    <row r="659" spans="1:5" ht="13.2" x14ac:dyDescent="0.25">
      <c r="A659" s="9"/>
      <c r="B659" s="9"/>
      <c r="C659" s="9"/>
      <c r="D659" s="9"/>
      <c r="E659" s="11"/>
    </row>
    <row r="660" spans="1:5" ht="13.2" x14ac:dyDescent="0.25">
      <c r="A660" s="9"/>
      <c r="B660" s="9"/>
      <c r="C660" s="9"/>
      <c r="D660" s="9"/>
      <c r="E660" s="11"/>
    </row>
    <row r="661" spans="1:5" ht="13.2" x14ac:dyDescent="0.25">
      <c r="A661" s="9"/>
      <c r="B661" s="9"/>
      <c r="C661" s="9"/>
      <c r="D661" s="9"/>
      <c r="E661" s="11"/>
    </row>
    <row r="662" spans="1:5" ht="13.2" x14ac:dyDescent="0.25">
      <c r="A662" s="9"/>
      <c r="B662" s="9"/>
      <c r="C662" s="9"/>
      <c r="D662" s="9"/>
      <c r="E662" s="11"/>
    </row>
    <row r="663" spans="1:5" ht="13.2" x14ac:dyDescent="0.25">
      <c r="A663" s="9"/>
      <c r="B663" s="9"/>
      <c r="C663" s="9"/>
      <c r="D663" s="9"/>
      <c r="E663" s="11"/>
    </row>
    <row r="664" spans="1:5" ht="13.2" x14ac:dyDescent="0.25">
      <c r="A664" s="9"/>
      <c r="B664" s="9"/>
      <c r="C664" s="9"/>
      <c r="D664" s="9"/>
      <c r="E664" s="11"/>
    </row>
    <row r="665" spans="1:5" ht="13.2" x14ac:dyDescent="0.25">
      <c r="A665" s="9"/>
      <c r="B665" s="9"/>
      <c r="C665" s="9"/>
      <c r="D665" s="9"/>
      <c r="E665" s="11"/>
    </row>
    <row r="666" spans="1:5" ht="13.2" x14ac:dyDescent="0.25">
      <c r="A666" s="9"/>
      <c r="B666" s="9"/>
      <c r="C666" s="9"/>
      <c r="D666" s="9"/>
      <c r="E666" s="11"/>
    </row>
    <row r="667" spans="1:5" ht="13.2" x14ac:dyDescent="0.25">
      <c r="A667" s="9"/>
      <c r="B667" s="9"/>
      <c r="C667" s="9"/>
      <c r="D667" s="9"/>
      <c r="E667" s="11"/>
    </row>
    <row r="668" spans="1:5" ht="13.2" x14ac:dyDescent="0.25">
      <c r="A668" s="9"/>
      <c r="B668" s="9"/>
      <c r="C668" s="9"/>
      <c r="D668" s="9"/>
      <c r="E668" s="11"/>
    </row>
    <row r="669" spans="1:5" ht="13.2" x14ac:dyDescent="0.25">
      <c r="A669" s="9"/>
      <c r="B669" s="9"/>
      <c r="C669" s="9"/>
      <c r="D669" s="9"/>
      <c r="E669" s="11"/>
    </row>
    <row r="670" spans="1:5" ht="13.2" x14ac:dyDescent="0.25">
      <c r="A670" s="9"/>
      <c r="B670" s="9"/>
      <c r="C670" s="9"/>
      <c r="D670" s="9"/>
      <c r="E670" s="11"/>
    </row>
    <row r="671" spans="1:5" ht="13.2" x14ac:dyDescent="0.25">
      <c r="A671" s="9"/>
      <c r="B671" s="9"/>
      <c r="C671" s="9"/>
      <c r="D671" s="9"/>
      <c r="E671" s="11"/>
    </row>
    <row r="672" spans="1:5" ht="13.2" x14ac:dyDescent="0.25">
      <c r="A672" s="9"/>
      <c r="B672" s="9"/>
      <c r="C672" s="9"/>
      <c r="D672" s="9"/>
      <c r="E672" s="11"/>
    </row>
    <row r="673" spans="1:5" ht="13.2" x14ac:dyDescent="0.25">
      <c r="A673" s="9"/>
      <c r="B673" s="9"/>
      <c r="C673" s="9"/>
      <c r="D673" s="9"/>
      <c r="E673" s="11"/>
    </row>
    <row r="674" spans="1:5" ht="13.2" x14ac:dyDescent="0.25">
      <c r="A674" s="9"/>
      <c r="B674" s="9"/>
      <c r="C674" s="9"/>
      <c r="D674" s="9"/>
      <c r="E674" s="11"/>
    </row>
    <row r="675" spans="1:5" ht="13.2" x14ac:dyDescent="0.25">
      <c r="A675" s="9"/>
      <c r="B675" s="9"/>
      <c r="C675" s="9"/>
      <c r="D675" s="9"/>
      <c r="E675" s="11"/>
    </row>
    <row r="676" spans="1:5" ht="13.2" x14ac:dyDescent="0.25">
      <c r="A676" s="9"/>
      <c r="B676" s="9"/>
      <c r="C676" s="9"/>
      <c r="D676" s="9"/>
      <c r="E676" s="11"/>
    </row>
    <row r="677" spans="1:5" ht="13.2" x14ac:dyDescent="0.25">
      <c r="A677" s="9"/>
      <c r="B677" s="9"/>
      <c r="C677" s="9"/>
      <c r="D677" s="9"/>
      <c r="E677" s="11"/>
    </row>
    <row r="678" spans="1:5" ht="13.2" x14ac:dyDescent="0.25">
      <c r="A678" s="9"/>
      <c r="B678" s="9"/>
      <c r="C678" s="9"/>
      <c r="D678" s="9"/>
      <c r="E678" s="11"/>
    </row>
    <row r="679" spans="1:5" ht="13.2" x14ac:dyDescent="0.25">
      <c r="A679" s="9"/>
      <c r="B679" s="9"/>
      <c r="C679" s="9"/>
      <c r="D679" s="9"/>
      <c r="E679" s="11"/>
    </row>
    <row r="680" spans="1:5" ht="13.2" x14ac:dyDescent="0.25">
      <c r="A680" s="9"/>
      <c r="B680" s="9"/>
      <c r="C680" s="9"/>
      <c r="D680" s="9"/>
      <c r="E680" s="11"/>
    </row>
    <row r="681" spans="1:5" ht="13.2" x14ac:dyDescent="0.25">
      <c r="A681" s="9"/>
      <c r="B681" s="9"/>
      <c r="C681" s="9"/>
      <c r="D681" s="9"/>
      <c r="E681" s="11"/>
    </row>
    <row r="682" spans="1:5" ht="13.2" x14ac:dyDescent="0.25">
      <c r="A682" s="9"/>
      <c r="B682" s="9"/>
      <c r="C682" s="9"/>
      <c r="D682" s="9"/>
      <c r="E682" s="11"/>
    </row>
    <row r="683" spans="1:5" ht="13.2" x14ac:dyDescent="0.25">
      <c r="A683" s="9"/>
      <c r="B683" s="9"/>
      <c r="C683" s="9"/>
      <c r="D683" s="9"/>
      <c r="E683" s="11"/>
    </row>
    <row r="684" spans="1:5" ht="13.2" x14ac:dyDescent="0.25">
      <c r="A684" s="9"/>
      <c r="B684" s="9"/>
      <c r="C684" s="9"/>
      <c r="D684" s="9"/>
      <c r="E684" s="11"/>
    </row>
    <row r="685" spans="1:5" ht="13.2" x14ac:dyDescent="0.25">
      <c r="A685" s="9"/>
      <c r="B685" s="9"/>
      <c r="C685" s="9"/>
      <c r="D685" s="9"/>
      <c r="E685" s="11"/>
    </row>
    <row r="686" spans="1:5" ht="13.2" x14ac:dyDescent="0.25">
      <c r="A686" s="9"/>
      <c r="B686" s="9"/>
      <c r="C686" s="9"/>
      <c r="D686" s="9"/>
      <c r="E686" s="11"/>
    </row>
    <row r="687" spans="1:5" ht="13.2" x14ac:dyDescent="0.25">
      <c r="A687" s="9"/>
      <c r="B687" s="9"/>
      <c r="C687" s="9"/>
      <c r="D687" s="9"/>
      <c r="E687" s="11"/>
    </row>
    <row r="688" spans="1:5" ht="13.2" x14ac:dyDescent="0.25">
      <c r="A688" s="9"/>
      <c r="B688" s="9"/>
      <c r="C688" s="9"/>
      <c r="D688" s="9"/>
      <c r="E688" s="11"/>
    </row>
    <row r="689" spans="1:5" ht="13.2" x14ac:dyDescent="0.25">
      <c r="A689" s="9"/>
      <c r="B689" s="9"/>
      <c r="C689" s="9"/>
      <c r="D689" s="9"/>
      <c r="E689" s="11"/>
    </row>
    <row r="690" spans="1:5" ht="13.2" x14ac:dyDescent="0.25">
      <c r="A690" s="9"/>
      <c r="B690" s="9"/>
      <c r="C690" s="9"/>
      <c r="D690" s="9"/>
      <c r="E690" s="11"/>
    </row>
    <row r="691" spans="1:5" ht="13.2" x14ac:dyDescent="0.25">
      <c r="A691" s="9"/>
      <c r="B691" s="9"/>
      <c r="C691" s="9"/>
      <c r="D691" s="9"/>
      <c r="E691" s="11"/>
    </row>
    <row r="692" spans="1:5" ht="13.2" x14ac:dyDescent="0.25">
      <c r="A692" s="9"/>
      <c r="B692" s="9"/>
      <c r="C692" s="9"/>
      <c r="D692" s="9"/>
      <c r="E692" s="11"/>
    </row>
    <row r="693" spans="1:5" ht="13.2" x14ac:dyDescent="0.25">
      <c r="A693" s="9"/>
      <c r="B693" s="9"/>
      <c r="C693" s="9"/>
      <c r="D693" s="9"/>
      <c r="E693" s="11"/>
    </row>
    <row r="694" spans="1:5" ht="13.2" x14ac:dyDescent="0.25">
      <c r="A694" s="9"/>
      <c r="B694" s="9"/>
      <c r="C694" s="9"/>
      <c r="D694" s="9"/>
      <c r="E694" s="11"/>
    </row>
    <row r="695" spans="1:5" ht="13.2" x14ac:dyDescent="0.25">
      <c r="A695" s="9"/>
      <c r="B695" s="9"/>
      <c r="C695" s="9"/>
      <c r="D695" s="9"/>
      <c r="E695" s="11"/>
    </row>
    <row r="696" spans="1:5" ht="13.2" x14ac:dyDescent="0.25">
      <c r="A696" s="9"/>
      <c r="B696" s="9"/>
      <c r="C696" s="9"/>
      <c r="D696" s="9"/>
      <c r="E696" s="11"/>
    </row>
    <row r="697" spans="1:5" ht="13.2" x14ac:dyDescent="0.25">
      <c r="A697" s="9"/>
      <c r="B697" s="9"/>
      <c r="C697" s="9"/>
      <c r="D697" s="9"/>
      <c r="E697" s="11"/>
    </row>
    <row r="698" spans="1:5" ht="13.2" x14ac:dyDescent="0.25">
      <c r="A698" s="9"/>
      <c r="B698" s="9"/>
      <c r="C698" s="9"/>
      <c r="D698" s="9"/>
      <c r="E698" s="11"/>
    </row>
    <row r="699" spans="1:5" ht="13.2" x14ac:dyDescent="0.25">
      <c r="A699" s="9"/>
      <c r="B699" s="9"/>
      <c r="C699" s="9"/>
      <c r="D699" s="9"/>
      <c r="E699" s="11"/>
    </row>
    <row r="700" spans="1:5" ht="13.2" x14ac:dyDescent="0.25">
      <c r="A700" s="9"/>
      <c r="B700" s="9"/>
      <c r="C700" s="9"/>
      <c r="D700" s="9"/>
      <c r="E700" s="11"/>
    </row>
    <row r="701" spans="1:5" ht="13.2" x14ac:dyDescent="0.25">
      <c r="A701" s="9"/>
      <c r="B701" s="9"/>
      <c r="C701" s="9"/>
      <c r="D701" s="9"/>
      <c r="E701" s="11"/>
    </row>
    <row r="702" spans="1:5" ht="13.2" x14ac:dyDescent="0.25">
      <c r="A702" s="9"/>
      <c r="B702" s="9"/>
      <c r="C702" s="9"/>
      <c r="D702" s="9"/>
      <c r="E702" s="11"/>
    </row>
    <row r="703" spans="1:5" ht="13.2" x14ac:dyDescent="0.25">
      <c r="A703" s="9"/>
      <c r="B703" s="9"/>
      <c r="C703" s="9"/>
      <c r="D703" s="9"/>
      <c r="E703" s="11"/>
    </row>
    <row r="704" spans="1:5" ht="13.2" x14ac:dyDescent="0.25">
      <c r="A704" s="9"/>
      <c r="B704" s="9"/>
      <c r="C704" s="9"/>
      <c r="D704" s="9"/>
      <c r="E704" s="11"/>
    </row>
    <row r="705" spans="1:5" ht="13.2" x14ac:dyDescent="0.25">
      <c r="A705" s="9"/>
      <c r="B705" s="9"/>
      <c r="C705" s="9"/>
      <c r="D705" s="9"/>
      <c r="E705" s="11"/>
    </row>
    <row r="706" spans="1:5" ht="13.2" x14ac:dyDescent="0.25">
      <c r="A706" s="9"/>
      <c r="B706" s="9"/>
      <c r="C706" s="9"/>
      <c r="D706" s="9"/>
      <c r="E706" s="11"/>
    </row>
    <row r="707" spans="1:5" ht="13.2" x14ac:dyDescent="0.25">
      <c r="A707" s="9"/>
      <c r="B707" s="9"/>
      <c r="C707" s="9"/>
      <c r="D707" s="9"/>
      <c r="E707" s="11"/>
    </row>
    <row r="708" spans="1:5" ht="13.2" x14ac:dyDescent="0.25">
      <c r="A708" s="9"/>
      <c r="B708" s="9"/>
      <c r="C708" s="9"/>
      <c r="D708" s="9"/>
      <c r="E708" s="11"/>
    </row>
    <row r="709" spans="1:5" ht="13.2" x14ac:dyDescent="0.25">
      <c r="A709" s="9"/>
      <c r="B709" s="9"/>
      <c r="C709" s="9"/>
      <c r="D709" s="9"/>
      <c r="E709" s="11"/>
    </row>
    <row r="710" spans="1:5" ht="13.2" x14ac:dyDescent="0.25">
      <c r="A710" s="9"/>
      <c r="B710" s="9"/>
      <c r="C710" s="9"/>
      <c r="D710" s="9"/>
      <c r="E710" s="11"/>
    </row>
    <row r="711" spans="1:5" ht="13.2" x14ac:dyDescent="0.25">
      <c r="A711" s="9"/>
      <c r="B711" s="9"/>
      <c r="C711" s="9"/>
      <c r="D711" s="9"/>
      <c r="E711" s="11"/>
    </row>
    <row r="712" spans="1:5" ht="13.2" x14ac:dyDescent="0.25">
      <c r="A712" s="9"/>
      <c r="B712" s="9"/>
      <c r="C712" s="9"/>
      <c r="D712" s="9"/>
      <c r="E712" s="11"/>
    </row>
    <row r="713" spans="1:5" ht="13.2" x14ac:dyDescent="0.25">
      <c r="A713" s="9"/>
      <c r="B713" s="9"/>
      <c r="C713" s="9"/>
      <c r="D713" s="9"/>
      <c r="E713" s="11"/>
    </row>
    <row r="714" spans="1:5" ht="13.2" x14ac:dyDescent="0.25">
      <c r="A714" s="9"/>
      <c r="B714" s="9"/>
      <c r="C714" s="9"/>
      <c r="D714" s="9"/>
      <c r="E714" s="11"/>
    </row>
    <row r="715" spans="1:5" ht="13.2" x14ac:dyDescent="0.25">
      <c r="A715" s="9"/>
      <c r="B715" s="9"/>
      <c r="C715" s="9"/>
      <c r="D715" s="9"/>
      <c r="E715" s="11"/>
    </row>
    <row r="716" spans="1:5" ht="13.2" x14ac:dyDescent="0.25">
      <c r="A716" s="9"/>
      <c r="B716" s="9"/>
      <c r="C716" s="9"/>
      <c r="D716" s="9"/>
      <c r="E716" s="11"/>
    </row>
    <row r="717" spans="1:5" ht="13.2" x14ac:dyDescent="0.25">
      <c r="A717" s="9"/>
      <c r="B717" s="9"/>
      <c r="C717" s="9"/>
      <c r="D717" s="9"/>
      <c r="E717" s="11"/>
    </row>
    <row r="718" spans="1:5" ht="13.2" x14ac:dyDescent="0.25">
      <c r="A718" s="9"/>
      <c r="B718" s="9"/>
      <c r="C718" s="9"/>
      <c r="D718" s="9"/>
      <c r="E718" s="11"/>
    </row>
    <row r="719" spans="1:5" ht="13.2" x14ac:dyDescent="0.25">
      <c r="A719" s="9"/>
      <c r="B719" s="9"/>
      <c r="C719" s="9"/>
      <c r="D719" s="9"/>
      <c r="E719" s="11"/>
    </row>
    <row r="720" spans="1:5" ht="13.2" x14ac:dyDescent="0.25">
      <c r="A720" s="9"/>
      <c r="B720" s="9"/>
      <c r="C720" s="9"/>
      <c r="D720" s="9"/>
      <c r="E720" s="11"/>
    </row>
    <row r="721" spans="1:5" ht="13.2" x14ac:dyDescent="0.25">
      <c r="A721" s="9"/>
      <c r="B721" s="9"/>
      <c r="C721" s="9"/>
      <c r="D721" s="9"/>
      <c r="E721" s="11"/>
    </row>
    <row r="722" spans="1:5" ht="13.2" x14ac:dyDescent="0.25">
      <c r="A722" s="9"/>
      <c r="B722" s="9"/>
      <c r="C722" s="9"/>
      <c r="D722" s="9"/>
      <c r="E722" s="11"/>
    </row>
    <row r="723" spans="1:5" ht="13.2" x14ac:dyDescent="0.25">
      <c r="A723" s="9"/>
      <c r="B723" s="9"/>
      <c r="C723" s="9"/>
      <c r="D723" s="9"/>
      <c r="E723" s="11"/>
    </row>
    <row r="724" spans="1:5" ht="13.2" x14ac:dyDescent="0.25">
      <c r="A724" s="9"/>
      <c r="B724" s="9"/>
      <c r="C724" s="9"/>
      <c r="D724" s="9"/>
      <c r="E724" s="11"/>
    </row>
    <row r="725" spans="1:5" ht="13.2" x14ac:dyDescent="0.25">
      <c r="A725" s="9"/>
      <c r="B725" s="9"/>
      <c r="C725" s="9"/>
      <c r="D725" s="9"/>
      <c r="E725" s="11"/>
    </row>
    <row r="726" spans="1:5" ht="13.2" x14ac:dyDescent="0.25">
      <c r="A726" s="9"/>
      <c r="B726" s="9"/>
      <c r="C726" s="9"/>
      <c r="D726" s="9"/>
      <c r="E726" s="11"/>
    </row>
    <row r="727" spans="1:5" ht="13.2" x14ac:dyDescent="0.25">
      <c r="A727" s="9"/>
      <c r="B727" s="9"/>
      <c r="C727" s="9"/>
      <c r="D727" s="9"/>
      <c r="E727" s="11"/>
    </row>
    <row r="728" spans="1:5" ht="13.2" x14ac:dyDescent="0.25">
      <c r="A728" s="9"/>
      <c r="B728" s="9"/>
      <c r="C728" s="9"/>
      <c r="D728" s="9"/>
      <c r="E728" s="11"/>
    </row>
    <row r="729" spans="1:5" ht="13.2" x14ac:dyDescent="0.25">
      <c r="A729" s="9"/>
      <c r="B729" s="9"/>
      <c r="C729" s="9"/>
      <c r="D729" s="9"/>
      <c r="E729" s="11"/>
    </row>
    <row r="730" spans="1:5" ht="13.2" x14ac:dyDescent="0.25">
      <c r="A730" s="9"/>
      <c r="B730" s="9"/>
      <c r="C730" s="9"/>
      <c r="D730" s="9"/>
      <c r="E730" s="11"/>
    </row>
    <row r="731" spans="1:5" ht="13.2" x14ac:dyDescent="0.25">
      <c r="A731" s="9"/>
      <c r="B731" s="9"/>
      <c r="C731" s="9"/>
      <c r="D731" s="9"/>
      <c r="E731" s="11"/>
    </row>
    <row r="732" spans="1:5" ht="13.2" x14ac:dyDescent="0.25">
      <c r="A732" s="9"/>
      <c r="B732" s="9"/>
      <c r="C732" s="9"/>
      <c r="D732" s="9"/>
      <c r="E732" s="11"/>
    </row>
    <row r="733" spans="1:5" ht="13.2" x14ac:dyDescent="0.25">
      <c r="A733" s="9"/>
      <c r="B733" s="9"/>
      <c r="C733" s="9"/>
      <c r="D733" s="9"/>
      <c r="E733" s="11"/>
    </row>
    <row r="734" spans="1:5" ht="13.2" x14ac:dyDescent="0.25">
      <c r="A734" s="9"/>
      <c r="B734" s="9"/>
      <c r="C734" s="9"/>
      <c r="D734" s="9"/>
      <c r="E734" s="11"/>
    </row>
    <row r="735" spans="1:5" ht="13.2" x14ac:dyDescent="0.25">
      <c r="A735" s="9"/>
      <c r="B735" s="9"/>
      <c r="C735" s="9"/>
      <c r="D735" s="9"/>
      <c r="E735" s="11"/>
    </row>
    <row r="736" spans="1:5" ht="13.2" x14ac:dyDescent="0.25">
      <c r="A736" s="9"/>
      <c r="B736" s="9"/>
      <c r="C736" s="9"/>
      <c r="D736" s="9"/>
      <c r="E736" s="11"/>
    </row>
    <row r="737" spans="1:5" ht="13.2" x14ac:dyDescent="0.25">
      <c r="A737" s="9"/>
      <c r="B737" s="9"/>
      <c r="C737" s="9"/>
      <c r="D737" s="9"/>
      <c r="E737" s="11"/>
    </row>
    <row r="738" spans="1:5" ht="13.2" x14ac:dyDescent="0.25">
      <c r="A738" s="9"/>
      <c r="B738" s="9"/>
      <c r="C738" s="9"/>
      <c r="D738" s="9"/>
      <c r="E738" s="11"/>
    </row>
    <row r="739" spans="1:5" ht="13.2" x14ac:dyDescent="0.25">
      <c r="A739" s="9"/>
      <c r="B739" s="9"/>
      <c r="C739" s="9"/>
      <c r="D739" s="9"/>
      <c r="E739" s="11"/>
    </row>
    <row r="740" spans="1:5" ht="13.2" x14ac:dyDescent="0.25">
      <c r="A740" s="9"/>
      <c r="B740" s="9"/>
      <c r="C740" s="9"/>
      <c r="D740" s="9"/>
      <c r="E740" s="11"/>
    </row>
    <row r="741" spans="1:5" ht="13.2" x14ac:dyDescent="0.25">
      <c r="A741" s="9"/>
      <c r="B741" s="9"/>
      <c r="C741" s="9"/>
      <c r="D741" s="9"/>
      <c r="E741" s="11"/>
    </row>
    <row r="742" spans="1:5" ht="13.2" x14ac:dyDescent="0.25">
      <c r="A742" s="9"/>
      <c r="B742" s="9"/>
      <c r="C742" s="9"/>
      <c r="D742" s="9"/>
      <c r="E742" s="11"/>
    </row>
    <row r="743" spans="1:5" ht="13.2" x14ac:dyDescent="0.25">
      <c r="A743" s="9"/>
      <c r="B743" s="9"/>
      <c r="C743" s="9"/>
      <c r="D743" s="9"/>
      <c r="E743" s="11"/>
    </row>
    <row r="744" spans="1:5" ht="13.2" x14ac:dyDescent="0.25">
      <c r="A744" s="9"/>
      <c r="B744" s="9"/>
      <c r="C744" s="9"/>
      <c r="D744" s="9"/>
      <c r="E744" s="11"/>
    </row>
    <row r="745" spans="1:5" ht="13.2" x14ac:dyDescent="0.25">
      <c r="A745" s="9"/>
      <c r="B745" s="9"/>
      <c r="C745" s="9"/>
      <c r="D745" s="9"/>
      <c r="E745" s="11"/>
    </row>
    <row r="746" spans="1:5" ht="13.2" x14ac:dyDescent="0.25">
      <c r="A746" s="9"/>
      <c r="B746" s="9"/>
      <c r="C746" s="9"/>
      <c r="D746" s="9"/>
      <c r="E746" s="11"/>
    </row>
    <row r="747" spans="1:5" ht="13.2" x14ac:dyDescent="0.25">
      <c r="A747" s="9"/>
      <c r="B747" s="9"/>
      <c r="C747" s="9"/>
      <c r="D747" s="9"/>
      <c r="E747" s="11"/>
    </row>
    <row r="748" spans="1:5" ht="13.2" x14ac:dyDescent="0.25">
      <c r="A748" s="9"/>
      <c r="B748" s="9"/>
      <c r="C748" s="9"/>
      <c r="D748" s="9"/>
      <c r="E748" s="11"/>
    </row>
    <row r="749" spans="1:5" ht="13.2" x14ac:dyDescent="0.25">
      <c r="A749" s="9"/>
      <c r="B749" s="9"/>
      <c r="C749" s="9"/>
      <c r="D749" s="9"/>
      <c r="E749" s="11"/>
    </row>
    <row r="750" spans="1:5" ht="13.2" x14ac:dyDescent="0.25">
      <c r="A750" s="9"/>
      <c r="B750" s="9"/>
      <c r="C750" s="9"/>
      <c r="D750" s="9"/>
      <c r="E750" s="11"/>
    </row>
    <row r="751" spans="1:5" ht="13.2" x14ac:dyDescent="0.25">
      <c r="A751" s="9"/>
      <c r="B751" s="9"/>
      <c r="C751" s="9"/>
      <c r="D751" s="9"/>
      <c r="E751" s="11"/>
    </row>
    <row r="752" spans="1:5" ht="13.2" x14ac:dyDescent="0.25">
      <c r="A752" s="9"/>
      <c r="B752" s="9"/>
      <c r="C752" s="9"/>
      <c r="D752" s="9"/>
      <c r="E752" s="11"/>
    </row>
    <row r="753" spans="1:5" ht="13.2" x14ac:dyDescent="0.25">
      <c r="A753" s="9"/>
      <c r="B753" s="9"/>
      <c r="C753" s="9"/>
      <c r="D753" s="9"/>
      <c r="E753" s="11"/>
    </row>
    <row r="754" spans="1:5" ht="13.2" x14ac:dyDescent="0.25">
      <c r="A754" s="9"/>
      <c r="B754" s="9"/>
      <c r="C754" s="9"/>
      <c r="D754" s="9"/>
      <c r="E754" s="11"/>
    </row>
    <row r="755" spans="1:5" ht="13.2" x14ac:dyDescent="0.25">
      <c r="A755" s="9"/>
      <c r="B755" s="9"/>
      <c r="C755" s="9"/>
      <c r="D755" s="9"/>
      <c r="E755" s="11"/>
    </row>
    <row r="756" spans="1:5" ht="13.2" x14ac:dyDescent="0.25">
      <c r="A756" s="9"/>
      <c r="B756" s="9"/>
      <c r="C756" s="9"/>
      <c r="D756" s="9"/>
      <c r="E756" s="11"/>
    </row>
    <row r="757" spans="1:5" ht="13.2" x14ac:dyDescent="0.25">
      <c r="A757" s="9"/>
      <c r="B757" s="9"/>
      <c r="C757" s="9"/>
      <c r="D757" s="9"/>
      <c r="E757" s="11"/>
    </row>
    <row r="758" spans="1:5" ht="13.2" x14ac:dyDescent="0.25">
      <c r="A758" s="9"/>
      <c r="B758" s="9"/>
      <c r="C758" s="9"/>
      <c r="D758" s="9"/>
      <c r="E758" s="11"/>
    </row>
    <row r="759" spans="1:5" ht="13.2" x14ac:dyDescent="0.25">
      <c r="A759" s="9"/>
      <c r="B759" s="9"/>
      <c r="C759" s="9"/>
      <c r="D759" s="9"/>
      <c r="E759" s="11"/>
    </row>
    <row r="760" spans="1:5" ht="13.2" x14ac:dyDescent="0.25">
      <c r="A760" s="9"/>
      <c r="B760" s="9"/>
      <c r="C760" s="9"/>
      <c r="D760" s="9"/>
      <c r="E760" s="11"/>
    </row>
    <row r="761" spans="1:5" ht="13.2" x14ac:dyDescent="0.25">
      <c r="A761" s="9"/>
      <c r="B761" s="9"/>
      <c r="C761" s="9"/>
      <c r="D761" s="9"/>
      <c r="E761" s="11"/>
    </row>
    <row r="762" spans="1:5" ht="13.2" x14ac:dyDescent="0.25">
      <c r="A762" s="9"/>
      <c r="B762" s="9"/>
      <c r="C762" s="9"/>
      <c r="D762" s="9"/>
      <c r="E762" s="11"/>
    </row>
    <row r="763" spans="1:5" ht="13.2" x14ac:dyDescent="0.25">
      <c r="A763" s="9"/>
      <c r="B763" s="9"/>
      <c r="C763" s="9"/>
      <c r="D763" s="9"/>
      <c r="E763" s="11"/>
    </row>
    <row r="764" spans="1:5" ht="13.2" x14ac:dyDescent="0.25">
      <c r="A764" s="9"/>
      <c r="B764" s="9"/>
      <c r="C764" s="9"/>
      <c r="D764" s="9"/>
      <c r="E764" s="11"/>
    </row>
    <row r="765" spans="1:5" ht="13.2" x14ac:dyDescent="0.25">
      <c r="A765" s="9"/>
      <c r="B765" s="9"/>
      <c r="C765" s="9"/>
      <c r="D765" s="9"/>
      <c r="E765" s="11"/>
    </row>
    <row r="766" spans="1:5" ht="13.2" x14ac:dyDescent="0.25">
      <c r="A766" s="9"/>
      <c r="B766" s="9"/>
      <c r="C766" s="9"/>
      <c r="D766" s="9"/>
      <c r="E766" s="11"/>
    </row>
    <row r="767" spans="1:5" ht="13.2" x14ac:dyDescent="0.25">
      <c r="A767" s="9"/>
      <c r="B767" s="9"/>
      <c r="C767" s="9"/>
      <c r="D767" s="9"/>
      <c r="E767" s="11"/>
    </row>
    <row r="768" spans="1:5" ht="13.2" x14ac:dyDescent="0.25">
      <c r="A768" s="9"/>
      <c r="B768" s="9"/>
      <c r="C768" s="9"/>
      <c r="D768" s="9"/>
      <c r="E768" s="11"/>
    </row>
    <row r="769" spans="1:5" ht="13.2" x14ac:dyDescent="0.25">
      <c r="A769" s="9"/>
      <c r="B769" s="9"/>
      <c r="C769" s="9"/>
      <c r="D769" s="9"/>
      <c r="E769" s="11"/>
    </row>
    <row r="770" spans="1:5" ht="13.2" x14ac:dyDescent="0.25">
      <c r="A770" s="9"/>
      <c r="B770" s="9"/>
      <c r="C770" s="9"/>
      <c r="D770" s="9"/>
      <c r="E770" s="11"/>
    </row>
    <row r="771" spans="1:5" ht="13.2" x14ac:dyDescent="0.25">
      <c r="A771" s="9"/>
      <c r="B771" s="9"/>
      <c r="C771" s="9"/>
      <c r="D771" s="9"/>
      <c r="E771" s="11"/>
    </row>
    <row r="772" spans="1:5" ht="13.2" x14ac:dyDescent="0.25">
      <c r="A772" s="9"/>
      <c r="B772" s="9"/>
      <c r="C772" s="9"/>
      <c r="D772" s="9"/>
      <c r="E772" s="11"/>
    </row>
    <row r="773" spans="1:5" ht="13.2" x14ac:dyDescent="0.25">
      <c r="A773" s="9"/>
      <c r="B773" s="9"/>
      <c r="C773" s="9"/>
      <c r="D773" s="9"/>
      <c r="E773" s="11"/>
    </row>
    <row r="774" spans="1:5" ht="13.2" x14ac:dyDescent="0.25">
      <c r="A774" s="9"/>
      <c r="B774" s="9"/>
      <c r="C774" s="9"/>
      <c r="D774" s="9"/>
      <c r="E774" s="11"/>
    </row>
    <row r="775" spans="1:5" ht="13.2" x14ac:dyDescent="0.25">
      <c r="A775" s="9"/>
      <c r="B775" s="9"/>
      <c r="C775" s="9"/>
      <c r="D775" s="9"/>
      <c r="E775" s="11"/>
    </row>
    <row r="776" spans="1:5" ht="13.2" x14ac:dyDescent="0.25">
      <c r="A776" s="9"/>
      <c r="B776" s="9"/>
      <c r="C776" s="9"/>
      <c r="D776" s="9"/>
      <c r="E776" s="11"/>
    </row>
    <row r="777" spans="1:5" ht="13.2" x14ac:dyDescent="0.25">
      <c r="A777" s="9"/>
      <c r="B777" s="9"/>
      <c r="C777" s="9"/>
      <c r="D777" s="9"/>
      <c r="E777" s="11"/>
    </row>
    <row r="778" spans="1:5" ht="13.2" x14ac:dyDescent="0.25">
      <c r="A778" s="9"/>
      <c r="B778" s="9"/>
      <c r="C778" s="9"/>
      <c r="D778" s="9"/>
      <c r="E778" s="11"/>
    </row>
    <row r="779" spans="1:5" ht="13.2" x14ac:dyDescent="0.25">
      <c r="A779" s="9"/>
      <c r="B779" s="9"/>
      <c r="C779" s="9"/>
      <c r="D779" s="9"/>
      <c r="E779" s="11"/>
    </row>
    <row r="780" spans="1:5" ht="13.2" x14ac:dyDescent="0.25">
      <c r="A780" s="9"/>
      <c r="B780" s="9"/>
      <c r="C780" s="9"/>
      <c r="D780" s="9"/>
      <c r="E780" s="11"/>
    </row>
    <row r="781" spans="1:5" ht="13.2" x14ac:dyDescent="0.25">
      <c r="A781" s="9"/>
      <c r="B781" s="9"/>
      <c r="C781" s="9"/>
      <c r="D781" s="9"/>
      <c r="E781" s="11"/>
    </row>
    <row r="782" spans="1:5" ht="13.2" x14ac:dyDescent="0.25">
      <c r="A782" s="9"/>
      <c r="B782" s="9"/>
      <c r="C782" s="9"/>
      <c r="D782" s="9"/>
      <c r="E782" s="11"/>
    </row>
    <row r="783" spans="1:5" ht="13.2" x14ac:dyDescent="0.25">
      <c r="A783" s="9"/>
      <c r="B783" s="9"/>
      <c r="C783" s="9"/>
      <c r="D783" s="9"/>
      <c r="E783" s="11"/>
    </row>
    <row r="784" spans="1:5" ht="13.2" x14ac:dyDescent="0.25">
      <c r="A784" s="9"/>
      <c r="B784" s="9"/>
      <c r="C784" s="9"/>
      <c r="D784" s="9"/>
      <c r="E784" s="11"/>
    </row>
    <row r="785" spans="1:5" ht="13.2" x14ac:dyDescent="0.25">
      <c r="A785" s="9"/>
      <c r="B785" s="9"/>
      <c r="C785" s="9"/>
      <c r="D785" s="9"/>
      <c r="E785" s="11"/>
    </row>
    <row r="786" spans="1:5" ht="13.2" x14ac:dyDescent="0.25">
      <c r="A786" s="9"/>
      <c r="B786" s="9"/>
      <c r="C786" s="9"/>
      <c r="D786" s="9"/>
      <c r="E786" s="11"/>
    </row>
    <row r="787" spans="1:5" ht="13.2" x14ac:dyDescent="0.25">
      <c r="A787" s="9"/>
      <c r="B787" s="9"/>
      <c r="C787" s="9"/>
      <c r="D787" s="9"/>
      <c r="E787" s="11"/>
    </row>
    <row r="788" spans="1:5" ht="13.2" x14ac:dyDescent="0.25">
      <c r="A788" s="9"/>
      <c r="B788" s="9"/>
      <c r="C788" s="9"/>
      <c r="D788" s="9"/>
      <c r="E788" s="11"/>
    </row>
    <row r="789" spans="1:5" ht="13.2" x14ac:dyDescent="0.25">
      <c r="A789" s="9"/>
      <c r="B789" s="9"/>
      <c r="C789" s="9"/>
      <c r="D789" s="9"/>
      <c r="E789" s="11"/>
    </row>
    <row r="790" spans="1:5" ht="13.2" x14ac:dyDescent="0.25">
      <c r="A790" s="9"/>
      <c r="B790" s="9"/>
      <c r="C790" s="9"/>
      <c r="D790" s="9"/>
      <c r="E790" s="11"/>
    </row>
    <row r="791" spans="1:5" ht="13.2" x14ac:dyDescent="0.25">
      <c r="A791" s="9"/>
      <c r="B791" s="9"/>
      <c r="C791" s="9"/>
      <c r="D791" s="9"/>
      <c r="E791" s="11"/>
    </row>
    <row r="792" spans="1:5" ht="13.2" x14ac:dyDescent="0.25">
      <c r="A792" s="9"/>
      <c r="B792" s="9"/>
      <c r="C792" s="9"/>
      <c r="D792" s="9"/>
      <c r="E792" s="11"/>
    </row>
    <row r="793" spans="1:5" ht="13.2" x14ac:dyDescent="0.25">
      <c r="A793" s="9"/>
      <c r="B793" s="9"/>
      <c r="C793" s="9"/>
      <c r="D793" s="9"/>
      <c r="E793" s="11"/>
    </row>
    <row r="794" spans="1:5" ht="13.2" x14ac:dyDescent="0.25">
      <c r="A794" s="9"/>
      <c r="B794" s="9"/>
      <c r="C794" s="9"/>
      <c r="D794" s="9"/>
      <c r="E794" s="11"/>
    </row>
    <row r="795" spans="1:5" ht="13.2" x14ac:dyDescent="0.25">
      <c r="A795" s="9"/>
      <c r="B795" s="9"/>
      <c r="C795" s="9"/>
      <c r="D795" s="9"/>
      <c r="E795" s="11"/>
    </row>
    <row r="796" spans="1:5" ht="13.2" x14ac:dyDescent="0.25">
      <c r="A796" s="9"/>
      <c r="B796" s="9"/>
      <c r="C796" s="9"/>
      <c r="D796" s="9"/>
      <c r="E796" s="11"/>
    </row>
    <row r="797" spans="1:5" ht="13.2" x14ac:dyDescent="0.25">
      <c r="A797" s="9"/>
      <c r="B797" s="9"/>
      <c r="C797" s="9"/>
      <c r="D797" s="9"/>
      <c r="E797" s="11"/>
    </row>
    <row r="798" spans="1:5" ht="13.2" x14ac:dyDescent="0.25">
      <c r="A798" s="9"/>
      <c r="B798" s="9"/>
      <c r="C798" s="9"/>
      <c r="D798" s="9"/>
      <c r="E798" s="11"/>
    </row>
    <row r="799" spans="1:5" ht="13.2" x14ac:dyDescent="0.25">
      <c r="A799" s="9"/>
      <c r="B799" s="9"/>
      <c r="C799" s="9"/>
      <c r="D799" s="9"/>
      <c r="E799" s="11"/>
    </row>
    <row r="800" spans="1:5" ht="13.2" x14ac:dyDescent="0.25">
      <c r="A800" s="9"/>
      <c r="B800" s="9"/>
      <c r="C800" s="9"/>
      <c r="D800" s="9"/>
      <c r="E800" s="11"/>
    </row>
    <row r="801" spans="1:5" ht="13.2" x14ac:dyDescent="0.25">
      <c r="A801" s="9"/>
      <c r="B801" s="9"/>
      <c r="C801" s="9"/>
      <c r="D801" s="9"/>
      <c r="E801" s="11"/>
    </row>
    <row r="802" spans="1:5" ht="13.2" x14ac:dyDescent="0.25">
      <c r="A802" s="9"/>
      <c r="B802" s="9"/>
      <c r="C802" s="9"/>
      <c r="D802" s="9"/>
      <c r="E802" s="11"/>
    </row>
    <row r="803" spans="1:5" ht="13.2" x14ac:dyDescent="0.25">
      <c r="A803" s="9"/>
      <c r="B803" s="9"/>
      <c r="C803" s="9"/>
      <c r="D803" s="9"/>
      <c r="E803" s="11"/>
    </row>
    <row r="804" spans="1:5" ht="13.2" x14ac:dyDescent="0.25">
      <c r="A804" s="9"/>
      <c r="B804" s="9"/>
      <c r="C804" s="9"/>
      <c r="D804" s="9"/>
      <c r="E804" s="11"/>
    </row>
    <row r="805" spans="1:5" ht="13.2" x14ac:dyDescent="0.25">
      <c r="A805" s="9"/>
      <c r="B805" s="9"/>
      <c r="C805" s="9"/>
      <c r="D805" s="9"/>
      <c r="E805" s="11"/>
    </row>
    <row r="806" spans="1:5" ht="13.2" x14ac:dyDescent="0.25">
      <c r="A806" s="9"/>
      <c r="B806" s="9"/>
      <c r="C806" s="9"/>
      <c r="D806" s="9"/>
      <c r="E806" s="11"/>
    </row>
    <row r="807" spans="1:5" ht="13.2" x14ac:dyDescent="0.25">
      <c r="A807" s="9"/>
      <c r="B807" s="9"/>
      <c r="C807" s="9"/>
      <c r="D807" s="9"/>
      <c r="E807" s="11"/>
    </row>
    <row r="808" spans="1:5" ht="13.2" x14ac:dyDescent="0.25">
      <c r="A808" s="9"/>
      <c r="B808" s="9"/>
      <c r="C808" s="9"/>
      <c r="D808" s="9"/>
      <c r="E808" s="11"/>
    </row>
    <row r="809" spans="1:5" ht="13.2" x14ac:dyDescent="0.25">
      <c r="A809" s="9"/>
      <c r="B809" s="9"/>
      <c r="C809" s="9"/>
      <c r="D809" s="9"/>
      <c r="E809" s="11"/>
    </row>
    <row r="810" spans="1:5" ht="13.2" x14ac:dyDescent="0.25">
      <c r="A810" s="9"/>
      <c r="B810" s="9"/>
      <c r="C810" s="9"/>
      <c r="D810" s="9"/>
      <c r="E810" s="11"/>
    </row>
    <row r="811" spans="1:5" ht="13.2" x14ac:dyDescent="0.25">
      <c r="A811" s="9"/>
      <c r="B811" s="9"/>
      <c r="C811" s="9"/>
      <c r="D811" s="9"/>
      <c r="E811" s="11"/>
    </row>
    <row r="812" spans="1:5" ht="13.2" x14ac:dyDescent="0.25">
      <c r="A812" s="9"/>
      <c r="B812" s="9"/>
      <c r="C812" s="9"/>
      <c r="D812" s="9"/>
      <c r="E812" s="11"/>
    </row>
    <row r="813" spans="1:5" ht="13.2" x14ac:dyDescent="0.25">
      <c r="A813" s="9"/>
      <c r="B813" s="9"/>
      <c r="C813" s="9"/>
      <c r="D813" s="9"/>
      <c r="E813" s="11"/>
    </row>
    <row r="814" spans="1:5" ht="13.2" x14ac:dyDescent="0.25">
      <c r="A814" s="9"/>
      <c r="B814" s="9"/>
      <c r="C814" s="9"/>
      <c r="D814" s="9"/>
      <c r="E814" s="11"/>
    </row>
    <row r="815" spans="1:5" ht="13.2" x14ac:dyDescent="0.25">
      <c r="A815" s="9"/>
      <c r="B815" s="9"/>
      <c r="C815" s="9"/>
      <c r="D815" s="9"/>
      <c r="E815" s="11"/>
    </row>
    <row r="816" spans="1:5" ht="13.2" x14ac:dyDescent="0.25">
      <c r="A816" s="9"/>
      <c r="B816" s="9"/>
      <c r="C816" s="9"/>
      <c r="D816" s="9"/>
      <c r="E816" s="11"/>
    </row>
    <row r="817" spans="1:5" ht="13.2" x14ac:dyDescent="0.25">
      <c r="A817" s="9"/>
      <c r="B817" s="9"/>
      <c r="C817" s="9"/>
      <c r="D817" s="9"/>
      <c r="E817" s="11"/>
    </row>
    <row r="818" spans="1:5" ht="13.2" x14ac:dyDescent="0.25">
      <c r="A818" s="9"/>
      <c r="B818" s="9"/>
      <c r="C818" s="9"/>
      <c r="D818" s="9"/>
      <c r="E818" s="11"/>
    </row>
    <row r="819" spans="1:5" ht="13.2" x14ac:dyDescent="0.25">
      <c r="A819" s="9"/>
      <c r="B819" s="9"/>
      <c r="C819" s="9"/>
      <c r="D819" s="9"/>
      <c r="E819" s="11"/>
    </row>
    <row r="820" spans="1:5" ht="13.2" x14ac:dyDescent="0.25">
      <c r="A820" s="9"/>
      <c r="B820" s="9"/>
      <c r="C820" s="9"/>
      <c r="D820" s="9"/>
      <c r="E820" s="11"/>
    </row>
    <row r="821" spans="1:5" ht="13.2" x14ac:dyDescent="0.25">
      <c r="A821" s="9"/>
      <c r="B821" s="9"/>
      <c r="C821" s="9"/>
      <c r="D821" s="9"/>
      <c r="E821" s="11"/>
    </row>
    <row r="822" spans="1:5" ht="13.2" x14ac:dyDescent="0.25">
      <c r="A822" s="9"/>
      <c r="B822" s="9"/>
      <c r="C822" s="9"/>
      <c r="D822" s="9"/>
      <c r="E822" s="11"/>
    </row>
    <row r="823" spans="1:5" ht="13.2" x14ac:dyDescent="0.25">
      <c r="A823" s="9"/>
      <c r="B823" s="9"/>
      <c r="C823" s="9"/>
      <c r="D823" s="9"/>
      <c r="E823" s="11"/>
    </row>
    <row r="824" spans="1:5" ht="13.2" x14ac:dyDescent="0.25">
      <c r="A824" s="9"/>
      <c r="B824" s="9"/>
      <c r="C824" s="9"/>
      <c r="D824" s="9"/>
      <c r="E824" s="11"/>
    </row>
    <row r="825" spans="1:5" ht="13.2" x14ac:dyDescent="0.25">
      <c r="A825" s="9"/>
      <c r="B825" s="9"/>
      <c r="C825" s="9"/>
      <c r="D825" s="9"/>
      <c r="E825" s="11"/>
    </row>
    <row r="826" spans="1:5" ht="13.2" x14ac:dyDescent="0.25">
      <c r="A826" s="9"/>
      <c r="B826" s="9"/>
      <c r="C826" s="9"/>
      <c r="D826" s="9"/>
      <c r="E826" s="11"/>
    </row>
    <row r="827" spans="1:5" ht="13.2" x14ac:dyDescent="0.25">
      <c r="A827" s="9"/>
      <c r="B827" s="9"/>
      <c r="C827" s="9"/>
      <c r="D827" s="9"/>
      <c r="E827" s="11"/>
    </row>
    <row r="828" spans="1:5" ht="13.2" x14ac:dyDescent="0.25">
      <c r="A828" s="9"/>
      <c r="B828" s="9"/>
      <c r="C828" s="9"/>
      <c r="D828" s="9"/>
      <c r="E828" s="11"/>
    </row>
    <row r="829" spans="1:5" ht="13.2" x14ac:dyDescent="0.25">
      <c r="A829" s="9"/>
      <c r="B829" s="9"/>
      <c r="C829" s="9"/>
      <c r="D829" s="9"/>
      <c r="E829" s="11"/>
    </row>
    <row r="830" spans="1:5" ht="13.2" x14ac:dyDescent="0.25">
      <c r="A830" s="9"/>
      <c r="B830" s="9"/>
      <c r="C830" s="9"/>
      <c r="D830" s="9"/>
      <c r="E830" s="11"/>
    </row>
    <row r="831" spans="1:5" ht="13.2" x14ac:dyDescent="0.25">
      <c r="A831" s="9"/>
      <c r="B831" s="9"/>
      <c r="C831" s="9"/>
      <c r="D831" s="9"/>
      <c r="E831" s="11"/>
    </row>
    <row r="832" spans="1:5" ht="13.2" x14ac:dyDescent="0.25">
      <c r="A832" s="9"/>
      <c r="B832" s="9"/>
      <c r="C832" s="9"/>
      <c r="D832" s="9"/>
      <c r="E832" s="11"/>
    </row>
    <row r="833" spans="1:5" ht="13.2" x14ac:dyDescent="0.25">
      <c r="A833" s="9"/>
      <c r="B833" s="9"/>
      <c r="C833" s="9"/>
      <c r="D833" s="9"/>
      <c r="E833" s="11"/>
    </row>
    <row r="834" spans="1:5" ht="13.2" x14ac:dyDescent="0.25">
      <c r="A834" s="9"/>
      <c r="B834" s="9"/>
      <c r="C834" s="9"/>
      <c r="D834" s="9"/>
      <c r="E834" s="11"/>
    </row>
    <row r="835" spans="1:5" ht="13.2" x14ac:dyDescent="0.25">
      <c r="A835" s="9"/>
      <c r="B835" s="9"/>
      <c r="C835" s="9"/>
      <c r="D835" s="9"/>
      <c r="E835" s="11"/>
    </row>
    <row r="836" spans="1:5" ht="13.2" x14ac:dyDescent="0.25">
      <c r="A836" s="9"/>
      <c r="B836" s="9"/>
      <c r="C836" s="9"/>
      <c r="D836" s="9"/>
      <c r="E836" s="11"/>
    </row>
    <row r="837" spans="1:5" ht="13.2" x14ac:dyDescent="0.25">
      <c r="A837" s="9"/>
      <c r="B837" s="9"/>
      <c r="C837" s="9"/>
      <c r="D837" s="9"/>
      <c r="E837" s="11"/>
    </row>
    <row r="838" spans="1:5" ht="13.2" x14ac:dyDescent="0.25">
      <c r="A838" s="9"/>
      <c r="B838" s="9"/>
      <c r="C838" s="9"/>
      <c r="D838" s="9"/>
      <c r="E838" s="11"/>
    </row>
    <row r="839" spans="1:5" ht="13.2" x14ac:dyDescent="0.25">
      <c r="A839" s="9"/>
      <c r="B839" s="9"/>
      <c r="C839" s="9"/>
      <c r="D839" s="9"/>
      <c r="E839" s="11"/>
    </row>
    <row r="840" spans="1:5" ht="13.2" x14ac:dyDescent="0.25">
      <c r="A840" s="9"/>
      <c r="B840" s="9"/>
      <c r="C840" s="9"/>
      <c r="D840" s="9"/>
      <c r="E840" s="11"/>
    </row>
    <row r="841" spans="1:5" ht="13.2" x14ac:dyDescent="0.25">
      <c r="A841" s="9"/>
      <c r="B841" s="9"/>
      <c r="C841" s="9"/>
      <c r="D841" s="9"/>
      <c r="E841" s="11"/>
    </row>
    <row r="842" spans="1:5" ht="13.2" x14ac:dyDescent="0.25">
      <c r="A842" s="9"/>
      <c r="B842" s="9"/>
      <c r="C842" s="9"/>
      <c r="D842" s="9"/>
      <c r="E842" s="11"/>
    </row>
    <row r="843" spans="1:5" ht="13.2" x14ac:dyDescent="0.25">
      <c r="A843" s="9"/>
      <c r="B843" s="9"/>
      <c r="C843" s="9"/>
      <c r="D843" s="9"/>
      <c r="E843" s="11"/>
    </row>
    <row r="844" spans="1:5" ht="13.2" x14ac:dyDescent="0.25">
      <c r="A844" s="9"/>
      <c r="B844" s="9"/>
      <c r="C844" s="9"/>
      <c r="D844" s="9"/>
      <c r="E844" s="11"/>
    </row>
    <row r="845" spans="1:5" ht="13.2" x14ac:dyDescent="0.25">
      <c r="A845" s="9"/>
      <c r="B845" s="9"/>
      <c r="C845" s="9"/>
      <c r="D845" s="9"/>
      <c r="E845" s="11"/>
    </row>
    <row r="846" spans="1:5" ht="13.2" x14ac:dyDescent="0.25">
      <c r="A846" s="9"/>
      <c r="B846" s="9"/>
      <c r="C846" s="9"/>
      <c r="D846" s="9"/>
      <c r="E846" s="11"/>
    </row>
    <row r="847" spans="1:5" ht="13.2" x14ac:dyDescent="0.25">
      <c r="A847" s="9"/>
      <c r="B847" s="9"/>
      <c r="C847" s="9"/>
      <c r="D847" s="9"/>
      <c r="E847" s="11"/>
    </row>
    <row r="848" spans="1:5" ht="13.2" x14ac:dyDescent="0.25">
      <c r="A848" s="9"/>
      <c r="B848" s="9"/>
      <c r="C848" s="9"/>
      <c r="D848" s="9"/>
      <c r="E848" s="11"/>
    </row>
    <row r="849" spans="1:5" ht="13.2" x14ac:dyDescent="0.25">
      <c r="A849" s="9"/>
      <c r="B849" s="9"/>
      <c r="C849" s="9"/>
      <c r="D849" s="9"/>
      <c r="E849" s="11"/>
    </row>
    <row r="850" spans="1:5" ht="13.2" x14ac:dyDescent="0.25">
      <c r="A850" s="9"/>
      <c r="B850" s="9"/>
      <c r="C850" s="9"/>
      <c r="D850" s="9"/>
      <c r="E850" s="11"/>
    </row>
    <row r="851" spans="1:5" ht="13.2" x14ac:dyDescent="0.25">
      <c r="A851" s="9"/>
      <c r="B851" s="9"/>
      <c r="C851" s="9"/>
      <c r="D851" s="9"/>
      <c r="E851" s="11"/>
    </row>
    <row r="852" spans="1:5" ht="13.2" x14ac:dyDescent="0.25">
      <c r="A852" s="9"/>
      <c r="B852" s="9"/>
      <c r="C852" s="9"/>
      <c r="D852" s="9"/>
      <c r="E852" s="11"/>
    </row>
    <row r="853" spans="1:5" ht="13.2" x14ac:dyDescent="0.25">
      <c r="A853" s="9"/>
      <c r="B853" s="9"/>
      <c r="C853" s="9"/>
      <c r="D853" s="9"/>
      <c r="E853" s="11"/>
    </row>
    <row r="854" spans="1:5" ht="13.2" x14ac:dyDescent="0.25">
      <c r="A854" s="9"/>
      <c r="B854" s="9"/>
      <c r="C854" s="9"/>
      <c r="D854" s="9"/>
      <c r="E854" s="11"/>
    </row>
    <row r="855" spans="1:5" ht="13.2" x14ac:dyDescent="0.25">
      <c r="A855" s="9"/>
      <c r="B855" s="9"/>
      <c r="C855" s="9"/>
      <c r="D855" s="9"/>
      <c r="E855" s="11"/>
    </row>
    <row r="856" spans="1:5" ht="13.2" x14ac:dyDescent="0.25">
      <c r="A856" s="9"/>
      <c r="B856" s="9"/>
      <c r="C856" s="9"/>
      <c r="D856" s="9"/>
      <c r="E856" s="11"/>
    </row>
    <row r="857" spans="1:5" ht="13.2" x14ac:dyDescent="0.25">
      <c r="A857" s="9"/>
      <c r="B857" s="9"/>
      <c r="C857" s="9"/>
      <c r="D857" s="9"/>
      <c r="E857" s="11"/>
    </row>
    <row r="858" spans="1:5" ht="13.2" x14ac:dyDescent="0.25">
      <c r="A858" s="9"/>
      <c r="B858" s="9"/>
      <c r="C858" s="9"/>
      <c r="D858" s="9"/>
      <c r="E858" s="11"/>
    </row>
    <row r="859" spans="1:5" ht="13.2" x14ac:dyDescent="0.25">
      <c r="A859" s="9"/>
      <c r="B859" s="9"/>
      <c r="C859" s="9"/>
      <c r="D859" s="9"/>
      <c r="E859" s="11"/>
    </row>
    <row r="860" spans="1:5" ht="13.2" x14ac:dyDescent="0.25">
      <c r="A860" s="9"/>
      <c r="B860" s="9"/>
      <c r="C860" s="9"/>
      <c r="D860" s="9"/>
      <c r="E860" s="11"/>
    </row>
    <row r="861" spans="1:5" ht="13.2" x14ac:dyDescent="0.25">
      <c r="A861" s="9"/>
      <c r="B861" s="9"/>
      <c r="C861" s="9"/>
      <c r="D861" s="9"/>
      <c r="E861" s="11"/>
    </row>
    <row r="862" spans="1:5" ht="13.2" x14ac:dyDescent="0.25">
      <c r="A862" s="9"/>
      <c r="B862" s="9"/>
      <c r="C862" s="9"/>
      <c r="D862" s="9"/>
      <c r="E862" s="11"/>
    </row>
    <row r="863" spans="1:5" ht="13.2" x14ac:dyDescent="0.25">
      <c r="A863" s="9"/>
      <c r="B863" s="9"/>
      <c r="C863" s="9"/>
      <c r="D863" s="9"/>
      <c r="E863" s="11"/>
    </row>
    <row r="864" spans="1:5" ht="13.2" x14ac:dyDescent="0.25">
      <c r="A864" s="9"/>
      <c r="B864" s="9"/>
      <c r="C864" s="9"/>
      <c r="D864" s="9"/>
      <c r="E864" s="11"/>
    </row>
    <row r="865" spans="1:5" ht="13.2" x14ac:dyDescent="0.25">
      <c r="A865" s="9"/>
      <c r="B865" s="9"/>
      <c r="C865" s="9"/>
      <c r="D865" s="9"/>
      <c r="E865" s="11"/>
    </row>
    <row r="866" spans="1:5" ht="13.2" x14ac:dyDescent="0.25">
      <c r="A866" s="9"/>
      <c r="B866" s="9"/>
      <c r="C866" s="9"/>
      <c r="D866" s="9"/>
      <c r="E866" s="11"/>
    </row>
    <row r="867" spans="1:5" ht="13.2" x14ac:dyDescent="0.25">
      <c r="A867" s="9"/>
      <c r="B867" s="9"/>
      <c r="C867" s="9"/>
      <c r="D867" s="9"/>
      <c r="E867" s="11"/>
    </row>
    <row r="868" spans="1:5" ht="13.2" x14ac:dyDescent="0.25">
      <c r="A868" s="9"/>
      <c r="B868" s="9"/>
      <c r="C868" s="9"/>
      <c r="D868" s="9"/>
      <c r="E868" s="11"/>
    </row>
    <row r="869" spans="1:5" ht="13.2" x14ac:dyDescent="0.25">
      <c r="A869" s="9"/>
      <c r="B869" s="9"/>
      <c r="C869" s="9"/>
      <c r="D869" s="9"/>
      <c r="E869" s="11"/>
    </row>
    <row r="870" spans="1:5" ht="13.2" x14ac:dyDescent="0.25">
      <c r="A870" s="9"/>
      <c r="B870" s="9"/>
      <c r="C870" s="9"/>
      <c r="D870" s="9"/>
      <c r="E870" s="11"/>
    </row>
    <row r="871" spans="1:5" ht="13.2" x14ac:dyDescent="0.25">
      <c r="A871" s="9"/>
      <c r="B871" s="9"/>
      <c r="C871" s="9"/>
      <c r="D871" s="9"/>
      <c r="E871" s="11"/>
    </row>
    <row r="872" spans="1:5" ht="13.2" x14ac:dyDescent="0.25">
      <c r="A872" s="9"/>
      <c r="B872" s="9"/>
      <c r="C872" s="9"/>
      <c r="D872" s="9"/>
      <c r="E872" s="11"/>
    </row>
    <row r="873" spans="1:5" ht="13.2" x14ac:dyDescent="0.25">
      <c r="A873" s="9"/>
      <c r="B873" s="9"/>
      <c r="C873" s="9"/>
      <c r="D873" s="9"/>
      <c r="E873" s="11"/>
    </row>
    <row r="874" spans="1:5" ht="13.2" x14ac:dyDescent="0.25">
      <c r="A874" s="9"/>
      <c r="B874" s="9"/>
      <c r="C874" s="9"/>
      <c r="D874" s="9"/>
      <c r="E874" s="11"/>
    </row>
    <row r="875" spans="1:5" ht="13.2" x14ac:dyDescent="0.25">
      <c r="A875" s="9"/>
      <c r="B875" s="9"/>
      <c r="C875" s="9"/>
      <c r="D875" s="9"/>
      <c r="E875" s="11"/>
    </row>
    <row r="876" spans="1:5" ht="13.2" x14ac:dyDescent="0.25">
      <c r="A876" s="9"/>
      <c r="B876" s="9"/>
      <c r="C876" s="9"/>
      <c r="D876" s="9"/>
      <c r="E876" s="11"/>
    </row>
    <row r="877" spans="1:5" ht="13.2" x14ac:dyDescent="0.25">
      <c r="A877" s="9"/>
      <c r="B877" s="9"/>
      <c r="C877" s="9"/>
      <c r="D877" s="9"/>
      <c r="E877" s="11"/>
    </row>
    <row r="878" spans="1:5" ht="13.2" x14ac:dyDescent="0.25">
      <c r="A878" s="9"/>
      <c r="B878" s="9"/>
      <c r="C878" s="9"/>
      <c r="D878" s="9"/>
      <c r="E878" s="11"/>
    </row>
    <row r="879" spans="1:5" ht="13.2" x14ac:dyDescent="0.25">
      <c r="A879" s="9"/>
      <c r="B879" s="9"/>
      <c r="C879" s="9"/>
      <c r="D879" s="9"/>
      <c r="E879" s="11"/>
    </row>
    <row r="880" spans="1:5" ht="13.2" x14ac:dyDescent="0.25">
      <c r="A880" s="9"/>
      <c r="B880" s="9"/>
      <c r="C880" s="9"/>
      <c r="D880" s="9"/>
      <c r="E880" s="11"/>
    </row>
    <row r="881" spans="1:5" ht="13.2" x14ac:dyDescent="0.25">
      <c r="A881" s="9"/>
      <c r="B881" s="9"/>
      <c r="C881" s="9"/>
      <c r="D881" s="9"/>
      <c r="E881" s="11"/>
    </row>
    <row r="882" spans="1:5" ht="13.2" x14ac:dyDescent="0.25">
      <c r="A882" s="9"/>
      <c r="B882" s="9"/>
      <c r="C882" s="9"/>
      <c r="D882" s="9"/>
      <c r="E882" s="11"/>
    </row>
    <row r="883" spans="1:5" ht="13.2" x14ac:dyDescent="0.25">
      <c r="A883" s="9"/>
      <c r="B883" s="9"/>
      <c r="C883" s="9"/>
      <c r="D883" s="9"/>
      <c r="E883" s="11"/>
    </row>
    <row r="884" spans="1:5" ht="13.2" x14ac:dyDescent="0.25">
      <c r="A884" s="9"/>
      <c r="B884" s="9"/>
      <c r="C884" s="9"/>
      <c r="D884" s="9"/>
      <c r="E884" s="11"/>
    </row>
    <row r="885" spans="1:5" ht="13.2" x14ac:dyDescent="0.25">
      <c r="A885" s="9"/>
      <c r="B885" s="9"/>
      <c r="C885" s="9"/>
      <c r="D885" s="9"/>
      <c r="E885" s="11"/>
    </row>
    <row r="886" spans="1:5" ht="13.2" x14ac:dyDescent="0.25">
      <c r="A886" s="9"/>
      <c r="B886" s="9"/>
      <c r="C886" s="9"/>
      <c r="D886" s="9"/>
      <c r="E886" s="11"/>
    </row>
    <row r="887" spans="1:5" ht="13.2" x14ac:dyDescent="0.25">
      <c r="A887" s="9"/>
      <c r="B887" s="9"/>
      <c r="C887" s="9"/>
      <c r="D887" s="9"/>
      <c r="E887" s="11"/>
    </row>
    <row r="888" spans="1:5" ht="13.2" x14ac:dyDescent="0.25">
      <c r="A888" s="9"/>
      <c r="B888" s="9"/>
      <c r="C888" s="9"/>
      <c r="D888" s="9"/>
      <c r="E888" s="11"/>
    </row>
    <row r="889" spans="1:5" ht="13.2" x14ac:dyDescent="0.25">
      <c r="A889" s="9"/>
      <c r="B889" s="9"/>
      <c r="C889" s="9"/>
      <c r="D889" s="9"/>
      <c r="E889" s="11"/>
    </row>
    <row r="890" spans="1:5" ht="13.2" x14ac:dyDescent="0.25">
      <c r="A890" s="9"/>
      <c r="B890" s="9"/>
      <c r="C890" s="9"/>
      <c r="D890" s="9"/>
      <c r="E890" s="11"/>
    </row>
    <row r="891" spans="1:5" ht="13.2" x14ac:dyDescent="0.25">
      <c r="A891" s="9"/>
      <c r="B891" s="9"/>
      <c r="C891" s="9"/>
      <c r="D891" s="9"/>
      <c r="E891" s="11"/>
    </row>
    <row r="892" spans="1:5" ht="13.2" x14ac:dyDescent="0.25">
      <c r="A892" s="9"/>
      <c r="B892" s="9"/>
      <c r="C892" s="9"/>
      <c r="D892" s="9"/>
      <c r="E892" s="11"/>
    </row>
    <row r="893" spans="1:5" ht="13.2" x14ac:dyDescent="0.25">
      <c r="A893" s="9"/>
      <c r="B893" s="9"/>
      <c r="C893" s="9"/>
      <c r="D893" s="9"/>
      <c r="E893" s="11"/>
    </row>
    <row r="894" spans="1:5" ht="13.2" x14ac:dyDescent="0.25">
      <c r="A894" s="9"/>
      <c r="B894" s="9"/>
      <c r="C894" s="9"/>
      <c r="D894" s="9"/>
      <c r="E894" s="11"/>
    </row>
    <row r="895" spans="1:5" ht="13.2" x14ac:dyDescent="0.25">
      <c r="A895" s="9"/>
      <c r="B895" s="9"/>
      <c r="C895" s="9"/>
      <c r="D895" s="9"/>
      <c r="E895" s="11"/>
    </row>
    <row r="896" spans="1:5" ht="13.2" x14ac:dyDescent="0.25">
      <c r="A896" s="9"/>
      <c r="B896" s="9"/>
      <c r="C896" s="9"/>
      <c r="D896" s="9"/>
      <c r="E896" s="11"/>
    </row>
    <row r="897" spans="1:5" ht="13.2" x14ac:dyDescent="0.25">
      <c r="A897" s="9"/>
      <c r="B897" s="9"/>
      <c r="C897" s="9"/>
      <c r="D897" s="9"/>
      <c r="E897" s="11"/>
    </row>
    <row r="898" spans="1:5" ht="13.2" x14ac:dyDescent="0.25">
      <c r="A898" s="9"/>
      <c r="B898" s="9"/>
      <c r="C898" s="9"/>
      <c r="D898" s="9"/>
      <c r="E898" s="11"/>
    </row>
    <row r="899" spans="1:5" ht="13.2" x14ac:dyDescent="0.25">
      <c r="A899" s="9"/>
      <c r="B899" s="9"/>
      <c r="C899" s="9"/>
      <c r="D899" s="9"/>
      <c r="E899" s="11"/>
    </row>
    <row r="900" spans="1:5" ht="13.2" x14ac:dyDescent="0.25">
      <c r="A900" s="9"/>
      <c r="B900" s="9"/>
      <c r="C900" s="9"/>
      <c r="D900" s="9"/>
      <c r="E900" s="11"/>
    </row>
    <row r="901" spans="1:5" ht="13.2" x14ac:dyDescent="0.25">
      <c r="A901" s="9"/>
      <c r="B901" s="9"/>
      <c r="C901" s="9"/>
      <c r="D901" s="9"/>
      <c r="E901" s="11"/>
    </row>
    <row r="902" spans="1:5" ht="13.2" x14ac:dyDescent="0.25">
      <c r="A902" s="9"/>
      <c r="B902" s="9"/>
      <c r="C902" s="9"/>
      <c r="D902" s="9"/>
      <c r="E902" s="11"/>
    </row>
    <row r="903" spans="1:5" ht="13.2" x14ac:dyDescent="0.25">
      <c r="A903" s="9"/>
      <c r="B903" s="9"/>
      <c r="C903" s="9"/>
      <c r="D903" s="9"/>
      <c r="E903" s="11"/>
    </row>
    <row r="904" spans="1:5" ht="13.2" x14ac:dyDescent="0.25">
      <c r="A904" s="9"/>
      <c r="B904" s="9"/>
      <c r="C904" s="9"/>
      <c r="D904" s="9"/>
      <c r="E904" s="11"/>
    </row>
    <row r="905" spans="1:5" ht="13.2" x14ac:dyDescent="0.25">
      <c r="A905" s="9"/>
      <c r="B905" s="9"/>
      <c r="C905" s="9"/>
      <c r="D905" s="9"/>
      <c r="E905" s="11"/>
    </row>
    <row r="906" spans="1:5" ht="13.2" x14ac:dyDescent="0.25">
      <c r="A906" s="9"/>
      <c r="B906" s="9"/>
      <c r="C906" s="9"/>
      <c r="D906" s="9"/>
      <c r="E906" s="11"/>
    </row>
    <row r="907" spans="1:5" ht="13.2" x14ac:dyDescent="0.25">
      <c r="A907" s="9"/>
      <c r="B907" s="9"/>
      <c r="C907" s="9"/>
      <c r="D907" s="9"/>
      <c r="E907" s="11"/>
    </row>
    <row r="908" spans="1:5" ht="13.2" x14ac:dyDescent="0.25">
      <c r="A908" s="9"/>
      <c r="B908" s="9"/>
      <c r="C908" s="9"/>
      <c r="D908" s="9"/>
      <c r="E908" s="11"/>
    </row>
    <row r="909" spans="1:5" ht="13.2" x14ac:dyDescent="0.25">
      <c r="A909" s="9"/>
      <c r="B909" s="9"/>
      <c r="C909" s="9"/>
      <c r="D909" s="9"/>
      <c r="E909" s="11"/>
    </row>
    <row r="910" spans="1:5" ht="13.2" x14ac:dyDescent="0.25">
      <c r="A910" s="9"/>
      <c r="B910" s="9"/>
      <c r="C910" s="9"/>
      <c r="D910" s="9"/>
      <c r="E910" s="11"/>
    </row>
    <row r="911" spans="1:5" ht="13.2" x14ac:dyDescent="0.25">
      <c r="A911" s="9"/>
      <c r="B911" s="9"/>
      <c r="C911" s="9"/>
      <c r="D911" s="9"/>
      <c r="E911" s="11"/>
    </row>
    <row r="912" spans="1:5" ht="13.2" x14ac:dyDescent="0.25">
      <c r="A912" s="9"/>
      <c r="B912" s="9"/>
      <c r="C912" s="9"/>
      <c r="D912" s="9"/>
      <c r="E912" s="11"/>
    </row>
    <row r="913" spans="1:5" ht="13.2" x14ac:dyDescent="0.25">
      <c r="A913" s="9"/>
      <c r="B913" s="9"/>
      <c r="C913" s="9"/>
      <c r="D913" s="9"/>
      <c r="E913" s="11"/>
    </row>
    <row r="914" spans="1:5" ht="13.2" x14ac:dyDescent="0.25">
      <c r="A914" s="9"/>
      <c r="B914" s="9"/>
      <c r="C914" s="9"/>
      <c r="D914" s="9"/>
      <c r="E914" s="11"/>
    </row>
    <row r="915" spans="1:5" ht="13.2" x14ac:dyDescent="0.25">
      <c r="A915" s="9"/>
      <c r="B915" s="9"/>
      <c r="C915" s="9"/>
      <c r="D915" s="9"/>
      <c r="E915" s="11"/>
    </row>
    <row r="916" spans="1:5" ht="13.2" x14ac:dyDescent="0.25">
      <c r="A916" s="9"/>
      <c r="B916" s="9"/>
      <c r="C916" s="9"/>
      <c r="D916" s="9"/>
      <c r="E916" s="11"/>
    </row>
    <row r="917" spans="1:5" ht="13.2" x14ac:dyDescent="0.25">
      <c r="A917" s="9"/>
      <c r="B917" s="9"/>
      <c r="C917" s="9"/>
      <c r="D917" s="9"/>
      <c r="E917" s="11"/>
    </row>
    <row r="918" spans="1:5" ht="13.2" x14ac:dyDescent="0.25">
      <c r="A918" s="9"/>
      <c r="B918" s="9"/>
      <c r="C918" s="9"/>
      <c r="D918" s="9"/>
      <c r="E918" s="11"/>
    </row>
    <row r="919" spans="1:5" ht="13.2" x14ac:dyDescent="0.25">
      <c r="A919" s="9"/>
      <c r="B919" s="9"/>
      <c r="C919" s="9"/>
      <c r="D919" s="9"/>
      <c r="E919" s="11"/>
    </row>
    <row r="920" spans="1:5" ht="13.2" x14ac:dyDescent="0.25">
      <c r="A920" s="9"/>
      <c r="B920" s="9"/>
      <c r="C920" s="9"/>
      <c r="D920" s="9"/>
      <c r="E920" s="11"/>
    </row>
    <row r="921" spans="1:5" ht="13.2" x14ac:dyDescent="0.25">
      <c r="A921" s="9"/>
      <c r="B921" s="9"/>
      <c r="C921" s="9"/>
      <c r="D921" s="9"/>
      <c r="E921" s="11"/>
    </row>
    <row r="922" spans="1:5" ht="13.2" x14ac:dyDescent="0.25">
      <c r="A922" s="9"/>
      <c r="B922" s="9"/>
      <c r="C922" s="9"/>
      <c r="D922" s="9"/>
      <c r="E922" s="11"/>
    </row>
    <row r="923" spans="1:5" ht="13.2" x14ac:dyDescent="0.25">
      <c r="A923" s="9"/>
      <c r="B923" s="9"/>
      <c r="C923" s="9"/>
      <c r="D923" s="9"/>
      <c r="E923" s="11"/>
    </row>
    <row r="924" spans="1:5" ht="13.2" x14ac:dyDescent="0.25">
      <c r="A924" s="9"/>
      <c r="B924" s="9"/>
      <c r="C924" s="9"/>
      <c r="D924" s="9"/>
      <c r="E924" s="11"/>
    </row>
    <row r="925" spans="1:5" ht="13.2" x14ac:dyDescent="0.25">
      <c r="A925" s="9"/>
      <c r="B925" s="9"/>
      <c r="C925" s="9"/>
      <c r="D925" s="9"/>
      <c r="E925" s="11"/>
    </row>
    <row r="926" spans="1:5" ht="13.2" x14ac:dyDescent="0.25">
      <c r="A926" s="9"/>
      <c r="B926" s="9"/>
      <c r="C926" s="9"/>
      <c r="D926" s="9"/>
      <c r="E926" s="11"/>
    </row>
    <row r="927" spans="1:5" ht="13.2" x14ac:dyDescent="0.25">
      <c r="A927" s="9"/>
      <c r="B927" s="9"/>
      <c r="C927" s="9"/>
      <c r="D927" s="9"/>
      <c r="E927" s="11"/>
    </row>
    <row r="928" spans="1:5" ht="13.2" x14ac:dyDescent="0.25">
      <c r="A928" s="9"/>
      <c r="B928" s="9"/>
      <c r="C928" s="9"/>
      <c r="D928" s="9"/>
      <c r="E928" s="11"/>
    </row>
    <row r="929" spans="1:5" ht="13.2" x14ac:dyDescent="0.25">
      <c r="A929" s="9"/>
      <c r="B929" s="9"/>
      <c r="C929" s="9"/>
      <c r="D929" s="9"/>
      <c r="E929" s="11"/>
    </row>
    <row r="930" spans="1:5" ht="13.2" x14ac:dyDescent="0.25">
      <c r="A930" s="9"/>
      <c r="B930" s="9"/>
      <c r="C930" s="9"/>
      <c r="D930" s="9"/>
      <c r="E930" s="11"/>
    </row>
    <row r="931" spans="1:5" ht="13.2" x14ac:dyDescent="0.25">
      <c r="A931" s="9"/>
      <c r="B931" s="9"/>
      <c r="C931" s="9"/>
      <c r="D931" s="9"/>
      <c r="E931" s="11"/>
    </row>
    <row r="932" spans="1:5" ht="13.2" x14ac:dyDescent="0.25">
      <c r="A932" s="9"/>
      <c r="B932" s="9"/>
      <c r="C932" s="9"/>
      <c r="D932" s="9"/>
      <c r="E932" s="11"/>
    </row>
    <row r="933" spans="1:5" ht="13.2" x14ac:dyDescent="0.25">
      <c r="A933" s="9"/>
      <c r="B933" s="9"/>
      <c r="C933" s="9"/>
      <c r="D933" s="9"/>
      <c r="E933" s="11"/>
    </row>
    <row r="934" spans="1:5" ht="13.2" x14ac:dyDescent="0.25">
      <c r="A934" s="9"/>
      <c r="B934" s="9"/>
      <c r="C934" s="9"/>
      <c r="D934" s="9"/>
      <c r="E934" s="11"/>
    </row>
    <row r="935" spans="1:5" ht="13.2" x14ac:dyDescent="0.25">
      <c r="A935" s="9"/>
      <c r="B935" s="9"/>
      <c r="C935" s="9"/>
      <c r="D935" s="9"/>
      <c r="E935" s="11"/>
    </row>
    <row r="936" spans="1:5" ht="13.2" x14ac:dyDescent="0.25">
      <c r="A936" s="9"/>
      <c r="B936" s="9"/>
      <c r="C936" s="9"/>
      <c r="D936" s="9"/>
      <c r="E936" s="11"/>
    </row>
    <row r="937" spans="1:5" ht="13.2" x14ac:dyDescent="0.25">
      <c r="A937" s="9"/>
      <c r="B937" s="9"/>
      <c r="C937" s="9"/>
      <c r="D937" s="9"/>
      <c r="E937" s="11"/>
    </row>
    <row r="938" spans="1:5" ht="13.2" x14ac:dyDescent="0.25">
      <c r="A938" s="9"/>
      <c r="B938" s="9"/>
      <c r="C938" s="9"/>
      <c r="D938" s="9"/>
      <c r="E938" s="11"/>
    </row>
    <row r="939" spans="1:5" ht="13.2" x14ac:dyDescent="0.25">
      <c r="A939" s="9"/>
      <c r="B939" s="9"/>
      <c r="C939" s="9"/>
      <c r="D939" s="9"/>
      <c r="E939" s="11"/>
    </row>
    <row r="940" spans="1:5" ht="13.2" x14ac:dyDescent="0.25">
      <c r="A940" s="9"/>
      <c r="B940" s="9"/>
      <c r="C940" s="9"/>
      <c r="D940" s="9"/>
      <c r="E940" s="11"/>
    </row>
    <row r="941" spans="1:5" ht="13.2" x14ac:dyDescent="0.25">
      <c r="A941" s="9"/>
      <c r="B941" s="9"/>
      <c r="C941" s="9"/>
      <c r="D941" s="9"/>
      <c r="E941" s="11"/>
    </row>
    <row r="942" spans="1:5" ht="13.2" x14ac:dyDescent="0.25">
      <c r="A942" s="9"/>
      <c r="B942" s="9"/>
      <c r="C942" s="9"/>
      <c r="D942" s="9"/>
      <c r="E942" s="11"/>
    </row>
    <row r="943" spans="1:5" ht="13.2" x14ac:dyDescent="0.25">
      <c r="A943" s="9"/>
      <c r="B943" s="9"/>
      <c r="C943" s="9"/>
      <c r="D943" s="9"/>
      <c r="E943" s="11"/>
    </row>
    <row r="944" spans="1:5" ht="13.2" x14ac:dyDescent="0.25">
      <c r="A944" s="9"/>
      <c r="B944" s="9"/>
      <c r="C944" s="9"/>
      <c r="D944" s="9"/>
      <c r="E944" s="11"/>
    </row>
    <row r="945" spans="1:5" ht="13.2" x14ac:dyDescent="0.25">
      <c r="A945" s="9"/>
      <c r="B945" s="9"/>
      <c r="C945" s="9"/>
      <c r="D945" s="9"/>
      <c r="E945" s="11"/>
    </row>
    <row r="946" spans="1:5" ht="13.2" x14ac:dyDescent="0.25">
      <c r="A946" s="9"/>
      <c r="B946" s="9"/>
      <c r="C946" s="9"/>
      <c r="D946" s="9"/>
      <c r="E946" s="11"/>
    </row>
    <row r="947" spans="1:5" ht="13.2" x14ac:dyDescent="0.25">
      <c r="A947" s="9"/>
      <c r="B947" s="9"/>
      <c r="C947" s="9"/>
      <c r="D947" s="9"/>
      <c r="E947" s="11"/>
    </row>
    <row r="948" spans="1:5" ht="13.2" x14ac:dyDescent="0.25">
      <c r="A948" s="9"/>
      <c r="B948" s="9"/>
      <c r="C948" s="9"/>
      <c r="D948" s="9"/>
      <c r="E948" s="11"/>
    </row>
    <row r="949" spans="1:5" ht="13.2" x14ac:dyDescent="0.25">
      <c r="A949" s="9"/>
      <c r="B949" s="9"/>
      <c r="C949" s="9"/>
      <c r="D949" s="9"/>
      <c r="E949" s="11"/>
    </row>
    <row r="950" spans="1:5" ht="13.2" x14ac:dyDescent="0.25">
      <c r="A950" s="9"/>
      <c r="B950" s="9"/>
      <c r="C950" s="9"/>
      <c r="D950" s="9"/>
      <c r="E950" s="11"/>
    </row>
    <row r="951" spans="1:5" ht="13.2" x14ac:dyDescent="0.25">
      <c r="A951" s="9"/>
      <c r="B951" s="9"/>
      <c r="C951" s="9"/>
      <c r="D951" s="9"/>
      <c r="E951" s="11"/>
    </row>
    <row r="952" spans="1:5" ht="13.2" x14ac:dyDescent="0.25">
      <c r="A952" s="9"/>
      <c r="B952" s="9"/>
      <c r="C952" s="9"/>
      <c r="D952" s="9"/>
      <c r="E952" s="11"/>
    </row>
    <row r="953" spans="1:5" ht="13.2" x14ac:dyDescent="0.25">
      <c r="A953" s="9"/>
      <c r="B953" s="9"/>
      <c r="C953" s="9"/>
      <c r="D953" s="9"/>
      <c r="E953" s="11"/>
    </row>
    <row r="954" spans="1:5" ht="13.2" x14ac:dyDescent="0.25">
      <c r="A954" s="9"/>
      <c r="B954" s="9"/>
      <c r="C954" s="9"/>
      <c r="D954" s="9"/>
      <c r="E954" s="11"/>
    </row>
    <row r="955" spans="1:5" ht="13.2" x14ac:dyDescent="0.25">
      <c r="A955" s="9"/>
      <c r="B955" s="9"/>
      <c r="C955" s="9"/>
      <c r="D955" s="9"/>
      <c r="E955" s="11"/>
    </row>
    <row r="956" spans="1:5" ht="13.2" x14ac:dyDescent="0.25">
      <c r="A956" s="9"/>
      <c r="B956" s="9"/>
      <c r="C956" s="9"/>
      <c r="D956" s="9"/>
      <c r="E956" s="11"/>
    </row>
    <row r="957" spans="1:5" ht="13.2" x14ac:dyDescent="0.25">
      <c r="A957" s="9"/>
      <c r="B957" s="9"/>
      <c r="C957" s="9"/>
      <c r="D957" s="9"/>
      <c r="E957" s="11"/>
    </row>
    <row r="958" spans="1:5" ht="13.2" x14ac:dyDescent="0.25">
      <c r="A958" s="9"/>
      <c r="B958" s="9"/>
      <c r="C958" s="9"/>
      <c r="D958" s="9"/>
      <c r="E958" s="11"/>
    </row>
    <row r="959" spans="1:5" ht="13.2" x14ac:dyDescent="0.25">
      <c r="A959" s="9"/>
      <c r="B959" s="9"/>
      <c r="C959" s="9"/>
      <c r="D959" s="9"/>
      <c r="E959" s="11"/>
    </row>
    <row r="960" spans="1:5" ht="13.2" x14ac:dyDescent="0.25">
      <c r="A960" s="9"/>
      <c r="B960" s="9"/>
      <c r="C960" s="9"/>
      <c r="D960" s="9"/>
      <c r="E960" s="11"/>
    </row>
    <row r="961" spans="1:5" ht="13.2" x14ac:dyDescent="0.25">
      <c r="A961" s="9"/>
      <c r="B961" s="9"/>
      <c r="C961" s="9"/>
      <c r="D961" s="9"/>
      <c r="E961" s="11"/>
    </row>
    <row r="962" spans="1:5" ht="13.2" x14ac:dyDescent="0.25">
      <c r="A962" s="9"/>
      <c r="B962" s="9"/>
      <c r="C962" s="9"/>
      <c r="D962" s="9"/>
      <c r="E962" s="11"/>
    </row>
    <row r="963" spans="1:5" ht="13.2" x14ac:dyDescent="0.25">
      <c r="A963" s="9"/>
      <c r="B963" s="9"/>
      <c r="C963" s="9"/>
      <c r="D963" s="9"/>
      <c r="E963" s="11"/>
    </row>
    <row r="964" spans="1:5" ht="13.2" x14ac:dyDescent="0.25">
      <c r="A964" s="9"/>
      <c r="B964" s="9"/>
      <c r="C964" s="9"/>
      <c r="D964" s="9"/>
      <c r="E964" s="11"/>
    </row>
    <row r="965" spans="1:5" ht="13.2" x14ac:dyDescent="0.25">
      <c r="A965" s="9"/>
      <c r="B965" s="9"/>
      <c r="C965" s="9"/>
      <c r="D965" s="9"/>
      <c r="E965" s="11"/>
    </row>
    <row r="966" spans="1:5" ht="13.2" x14ac:dyDescent="0.25">
      <c r="A966" s="9"/>
      <c r="B966" s="9"/>
      <c r="C966" s="9"/>
      <c r="D966" s="9"/>
      <c r="E966" s="11"/>
    </row>
    <row r="967" spans="1:5" ht="13.2" x14ac:dyDescent="0.25">
      <c r="A967" s="9"/>
      <c r="B967" s="9"/>
      <c r="C967" s="9"/>
      <c r="D967" s="9"/>
      <c r="E967" s="11"/>
    </row>
    <row r="968" spans="1:5" ht="13.2" x14ac:dyDescent="0.25">
      <c r="A968" s="9"/>
      <c r="B968" s="9"/>
      <c r="C968" s="9"/>
      <c r="D968" s="9"/>
      <c r="E968" s="11"/>
    </row>
    <row r="969" spans="1:5" ht="13.2" x14ac:dyDescent="0.25">
      <c r="A969" s="9"/>
      <c r="B969" s="9"/>
      <c r="C969" s="9"/>
      <c r="D969" s="9"/>
      <c r="E969" s="11"/>
    </row>
    <row r="970" spans="1:5" ht="13.2" x14ac:dyDescent="0.25">
      <c r="A970" s="9"/>
      <c r="B970" s="9"/>
      <c r="C970" s="9"/>
      <c r="D970" s="9"/>
      <c r="E970" s="11"/>
    </row>
    <row r="971" spans="1:5" ht="13.2" x14ac:dyDescent="0.25">
      <c r="A971" s="9"/>
      <c r="B971" s="9"/>
      <c r="C971" s="9"/>
      <c r="D971" s="9"/>
      <c r="E971" s="11"/>
    </row>
    <row r="972" spans="1:5" ht="13.2" x14ac:dyDescent="0.25">
      <c r="A972" s="9"/>
      <c r="B972" s="9"/>
      <c r="C972" s="9"/>
      <c r="D972" s="9"/>
      <c r="E972" s="11"/>
    </row>
    <row r="973" spans="1:5" ht="13.2" x14ac:dyDescent="0.25">
      <c r="A973" s="9"/>
      <c r="B973" s="9"/>
      <c r="C973" s="9"/>
      <c r="D973" s="9"/>
      <c r="E973" s="11"/>
    </row>
    <row r="974" spans="1:5" ht="13.2" x14ac:dyDescent="0.25">
      <c r="A974" s="9"/>
      <c r="B974" s="9"/>
      <c r="C974" s="9"/>
      <c r="D974" s="9"/>
      <c r="E974" s="11"/>
    </row>
    <row r="975" spans="1:5" ht="13.2" x14ac:dyDescent="0.25">
      <c r="A975" s="9"/>
      <c r="B975" s="9"/>
      <c r="C975" s="9"/>
      <c r="D975" s="9"/>
      <c r="E975" s="11"/>
    </row>
    <row r="976" spans="1:5" ht="13.2" x14ac:dyDescent="0.25">
      <c r="A976" s="9"/>
      <c r="B976" s="9"/>
      <c r="C976" s="9"/>
      <c r="D976" s="9"/>
      <c r="E976" s="11"/>
    </row>
    <row r="977" spans="1:5" ht="13.2" x14ac:dyDescent="0.25">
      <c r="A977" s="9"/>
      <c r="B977" s="9"/>
      <c r="C977" s="9"/>
      <c r="D977" s="9"/>
      <c r="E977" s="11"/>
    </row>
    <row r="978" spans="1:5" ht="13.2" x14ac:dyDescent="0.25">
      <c r="A978" s="9"/>
      <c r="B978" s="9"/>
      <c r="C978" s="9"/>
      <c r="D978" s="9"/>
      <c r="E978" s="11"/>
    </row>
    <row r="979" spans="1:5" ht="13.2" x14ac:dyDescent="0.25">
      <c r="A979" s="9"/>
      <c r="B979" s="9"/>
      <c r="C979" s="9"/>
      <c r="D979" s="9"/>
      <c r="E979" s="11"/>
    </row>
    <row r="980" spans="1:5" ht="13.2" x14ac:dyDescent="0.25">
      <c r="A980" s="9"/>
      <c r="B980" s="9"/>
      <c r="C980" s="9"/>
      <c r="D980" s="9"/>
      <c r="E980" s="11"/>
    </row>
    <row r="981" spans="1:5" ht="13.2" x14ac:dyDescent="0.25">
      <c r="A981" s="9"/>
      <c r="B981" s="9"/>
      <c r="C981" s="9"/>
      <c r="D981" s="9"/>
      <c r="E981" s="11"/>
    </row>
    <row r="982" spans="1:5" ht="13.2" x14ac:dyDescent="0.25">
      <c r="A982" s="9"/>
      <c r="B982" s="9"/>
      <c r="C982" s="9"/>
      <c r="D982" s="9"/>
      <c r="E982" s="11"/>
    </row>
    <row r="983" spans="1:5" ht="13.2" x14ac:dyDescent="0.25">
      <c r="A983" s="9"/>
      <c r="B983" s="9"/>
      <c r="C983" s="9"/>
      <c r="D983" s="9"/>
      <c r="E983" s="11"/>
    </row>
    <row r="984" spans="1:5" ht="13.2" x14ac:dyDescent="0.25">
      <c r="A984" s="9"/>
      <c r="B984" s="9"/>
      <c r="C984" s="9"/>
      <c r="D984" s="9"/>
      <c r="E984" s="11"/>
    </row>
    <row r="985" spans="1:5" ht="13.2" x14ac:dyDescent="0.25">
      <c r="A985" s="9"/>
      <c r="B985" s="9"/>
      <c r="C985" s="9"/>
      <c r="D985" s="9"/>
      <c r="E985" s="11"/>
    </row>
    <row r="986" spans="1:5" ht="13.2" x14ac:dyDescent="0.25">
      <c r="A986" s="9"/>
      <c r="B986" s="9"/>
      <c r="C986" s="9"/>
      <c r="D986" s="9"/>
      <c r="E986" s="11"/>
    </row>
    <row r="987" spans="1:5" ht="13.2" x14ac:dyDescent="0.25">
      <c r="A987" s="9"/>
      <c r="B987" s="9"/>
      <c r="C987" s="9"/>
      <c r="D987" s="9"/>
      <c r="E987" s="11"/>
    </row>
  </sheetData>
  <phoneticPr fontId="5" type="noConversion"/>
  <hyperlinks>
    <hyperlink ref="B2" r:id="rId1" display="https://www.bbc.com/culture/article/20211206-is-squid-game-the-dawn-of-a-tv-revolution"/>
    <hyperlink ref="B3" r:id="rId2" display="https://www.globaltimes.cn/page/202112/1240699.shtml"/>
    <hyperlink ref="B4" r:id="rId3" display="https://www.nytimes.com/2021/11/11/learning/lesson-plans/lesson-of-the-day-from-bts-to-squid-game-how-south-korea-became-a-cultural-juggernaut.html"/>
    <hyperlink ref="B5" r:id="rId4" display="https://www.hollywoodreporter.com/business/business-news/virus-deja-vu-omicron-has-hollywood-in-wait-and-see-mode-1235055261/"/>
    <hyperlink ref="B6" r:id="rId5" display="https://fortune.com/2021/11/23/south-korea-culture-success-bts-kpop-netflix-kdrama-squid-game-ramon-pacheco-pardo/"/>
    <hyperlink ref="B7" r:id="rId6" display="https://www.bloomberg.com/news/articles/2021-11-15/family-s-4-billion-bet-fuels-race-for-korea-s-next-squid-game"/>
    <hyperlink ref="B8" r:id="rId7" display="https://themaneater.com/as-our-planet-reaches-its-boiling-point-hollywood-needs-to-step-up/"/>
    <hyperlink ref="B9" r:id="rId8" display="https://fordhamobserver.com/63495/arts-and-culture/the-new-hollywood-south-korean-cinema-is-refreshingly-original-and-genre-bending/"/>
    <hyperlink ref="B10" r:id="rId9" display="https://variety.com/2021/film/asia/eternals-opening-at-korea-box-office-1235107117/"/>
    <hyperlink ref="B11" r:id="rId10" display="https://kulturehub.com/south-korean-film-industry-new-wave/"/>
    <hyperlink ref="B12" r:id="rId11" display="https://www.nytimes.com/2021/11/19/business/media/endeavor-cj-enm.html"/>
    <hyperlink ref="B13" r:id="rId12" display="https://www.heraldchronicle.com/news/business/hollywood-innovations-group-new-lawsuit-accuses-netflix-of-weaponizing-latest-technology-to-steal-blockbuster-screenplay/article_c3071b80-55e2-59da-bb03-61007831a7c1.html"/>
    <hyperlink ref="B14" r:id="rId13" display="https://www.cityspidey.com/news/14382/impact-of-parasite-on-the-south-korean-film-industry"/>
    <hyperlink ref="B15" r:id="rId14" display="https://www.arabnews.com/node/1979801"/>
    <hyperlink ref="B16" r:id="rId15" display="https://en.prothomalo.com/entertainment/korean-film-tourism-festival-in-dhaka-to-showcase-korean-culture"/>
    <hyperlink ref="B17" r:id="rId16" display="https://english.kyodonews.net/news/2020/12/bf539bd7715f-pandemic-creates-tough-times-for-s-korea-movie-industry.html"/>
    <hyperlink ref="B18" r:id="rId17" display="https://www.screendaily.com/features/korean-cinema-professionals-assess-complex-pandemic-year/5158405.article"/>
    <hyperlink ref="B19" r:id="rId18" display="https://en.yna.co.kr/view/AEN20210217009700315"/>
    <hyperlink ref="B20" r:id="rId19" display="https://www.screendaily.com/news/bifan-forum-debates-post-covid-future-for-korean-film-industry/5161727.article"/>
    <hyperlink ref="B21" r:id="rId20" display="http://www.koreaherald.com/view.php?ud=20211110000180"/>
    <hyperlink ref="B22" r:id="rId21" display="https://www.hollywoodinsider.com/south-korean-cinema-movies-history-parasite/"/>
    <hyperlink ref="B23" r:id="rId22" display="https://www.newsweek.com/must-see-korean-films-guide-1619956"/>
    <hyperlink ref="B24" r:id="rId23" display="http://www.koreaherald.com/view.php?ud=20210627000139"/>
    <hyperlink ref="B25" r:id="rId24" display="https://www.amny.com/entertainment/more-minority-faces-in-film-tv-music-as-audiences-demand-diversity/"/>
    <hyperlink ref="B26" r:id="rId25" display="https://www.donga.com/en/article/all/20211028/3012490/1"/>
    <hyperlink ref="B27" r:id="rId26" display="https://variety.com/2021/film/spotlight/south-korea-1235017313/"/>
    <hyperlink ref="B28" r:id="rId27" display="https://www.hollywoodinsider.com/south-korean-cinema/"/>
    <hyperlink ref="B29" r:id="rId28" display="https://www.screendaily.com/news/kofic-launches-2021-fund-to-support-koreas-film-industry-through-covid-crisis/5158884.article"/>
    <hyperlink ref="B30" r:id="rId29" display="http://www.koreaherald.com/view.php?ud=20210407000781"/>
    <hyperlink ref="B31" r:id="rId30" display="https://www.hollywoodreporter.com/business/business-news/south-korea-unveils-coronavirus-support-film-industry-1288148/"/>
    <hyperlink ref="B32" r:id="rId31" display="https://www.hollywoodinsider.com/the-seoul-cinema-closing/"/>
    <hyperlink ref="B33" r:id="rId32" display="https://www.prnewswire.com/news-releases/korean-cultural-center-new-york-and-the-korean-film-council-announces-the-actor-is-present-exhibition-highlighting-200-representative-korean-actors-of-today-301359844.html"/>
    <hyperlink ref="B34" r:id="rId33" display="https://en.yna.co.kr/view/AEN20210716005400315"/>
    <hyperlink ref="B35" r:id="rId34" display="https://variety.com/2020/film/asia/korean-film-industry-struggling-new-normal-social-distancing-1234643759/"/>
    <hyperlink ref="B36" r:id="rId35" display="https://www.iowastatedaily.com/limelight/south-korean-cinmea-history-rise-bong-joon-ho-parasite/article_41a33cee-58dd-11ea-bc6f-6f24315bee03.html"/>
    <hyperlink ref="B37" r:id="rId36" display="http://m.koreaherald.com/view.php?ud=20210819000672"/>
    <hyperlink ref="B38" r:id="rId37" display="https://en.yna.co.kr/view/AEN20210423003700315"/>
    <hyperlink ref="B39" r:id="rId38" display="https://www.townandcountrymag.com/leisure/arts-and-culture/g35003897/best-korean-movies/"/>
    <hyperlink ref="B40" r:id="rId39" display="http://koreabizwire.com/revenue-of-s-korean-film-industry-forecast-to-hit-record-low-in-2020/176904"/>
    <hyperlink ref="B41" r:id="rId40" display="https://www.tollywood.net/prabhas-to-not-romance-south-korean-actress-song-hye-kyo-in-spirit/"/>
    <hyperlink ref="B42" r:id="rId41" display="http://www.koreaherald.com/view.php?ud=20211101000342"/>
    <hyperlink ref="B43" r:id="rId42" display="http://www.koreaherald.com/view.php?ud=20211024000206"/>
    <hyperlink ref="B44" r:id="rId43" display="http://www.koreaherald.com/view.php?ud=20210707000930"/>
    <hyperlink ref="B45" r:id="rId44" display="https://www.top10films.co.uk/67468-top-10-south-korean-films-of-the-21st-century/"/>
    <hyperlink ref="B46" r:id="rId45" display="http://www.koreaherald.com/view.php?ud=20210323001048"/>
    <hyperlink ref="B47" r:id="rId46" display="https://www.voanews.com/a/covid-19-pandemic_south-korean-box-office-sales-slump-during-coronavirus-pandemic/6191112.html"/>
    <hyperlink ref="B48" r:id="rId47" display="http://www.koreaherald.com/view.php?ud=20200812000909"/>
    <hyperlink ref="B49" r:id="rId48" display="https://i-d.vice.com/en_uk/article/akdg4p/london-korean-film-festival-new-wave-of-female-directors-tackling-sexual-violence"/>
    <hyperlink ref="B50" r:id="rId49" display="https://impactnottingham.com/2021/10/the-rise-of-k-drama-a-competitor-for-hollywood/"/>
    <hyperlink ref="B51" r:id="rId50" display="https://theconversation.com/an-oscar-for-parasite-the-global-rise-of-south-korean-film-128595"/>
    <hyperlink ref="B52" r:id="rId51" display="https://www.hollywoodreporter.com/movies/movie-features/busan-international-film-festival-post-covid-market-1235011544/"/>
    <hyperlink ref="B53" r:id="rId52" display="https://collider.com/best-korean-movies-on-netflix/"/>
    <hyperlink ref="B54" r:id="rId53" display="https://www.screendaily.com/features/how-south-koreas-box-office-is-coming-back-from-the-dead/5151252.article"/>
    <hyperlink ref="B55" r:id="rId54" display="https://www.elle.com/culture/movies-tv/a37293494/korean-drama-renaissance-explained/"/>
    <hyperlink ref="B56" r:id="rId55" display="https://variety.com/2018/biz/news/train-to-busan-kofic-1202801537-1202801537/"/>
    <hyperlink ref="B57" r:id="rId56" display="https://www.forbes.com/sites/williampesek/2021/10/22/south-koreas-squid-game-economy-could-end-badly/"/>
    <hyperlink ref="B58" r:id="rId57" display="https://theconversation.com/in-music-and-film-a-new-korean-wave-is-challenging-asian-stereotypes-158757"/>
    <hyperlink ref="B59" r:id="rId58" display="https://www.hollywoodreporter.com/movies/movie-news/busan-film-festival-2021-open-bong-joon-ho-parasite-star-1235027080/"/>
  </hyperlinks>
  <pageMargins left="0.7" right="0.7" top="0.75" bottom="0.75" header="0.3" footer="0.3"/>
  <pageSetup paperSize="9" orientation="portrait"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India</vt:lpstr>
      <vt:lpstr>South Korea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hwkang@assist.ac.kr</cp:lastModifiedBy>
  <dcterms:modified xsi:type="dcterms:W3CDTF">2022-01-04T08:33:35Z</dcterms:modified>
</cp:coreProperties>
</file>