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7"/>
  <workbookPr codeName="ThisWorkbook" defaultThemeVersion="124226"/>
  <mc:AlternateContent xmlns:mc="http://schemas.openxmlformats.org/markup-compatibility/2006">
    <mc:Choice Requires="x15">
      <x15ac:absPath xmlns:x15ac="http://schemas.microsoft.com/office/spreadsheetml/2010/11/ac" url="C:\Users\a0234224\Documents\CSPS\LDC_Tool_Spreadsheet_calculators\"/>
    </mc:Choice>
  </mc:AlternateContent>
  <xr:revisionPtr revIDLastSave="0" documentId="8_{84AFA204-8223-49FD-816A-ABD1907F0211}" xr6:coauthVersionLast="36" xr6:coauthVersionMax="36" xr10:uidLastSave="{00000000-0000-0000-0000-000000000000}"/>
  <workbookProtection workbookAlgorithmName="SHA-512" workbookHashValue="7qZTQzaVtu5I+i6P62G9ULbxVATh3B394mq2No6DSuhQyUnnFfcUgc5/BfGihJvPtMSZMokxPPWtnBoXgDxbIA==" workbookSaltValue="r5fDL7f4LhKjbKLVwTercg==" workbookSpinCount="100000" lockStructure="1"/>
  <bookViews>
    <workbookView xWindow="0" yWindow="0" windowWidth="2040" windowHeight="2055" tabRatio="932" firstSheet="2" activeTab="2"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workbook>
</file>

<file path=xl/calcChain.xml><?xml version="1.0" encoding="utf-8"?>
<calcChain xmlns="http://schemas.openxmlformats.org/spreadsheetml/2006/main">
  <c r="D218" i="27" l="1"/>
  <c r="D223" i="27" l="1"/>
  <c r="D222" i="27"/>
  <c r="D221" i="27"/>
  <c r="D220" i="27"/>
  <c r="D219" i="27"/>
  <c r="N16" i="41"/>
  <c r="D18" i="14" l="1"/>
  <c r="C88" i="4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8" i="39"/>
  <c r="C157" i="39"/>
  <c r="D157" i="39" s="1"/>
  <c r="C150" i="39"/>
  <c r="D148" i="39"/>
  <c r="D147" i="39"/>
  <c r="D146" i="39"/>
  <c r="D145" i="39"/>
  <c r="C145" i="39"/>
  <c r="C146" i="39" s="1"/>
  <c r="C147" i="39" s="1"/>
  <c r="C148" i="39" s="1"/>
  <c r="C149" i="39" s="1"/>
  <c r="D149" i="39" s="1"/>
  <c r="D144" i="39"/>
  <c r="N144" i="39" s="1"/>
  <c r="M143" i="39"/>
  <c r="D143" i="39"/>
  <c r="D142" i="39"/>
  <c r="U141" i="39"/>
  <c r="N143" i="39" s="1"/>
  <c r="N141" i="39"/>
  <c r="C141" i="39"/>
  <c r="D141" i="39" s="1"/>
  <c r="C137" i="39"/>
  <c r="U91" i="39"/>
  <c r="C90" i="39"/>
  <c r="C91" i="39" s="1"/>
  <c r="D89" i="39"/>
  <c r="N89" i="39" s="1"/>
  <c r="C89" i="39"/>
  <c r="D88" i="39"/>
  <c r="M88" i="39" s="1"/>
  <c r="D87" i="39"/>
  <c r="N87" i="39" s="1"/>
  <c r="D86" i="39"/>
  <c r="N86" i="39" s="1"/>
  <c r="U85" i="39"/>
  <c r="C85" i="39"/>
  <c r="D85" i="39" s="1"/>
  <c r="C77" i="39"/>
  <c r="F27" i="39"/>
  <c r="C31" i="39" s="1"/>
  <c r="D27" i="39"/>
  <c r="C30" i="39" s="1"/>
  <c r="C17" i="39"/>
  <c r="D14" i="39"/>
  <c r="C14" i="39"/>
  <c r="D13" i="39"/>
  <c r="C13" i="39"/>
  <c r="D12" i="39"/>
  <c r="C12" i="39"/>
  <c r="D11" i="39"/>
  <c r="C11" i="39"/>
  <c r="M157" i="39" l="1"/>
  <c r="N157" i="39"/>
  <c r="E157" i="39"/>
  <c r="J157" i="39" s="1"/>
  <c r="N88" i="39"/>
  <c r="G88" i="39"/>
  <c r="K88" i="39" s="1"/>
  <c r="Q88" i="39" s="1"/>
  <c r="N146" i="39"/>
  <c r="D90" i="39"/>
  <c r="E90" i="39" s="1"/>
  <c r="J90" i="39" s="1"/>
  <c r="E87" i="39"/>
  <c r="J87" i="39" s="1"/>
  <c r="P87" i="39" s="1"/>
  <c r="M87" i="39"/>
  <c r="D37" i="41"/>
  <c r="D53" i="41" s="1"/>
  <c r="M227" i="41"/>
  <c r="J42" i="34"/>
  <c r="J41" i="34"/>
  <c r="H42" i="34"/>
  <c r="F41" i="34"/>
  <c r="F42" i="34"/>
  <c r="J40" i="34"/>
  <c r="F40" i="34"/>
  <c r="H40" i="34"/>
  <c r="C18" i="39"/>
  <c r="E149" i="39" s="1"/>
  <c r="J149" i="39" s="1"/>
  <c r="P149" i="39" s="1"/>
  <c r="N85" i="39"/>
  <c r="G85" i="39"/>
  <c r="K85" i="39" s="1"/>
  <c r="Q85" i="39" s="1"/>
  <c r="M85" i="39"/>
  <c r="E85" i="39"/>
  <c r="J85" i="39" s="1"/>
  <c r="P85" i="39" s="1"/>
  <c r="C92" i="39"/>
  <c r="D91" i="39"/>
  <c r="M149" i="39"/>
  <c r="N149" i="39"/>
  <c r="C22" i="39"/>
  <c r="C49" i="39" s="1"/>
  <c r="M142" i="39"/>
  <c r="M145" i="39"/>
  <c r="M147" i="39"/>
  <c r="C151" i="39"/>
  <c r="D150" i="39"/>
  <c r="P157" i="39"/>
  <c r="U157" i="39"/>
  <c r="D17" i="39"/>
  <c r="E86" i="39"/>
  <c r="J86" i="39" s="1"/>
  <c r="M86" i="39"/>
  <c r="E89" i="39"/>
  <c r="J89" i="39" s="1"/>
  <c r="P89" i="39" s="1"/>
  <c r="M89" i="39"/>
  <c r="M141" i="39"/>
  <c r="M144" i="39"/>
  <c r="D158" i="39"/>
  <c r="C159" i="39"/>
  <c r="G86" i="39"/>
  <c r="K86" i="39" s="1"/>
  <c r="Q86" i="39" s="1"/>
  <c r="G89" i="39"/>
  <c r="K89" i="39" s="1"/>
  <c r="Q89" i="39" s="1"/>
  <c r="M146" i="39"/>
  <c r="E146" i="39"/>
  <c r="J146" i="39" s="1"/>
  <c r="P146" i="39" s="1"/>
  <c r="M148" i="39"/>
  <c r="N148" i="39"/>
  <c r="D18" i="39"/>
  <c r="G144" i="39" s="1"/>
  <c r="K144" i="39" s="1"/>
  <c r="Q144" i="39" s="1"/>
  <c r="G87" i="39"/>
  <c r="K87" i="39" s="1"/>
  <c r="Q87" i="39" s="1"/>
  <c r="E88" i="39"/>
  <c r="J88" i="39" s="1"/>
  <c r="P88" i="39" s="1"/>
  <c r="N142" i="39"/>
  <c r="N145" i="39"/>
  <c r="N147" i="39"/>
  <c r="G157" i="39"/>
  <c r="K157" i="39" s="1"/>
  <c r="E147" i="39" l="1"/>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C53" i="39" s="1"/>
  <c r="C57" i="39" s="1"/>
  <c r="V157" i="39"/>
  <c r="W157" i="39" s="1"/>
  <c r="X157" i="39" s="1"/>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Q90" i="39" l="1"/>
  <c r="Q150" i="39"/>
  <c r="P150" i="39"/>
  <c r="C56" i="39"/>
  <c r="C60" i="39" s="1"/>
  <c r="C62" i="39" s="1"/>
  <c r="M229" i="41"/>
  <c r="M151" i="39"/>
  <c r="E151" i="39"/>
  <c r="J151" i="39" s="1"/>
  <c r="G151" i="39"/>
  <c r="K151" i="39" s="1"/>
  <c r="N151" i="39"/>
  <c r="Q158" i="39"/>
  <c r="V158" i="39"/>
  <c r="S158" i="39"/>
  <c r="C94" i="39"/>
  <c r="D93" i="39"/>
  <c r="M152" i="39"/>
  <c r="E152" i="39"/>
  <c r="J152" i="39" s="1"/>
  <c r="P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Q151" i="39" l="1"/>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21" i="27"/>
  <c r="D124" i="27"/>
  <c r="D104" i="27"/>
  <c r="D112" i="27"/>
  <c r="D105" i="27"/>
  <c r="D113" i="27"/>
  <c r="D100" i="27"/>
  <c r="D108" i="27"/>
  <c r="D101" i="27"/>
  <c r="D109" i="27"/>
  <c r="D117" i="27"/>
  <c r="D75" i="27"/>
  <c r="D182" i="27"/>
  <c r="D102" i="27"/>
  <c r="D106" i="27"/>
  <c r="D110" i="27"/>
  <c r="D114" i="27"/>
  <c r="D118" i="27"/>
  <c r="D122" i="27"/>
  <c r="D126" i="27"/>
  <c r="D163" i="27"/>
  <c r="D99" i="27"/>
  <c r="D103" i="27"/>
  <c r="D107" i="27"/>
  <c r="D111" i="27"/>
  <c r="D115" i="27"/>
  <c r="D119" i="27"/>
  <c r="D123" i="27"/>
  <c r="D190" i="27" l="1"/>
  <c r="D83" i="27"/>
  <c r="D129" i="27" s="1"/>
  <c r="D184" i="27"/>
  <c r="D162" i="27"/>
  <c r="D147" i="27"/>
  <c r="D168" i="27"/>
  <c r="D177" i="27"/>
  <c r="D133" i="27"/>
  <c r="D161" i="27"/>
  <c r="D179" i="27"/>
  <c r="D150" i="27"/>
  <c r="D157" i="27"/>
  <c r="D180" i="27"/>
  <c r="D164" i="27"/>
  <c r="D148" i="27"/>
  <c r="D132" i="27"/>
  <c r="D175" i="27"/>
  <c r="D159" i="27"/>
  <c r="D143" i="27"/>
  <c r="D174" i="27"/>
  <c r="D142" i="27"/>
  <c r="D165" i="27"/>
  <c r="D188" i="27"/>
  <c r="D149" i="27"/>
  <c r="D153" i="27"/>
  <c r="D189" i="27"/>
  <c r="D176" i="27"/>
  <c r="D160" i="27"/>
  <c r="D144" i="27"/>
  <c r="D187" i="27"/>
  <c r="D171" i="27"/>
  <c r="D155" i="27"/>
  <c r="D139" i="27"/>
  <c r="D166" i="27"/>
  <c r="D134" i="27"/>
  <c r="D154" i="27"/>
  <c r="D181" i="27"/>
  <c r="D138" i="27"/>
  <c r="D185" i="27"/>
  <c r="D141" i="27"/>
  <c r="D169" i="27"/>
  <c r="D172" i="27"/>
  <c r="D156" i="27"/>
  <c r="D140" i="27"/>
  <c r="D183" i="27"/>
  <c r="D167" i="27"/>
  <c r="D151" i="27"/>
  <c r="D135" i="27"/>
  <c r="D158" i="27"/>
  <c r="D186" i="27"/>
  <c r="D145" i="27"/>
  <c r="D170" i="27"/>
  <c r="D178" i="27"/>
  <c r="D173" i="27"/>
  <c r="D130" i="27"/>
  <c r="D146" i="27"/>
  <c r="D92" i="27"/>
  <c r="D128" i="27" l="1"/>
  <c r="D131" i="27"/>
  <c r="D152" i="27"/>
  <c r="D137" i="27"/>
  <c r="D136" i="27"/>
  <c r="D93" i="27"/>
  <c r="D95" i="27" l="1"/>
  <c r="D96" i="27" s="1"/>
  <c r="D22" i="37"/>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D61" i="37" s="1"/>
  <c r="D69" i="37" s="1"/>
  <c r="D90" i="37" s="1"/>
  <c r="D188" i="37" s="1"/>
  <c r="D304" i="37" s="1"/>
  <c r="AI88" i="26"/>
  <c r="Y88" i="26"/>
  <c r="AI89" i="26"/>
  <c r="Y89" i="26"/>
  <c r="L88" i="26"/>
  <c r="V88" i="26"/>
  <c r="AF88" i="26"/>
  <c r="AF89" i="26"/>
  <c r="V89" i="26"/>
  <c r="O88" i="26"/>
  <c r="F32" i="35"/>
  <c r="W89" i="26" l="1"/>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81" i="27" s="1"/>
  <c r="D128" i="31"/>
  <c r="E128" i="31"/>
  <c r="H128" i="31" s="1"/>
  <c r="C129" i="31"/>
  <c r="F130" i="31"/>
  <c r="G129" i="31"/>
  <c r="G128" i="31"/>
  <c r="E42" i="27" l="1"/>
  <c r="D65" i="27"/>
  <c r="D86" i="27" s="1"/>
  <c r="D80" i="27" s="1"/>
  <c r="E129" i="31"/>
  <c r="H129" i="31" s="1"/>
  <c r="C130" i="31"/>
  <c r="D129" i="31"/>
  <c r="F131" i="31"/>
  <c r="E117" i="26"/>
  <c r="E43" i="27" l="1"/>
  <c r="D66" i="27"/>
  <c r="D87" i="27" s="1"/>
  <c r="D79" i="27" s="1"/>
  <c r="D130" i="31"/>
  <c r="E130" i="31"/>
  <c r="H130" i="31" s="1"/>
  <c r="C131" i="31"/>
  <c r="F132" i="31"/>
  <c r="G130" i="31"/>
  <c r="E44" i="27" l="1"/>
  <c r="D67" i="27"/>
  <c r="D88" i="27" s="1"/>
  <c r="D78" i="27" s="1"/>
  <c r="F133" i="31"/>
  <c r="E131" i="31"/>
  <c r="H131" i="31" s="1"/>
  <c r="C132" i="31"/>
  <c r="G132" i="31" s="1"/>
  <c r="D131" i="31"/>
  <c r="G131" i="31"/>
  <c r="D53" i="27"/>
  <c r="D45" i="27"/>
  <c r="D44" i="27"/>
  <c r="E45" i="27" l="1"/>
  <c r="D69" i="27" s="1"/>
  <c r="D90" i="27" s="1"/>
  <c r="D68" i="27"/>
  <c r="D89" i="27" s="1"/>
  <c r="D77" i="27" s="1"/>
  <c r="D57" i="27"/>
  <c r="D209" i="27"/>
  <c r="D132" i="31"/>
  <c r="E132" i="31"/>
  <c r="H132" i="31" s="1"/>
  <c r="C133" i="31"/>
  <c r="G133" i="31" s="1"/>
  <c r="F134" i="31"/>
  <c r="D51" i="26"/>
  <c r="D49" i="26"/>
  <c r="D40" i="26"/>
  <c r="D59" i="27" l="1"/>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134" i="31" l="1"/>
  <c r="C135" i="31"/>
  <c r="E134" i="31"/>
  <c r="H134" i="31" s="1"/>
  <c r="F136" i="31"/>
  <c r="F125" i="26"/>
  <c r="F137" i="31" l="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F145" i="31"/>
  <c r="G144"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F149" i="31"/>
  <c r="G148"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s="1"/>
  <c r="C180" i="26" l="1"/>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E164" i="35"/>
  <c r="E165" i="35"/>
  <c r="D103" i="35"/>
  <c r="D174" i="35"/>
  <c r="D186" i="35"/>
  <c r="D72" i="35" l="1"/>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c r="D137" i="35" s="1"/>
  <c r="E154" i="35" l="1"/>
  <c r="E157" i="35"/>
  <c r="E156" i="35"/>
  <c r="E155" i="35"/>
  <c r="E153" i="35"/>
  <c r="E152" i="35"/>
  <c r="E171" i="35"/>
  <c r="E172" i="35"/>
  <c r="E150" i="35"/>
  <c r="D141" i="35"/>
  <c r="D182" i="35"/>
  <c r="D196" i="35" s="1"/>
  <c r="D197" i="35" s="1"/>
  <c r="D198" i="35" s="1"/>
  <c r="E151" i="35"/>
  <c r="D142" i="35"/>
  <c r="D144" i="35" s="1"/>
  <c r="D89" i="35"/>
  <c r="E169" i="35"/>
  <c r="E170" i="35"/>
  <c r="D210" i="35" l="1"/>
  <c r="D205" i="35"/>
  <c r="D145" i="35"/>
  <c r="F145" i="35"/>
  <c r="D90" i="35"/>
  <c r="F90" i="35" s="1"/>
  <c r="D200" i="35"/>
  <c r="D202" i="35" s="1"/>
  <c r="D209" i="35" l="1"/>
  <c r="D208" i="35"/>
  <c r="D212" i="35" s="1"/>
  <c r="D206" i="35"/>
  <c r="E183" i="35"/>
  <c r="D211"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<sst xmlns="http://schemas.openxmlformats.org/spreadsheetml/2006/main" count="2885" uniqueCount="1674">
  <si>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</si>
  <si>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</si>
  <si>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</si>
  <si>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</si>
  <si>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</si>
  <si>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</si>
  <si>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</si>
  <si>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</si>
  <si>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</si>
  <si>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</si>
  <si>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</si>
  <si>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</si>
  <si>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</si>
  <si>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</si>
  <si>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</si>
  <si>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</si>
  <si>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</si>
  <si>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</si>
  <si>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</si>
  <si>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</si>
  <si>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</si>
  <si>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</si>
  <si>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</si>
  <si>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</si>
  <si>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</si>
  <si>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</si>
  <si>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</si>
  <si>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</si>
  <si>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</si>
  <si>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</si>
  <si>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</si>
  <si>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</si>
  <si>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</si>
  <si>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</si>
  <si>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</si>
  <si>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</si>
  <si>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</si>
  <si>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</si>
  <si>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</si>
  <si>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</si>
  <si>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</si>
  <si>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</si>
  <si>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</si>
  <si>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</si>
  <si>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</si>
  <si>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</si>
  <si>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</si>
  <si>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</si>
  <si>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</si>
  <si>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</si>
  <si>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</si>
  <si>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</si>
  <si>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</si>
  <si>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</si>
  <si>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</si>
  <si>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</si>
  <si>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</si>
  <si>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</si>
  <si>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</si>
  <si>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</si>
  <si>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</si>
  <si>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</si>
  <si>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</si>
  <si>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</si>
  <si>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</si>
  <si>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</si>
  <si>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</si>
  <si>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</si>
  <si>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</si>
  <si>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</si>
  <si>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</si>
  <si>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</si>
  <si>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</si>
  <si>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</si>
  <si>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</si>
  <si>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</si>
  <si>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</si>
  <si>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</si>
  <si>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</si>
  <si>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</si>
  <si>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</si>
  <si>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</si>
  <si>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</si>
  <si>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</si>
  <si>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</si>
  <si>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</si>
  <si>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</si>
  <si>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</si>
  <si>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</si>
  <si>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</si>
  <si>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</si>
  <si>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</si>
  <si>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</si>
  <si>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</si>
  <si>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</si>
  <si>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</si>
  <si>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</si>
  <si>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</si>
  <si>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</si>
  <si>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</si>
  <si>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</si>
  <si>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</si>
  <si>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</si>
  <si>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</si>
  <si>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</si>
  <si>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</si>
  <si>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</si>
  <si>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</si>
  <si>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</si>
  <si>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</si>
  <si>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</si>
  <si>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</si>
  <si>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</si>
  <si>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</si>
  <si>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</si>
  <si>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</si>
  <si>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</si>
  <si>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</si>
  <si>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</si>
  <si>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</si>
  <si>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</si>
  <si>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</si>
  <si>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</si>
  <si>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</si>
  <si>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</si>
  <si>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</si>
  <si>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</si>
  <si>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</si>
  <si>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</si>
  <si>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</si>
  <si>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</si>
  <si>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</si>
  <si>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</si>
  <si>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</si>
  <si>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</si>
  <si>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</si>
  <si>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</si>
  <si>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</si>
  <si>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</si>
  <si>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</si>
  <si>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</si>
  <si>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</si>
  <si>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</si>
  <si>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</si>
  <si>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</si>
  <si>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</si>
  <si>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</si>
  <si>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</si>
  <si>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</si>
  <si>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</si>
  <si>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</si>
  <si>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</si>
  <si>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</si>
  <si>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</si>
  <si>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</si>
  <si>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</si>
  <si>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</si>
  <si>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</si>
  <si>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</si>
  <si>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</si>
  <si>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</si>
  <si>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</si>
  <si>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</si>
  <si>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</si>
  <si>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</si>
  <si>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</si>
  <si>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</si>
  <si>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</si>
  <si>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</si>
  <si>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</si>
  <si>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</si>
  <si>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</si>
  <si>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</si>
  <si>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</si>
  <si>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</si>
  <si>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</si>
  <si>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</si>
  <si>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</si>
  <si>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</si>
  <si>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</si>
  <si>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</si>
  <si>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</si>
  <si>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</si>
  <si>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</si>
  <si>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</si>
  <si>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</si>
  <si>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</si>
  <si>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</si>
  <si>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</si>
  <si>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</si>
  <si>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</si>
  <si>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</si>
  <si>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</si>
  <si>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</si>
  <si>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</si>
  <si>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</si>
  <si>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</si>
  <si>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</si>
  <si>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</si>
  <si>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</si>
  <si>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</si>
  <si>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</si>
  <si>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</si>
  <si>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</si>
  <si>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</si>
  <si>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</si>
  <si>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</si>
  <si>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</si>
  <si>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</si>
  <si>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</si>
  <si>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</si>
  <si>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</si>
  <si>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</si>
  <si>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</si>
  <si>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</si>
  <si>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</si>
  <si>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</si>
  <si>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</si>
  <si>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</si>
  <si>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</si>
  <si>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</si>
  <si>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</si>
  <si>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</si>
  <si>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</si>
  <si>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</si>
  <si>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</si>
  <si>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</si>
  <si>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</si>
  <si>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</si>
  <si>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</si>
  <si>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</si>
  <si>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</si>
  <si>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</si>
  <si>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</si>
  <si>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</si>
  <si>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</si>
  <si>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</si>
  <si>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</si>
  <si>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</si>
  <si>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</si>
  <si>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</si>
  <si>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</si>
  <si>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</si>
  <si>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</si>
  <si>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</si>
  <si>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</si>
  <si>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</si>
  <si>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</si>
  <si>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</si>
  <si>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</si>
  <si>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</si>
  <si>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</si>
  <si>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</si>
  <si>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</si>
  <si>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</si>
  <si>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</si>
  <si>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</si>
  <si>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</si>
  <si>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</si>
  <si>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</si>
  <si>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</si>
  <si>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</si>
  <si>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</si>
  <si>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</si>
  <si>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</si>
  <si>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</si>
  <si>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</si>
  <si>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</si>
  <si>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</si>
  <si>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</si>
  <si>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</si>
  <si>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</si>
  <si>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</si>
  <si>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</si>
  <si>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</si>
  <si>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</si>
  <si>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</si>
  <si>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</si>
  <si>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</si>
  <si>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</si>
  <si>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</si>
  <si>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</si>
  <si>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</si>
  <si>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</si>
  <si>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</si>
  <si>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</si>
  <si>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</si>
  <si>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</si>
  <si>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</si>
  <si>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</si>
  <si>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</si>
  <si>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</si>
  <si>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</si>
  <si>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</si>
  <si>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</si>
  <si>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</si>
  <si>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</si>
  <si>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</si>
  <si>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</si>
  <si>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</si>
  <si>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</si>
  <si>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</si>
  <si>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</si>
  <si>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</si>
  <si>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</si>
  <si>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</si>
  <si>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</si>
  <si>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</si>
  <si>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</si>
  <si>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</si>
  <si>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</si>
  <si>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</si>
  <si>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</si>
  <si>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</si>
  <si>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</si>
  <si>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</si>
  <si>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</si>
  <si>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</si>
  <si>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</si>
  <si>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</si>
  <si>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</si>
  <si>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</si>
  <si>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</si>
  <si>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</si>
  <si>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</si>
  <si>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</si>
  <si>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</si>
  <si>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</si>
  <si>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</si>
  <si>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</si>
  <si>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</si>
  <si>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</si>
  <si>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</si>
  <si>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</si>
  <si>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</si>
  <si>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</si>
  <si>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</si>
  <si>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</si>
  <si>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</si>
  <si>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</si>
  <si>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</si>
  <si>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</si>
  <si>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</si>
  <si>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</si>
  <si>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</si>
  <si>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</si>
  <si>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</si>
  <si>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</si>
  <si>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</si>
  <si>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</si>
  <si>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</si>
  <si>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</si>
  <si>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</si>
  <si>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</si>
  <si>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</si>
  <si>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</si>
  <si>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</si>
  <si>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</si>
  <si>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</si>
  <si>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</si>
  <si>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</si>
  <si>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</si>
  <si>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</si>
  <si>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</si>
  <si>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</si>
  <si>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</si>
  <si>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</si>
  <si>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</si>
  <si>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</si>
  <si>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</si>
  <si>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</si>
  <si>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</si>
  <si>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</si>
  <si>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</si>
  <si>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</si>
  <si>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</si>
  <si>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</si>
  <si>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</si>
  <si>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</si>
  <si>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</si>
  <si>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</si>
  <si>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</si>
  <si>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</si>
  <si>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</si>
  <si>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</si>
  <si>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</si>
  <si>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</si>
  <si>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</si>
  <si>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</si>
  <si>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</si>
  <si>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</si>
  <si>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</si>
  <si>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</si>
  <si>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</si>
  <si>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</si>
  <si>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</si>
  <si>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</si>
  <si>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</si>
  <si>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</si>
  <si>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</si>
  <si>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</si>
  <si>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</si>
  <si>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</si>
  <si>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</si>
  <si>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</si>
  <si>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</si>
  <si>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</si>
  <si>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</si>
  <si>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</si>
  <si>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</si>
  <si>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</si>
  <si>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</si>
  <si>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</si>
  <si>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</si>
  <si>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</si>
  <si>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</si>
  <si>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</si>
  <si>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</si>
  <si>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</si>
  <si>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</si>
  <si>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</si>
  <si>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</si>
  <si>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</si>
  <si>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</si>
  <si>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</si>
  <si>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</si>
  <si>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</si>
  <si>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</si>
  <si>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</si>
  <si>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</si>
  <si>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</si>
  <si>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</si>
  <si>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</si>
  <si>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</si>
  <si>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</si>
  <si>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</si>
  <si>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</si>
  <si>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</si>
  <si>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</si>
  <si>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</si>
  <si>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</si>
  <si>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</si>
  <si>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</si>
  <si>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</si>
  <si>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</si>
  <si>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</si>
  <si>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</si>
  <si>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</si>
  <si>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</si>
  <si>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</si>
  <si>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</si>
  <si>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</si>
  <si>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</si>
  <si>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</si>
  <si>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</si>
  <si>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</si>
  <si>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</si>
  <si>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</si>
  <si>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</si>
  <si>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</si>
  <si>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</si>
  <si>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</si>
  <si>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</si>
  <si>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</si>
  <si>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</si>
  <si>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</si>
  <si>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</si>
  <si>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</si>
  <si>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</si>
  <si>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</si>
  <si>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</si>
  <si>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</si>
  <si>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</si>
  <si>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</si>
  <si>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</si>
  <si>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</si>
  <si>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</si>
  <si>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</si>
  <si>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</si>
  <si>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</si>
  <si>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</si>
  <si>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</si>
  <si>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</si>
  <si>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</si>
  <si>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</si>
  <si>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</si>
  <si>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</si>
  <si>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</si>
  <si>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</si>
  <si>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</si>
  <si>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</si>
  <si>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</si>
  <si>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</si>
  <si>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</si>
  <si>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</si>
  <si>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</si>
  <si>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</si>
  <si>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</si>
  <si>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</si>
  <si>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</si>
  <si>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</si>
  <si>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</si>
  <si>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</si>
  <si>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</si>
  <si>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</si>
  <si>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</si>
  <si>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</si>
  <si>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</si>
  <si>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</si>
  <si>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</si>
  <si>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</si>
  <si>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</si>
  <si>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</si>
  <si>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</si>
  <si>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</si>
  <si>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</si>
  <si>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</si>
  <si>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</si>
  <si>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</si>
  <si>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</si>
  <si>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</si>
  <si>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</si>
  <si>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</si>
  <si>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</si>
  <si>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</si>
  <si>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</si>
  <si>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</si>
  <si>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</si>
  <si>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</si>
  <si>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</si>
  <si>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</si>
  <si>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</si>
  <si>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</si>
  <si>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</si>
  <si>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</si>
  <si>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</si>
  <si>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</si>
  <si>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</si>
  <si>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</si>
  <si>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</si>
  <si>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</si>
  <si>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</si>
  <si>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</si>
  <si>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</si>
  <si>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</si>
  <si>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</si>
  <si>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</si>
  <si>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</si>
  <si>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</si>
  <si>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</si>
  <si>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</si>
  <si>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</si>
  <si>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</si>
  <si>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</si>
  <si>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</si>
  <si>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</si>
  <si>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</si>
  <si>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</si>
  <si>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</si>
  <si>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</si>
  <si>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</si>
  <si>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</si>
  <si>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</si>
  <si>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</si>
  <si>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</si>
  <si>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</si>
  <si>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</si>
  <si>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</si>
  <si>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</si>
  <si>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</si>
  <si>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</si>
  <si>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</si>
  <si>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</si>
  <si>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</si>
  <si>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</si>
  <si>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</si>
  <si>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</si>
  <si>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</si>
  <si>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</si>
  <si>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</si>
  <si>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</si>
  <si>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</si>
  <si>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</si>
  <si>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</si>
  <si>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</si>
  <si>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</si>
  <si>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</si>
  <si>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</si>
  <si>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</si>
  <si>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</si>
  <si>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</si>
  <si>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</si>
  <si>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</si>
  <si>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</si>
  <si>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</si>
  <si>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</si>
  <si>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</si>
  <si>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</si>
  <si>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</si>
  <si>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</si>
  <si>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</si>
  <si>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</si>
  <si>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</si>
  <si>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</si>
  <si>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</si>
  <si>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</si>
  <si>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</si>
  <si>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</si>
  <si>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</si>
  <si>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</si>
  <si>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</si>
  <si>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</si>
  <si>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</si>
  <si>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</si>
  <si>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</si>
  <si>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</si>
  <si>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</si>
  <si>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</si>
  <si>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</si>
  <si>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</si>
  <si>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</si>
  <si>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</si>
  <si>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</si>
  <si>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</si>
  <si>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</si>
  <si>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</si>
  <si>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</si>
  <si>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</si>
  <si>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</si>
  <si>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</si>
  <si>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</si>
  <si>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</si>
  <si>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</si>
  <si>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</si>
  <si>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</si>
  <si>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</si>
  <si>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</si>
  <si>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</si>
  <si>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</si>
  <si>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</si>
  <si>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</si>
  <si>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</si>
  <si>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</si>
  <si>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</si>
  <si>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</si>
  <si>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</si>
  <si>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</si>
  <si>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</si>
  <si>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</si>
  <si>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</si>
  <si>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</si>
  <si>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</si>
  <si>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</si>
  <si>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</si>
  <si>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</si>
  <si>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</si>
  <si>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</si>
  <si>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</si>
  <si>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</si>
  <si>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</si>
  <si>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</si>
  <si>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</si>
  <si>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</si>
  <si>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</si>
  <si>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</si>
  <si>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</si>
  <si>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</si>
  <si>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</si>
  <si>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</si>
  <si>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</si>
  <si>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</si>
  <si>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</si>
  <si>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</si>
  <si>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</si>
  <si>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</si>
  <si>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</si>
  <si>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</si>
  <si>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</si>
  <si>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</si>
  <si>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</si>
  <si>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</si>
  <si>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</si>
  <si>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</si>
  <si>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</si>
  <si>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</si>
  <si>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</si>
  <si>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</si>
  <si>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</si>
  <si>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</si>
  <si>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</si>
  <si>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</si>
  <si>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</si>
  <si>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</si>
  <si>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</si>
  <si>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</si>
  <si>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</si>
  <si>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</si>
  <si>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</si>
  <si>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</si>
  <si>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</si>
  <si>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</si>
  <si>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</si>
  <si>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</si>
  <si>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</si>
  <si>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</si>
  <si>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</si>
  <si>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</si>
  <si>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</si>
  <si>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</si>
  <si>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</si>
  <si>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</si>
  <si>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</si>
  <si>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</si>
  <si>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</si>
  <si>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</si>
  <si>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</si>
  <si>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</si>
  <si>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</si>
  <si>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</si>
  <si>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</si>
  <si>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</si>
  <si>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</si>
  <si>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</si>
  <si>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</si>
  <si>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</si>
  <si>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</si>
  <si>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</si>
  <si>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</si>
  <si>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</si>
  <si>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</si>
  <si>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</si>
  <si>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</si>
  <si>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</si>
  <si>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</si>
  <si>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</si>
  <si>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</si>
  <si>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</si>
  <si>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</si>
  <si>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</si>
  <si>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</si>
  <si>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</si>
  <si>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</si>
  <si>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</si>
  <si>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</si>
  <si>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</si>
  <si>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</si>
  <si>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</si>
  <si>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</si>
  <si>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</si>
  <si>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</si>
  <si>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</si>
  <si>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</si>
  <si>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</si>
  <si>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</si>
  <si>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</si>
  <si>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</si>
  <si>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</si>
  <si>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</si>
  <si>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</si>
  <si>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</si>
  <si>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</si>
  <si>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</si>
  <si>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</si>
  <si>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</si>
  <si>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</si>
  <si>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</si>
  <si>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</si>
  <si>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</si>
  <si>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</si>
  <si>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</si>
  <si>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</si>
  <si>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</si>
  <si>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</si>
  <si>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</si>
  <si>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</si>
  <si>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</si>
  <si>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</si>
  <si>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</si>
  <si>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</si>
  <si>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</si>
  <si>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</si>
  <si>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</si>
  <si>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</si>
  <si>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</si>
  <si>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</si>
  <si>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</si>
  <si>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</si>
  <si>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</si>
  <si>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</si>
  <si>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</si>
  <si>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</si>
  <si>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</si>
  <si>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</si>
  <si>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</si>
  <si>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</si>
  <si>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</si>
  <si>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</si>
  <si>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</si>
  <si>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</si>
  <si>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</si>
  <si>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</si>
  <si>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</si>
  <si>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</si>
  <si>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</si>
  <si>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</si>
  <si>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</si>
  <si>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</si>
  <si>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</si>
  <si>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</si>
  <si>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</si>
  <si>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</si>
  <si>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</si>
  <si>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</si>
  <si>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</si>
  <si>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</si>
  <si>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</si>
  <si>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</si>
  <si>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</si>
  <si>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</si>
  <si>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</si>
  <si>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</si>
  <si>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</si>
  <si>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</si>
  <si>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</si>
  <si>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</si>
  <si>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</si>
  <si>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</si>
  <si>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</si>
  <si>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</si>
  <si>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</si>
  <si>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</si>
  <si>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</si>
  <si>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</si>
  <si>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</si>
  <si>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</si>
  <si>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</si>
  <si>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</si>
  <si>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</si>
  <si>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</si>
  <si>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</si>
  <si>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</si>
  <si>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</si>
  <si>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</si>
  <si>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</si>
  <si>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</si>
  <si>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</si>
  <si>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</si>
  <si>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</si>
  <si>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</si>
  <si>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</si>
  <si>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</si>
  <si>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</si>
  <si>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</si>
  <si>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</si>
  <si>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</si>
  <si>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</si>
  <si>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</si>
  <si>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</si>
  <si>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</si>
  <si>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</si>
  <si>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</si>
  <si>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</si>
  <si>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</si>
  <si>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</si>
  <si>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</si>
  <si>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</si>
  <si>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</si>
  <si>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</si>
  <si>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</si>
  <si>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</si>
  <si>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</si>
  <si>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</si>
  <si>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</si>
  <si>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</si>
  <si>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</si>
  <si>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</si>
  <si>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</si>
  <si>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</si>
  <si>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</si>
  <si>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</si>
  <si>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</si>
  <si>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</si>
  <si>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</si>
  <si>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</si>
  <si>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</si>
  <si>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</si>
  <si>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</si>
  <si>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</si>
  <si>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</si>
  <si>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</si>
  <si>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</si>
  <si>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</si>
  <si>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</si>
  <si>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</si>
  <si>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</si>
  <si>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</si>
  <si>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</si>
  <si>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</si>
  <si>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</si>
  <si>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</si>
  <si>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</si>
  <si>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</si>
  <si>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</si>
  <si>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</si>
  <si>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</si>
  <si>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</si>
  <si>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</si>
  <si>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</si>
  <si>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</si>
  <si>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</si>
  <si>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</si>
  <si>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</si>
  <si>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</si>
  <si>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</si>
  <si>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</si>
  <si>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</si>
  <si>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</si>
  <si>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</si>
  <si>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</si>
  <si>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</si>
  <si>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</si>
  <si>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</si>
  <si>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</si>
  <si>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</si>
  <si>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</si>
  <si>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</si>
  <si>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</si>
  <si>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</si>
  <si>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</si>
  <si>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</si>
  <si>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</si>
  <si>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</si>
  <si>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</si>
  <si>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</si>
  <si>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</si>
  <si>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</si>
  <si>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</si>
  <si>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</si>
  <si>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</si>
  <si>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</si>
  <si>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</si>
  <si>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</si>
  <si>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</si>
  <si>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</si>
  <si>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</si>
  <si>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</si>
  <si>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</si>
  <si>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</si>
  <si>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</si>
  <si>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</si>
  <si>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</si>
  <si>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</si>
  <si>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</si>
  <si>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</si>
  <si>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</si>
  <si>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</si>
  <si>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</si>
  <si>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</si>
  <si>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</si>
  <si>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</si>
  <si>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</si>
  <si>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</si>
  <si>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</si>
  <si>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</si>
  <si>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</si>
  <si>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</si>
  <si>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</si>
  <si>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</si>
  <si>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</si>
  <si>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</si>
  <si>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</si>
  <si>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</si>
  <si>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</si>
  <si>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</si>
  <si>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</si>
  <si>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</si>
  <si>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</si>
  <si>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</si>
  <si>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</si>
  <si>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</si>
  <si>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</si>
  <si>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</si>
  <si>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</si>
  <si>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</si>
  <si>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</si>
  <si>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</si>
  <si>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</si>
  <si>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</si>
  <si>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</si>
  <si>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</si>
  <si>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</si>
  <si>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</si>
  <si>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</si>
  <si>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</si>
  <si>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</si>
  <si>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</si>
  <si>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</si>
  <si>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</si>
  <si>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</si>
  <si>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</si>
  <si>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</si>
  <si>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</si>
  <si>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</si>
  <si>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</si>
  <si>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</si>
  <si>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</si>
  <si>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</si>
  <si>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</si>
  <si>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</si>
  <si>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</si>
  <si>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</si>
  <si>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</si>
  <si>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</si>
  <si>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</si>
  <si>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</si>
  <si>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</si>
  <si>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</si>
  <si>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</si>
  <si>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</si>
  <si>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</si>
  <si>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</si>
  <si>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</si>
  <si>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</si>
  <si>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</si>
  <si>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</si>
  <si>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</si>
  <si>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</si>
  <si>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</si>
  <si>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</si>
  <si>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</si>
  <si>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</si>
  <si>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</si>
  <si>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</si>
  <si>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</si>
  <si>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</si>
  <si>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</si>
  <si>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</si>
  <si>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</si>
  <si>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</si>
  <si>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</si>
  <si>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</si>
  <si>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</si>
  <si>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</si>
  <si>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</si>
  <si>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</si>
  <si>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</si>
  <si>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</si>
  <si>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</si>
  <si>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</si>
  <si>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</si>
  <si>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</si>
  <si>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</si>
  <si>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</si>
  <si>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</si>
  <si>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</si>
  <si>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</si>
  <si>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</si>
  <si>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</si>
  <si>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</si>
  <si>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</si>
  <si>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</si>
  <si>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</si>
  <si>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</si>
  <si>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</si>
  <si>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</si>
  <si>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</si>
  <si>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</si>
  <si>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</si>
  <si>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</si>
  <si>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</si>
  <si>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</si>
  <si>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</si>
  <si>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</si>
  <si>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</si>
  <si>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</si>
  <si>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</si>
  <si>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</si>
  <si>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</si>
  <si>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</si>
  <si>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</si>
  <si>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</si>
  <si>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</si>
  <si>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</si>
  <si>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</si>
  <si>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</si>
  <si>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</si>
  <si>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</si>
  <si>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</si>
  <si>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</si>
  <si>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</si>
  <si>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</si>
  <si>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</si>
  <si>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</si>
  <si>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</si>
  <si>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</si>
  <si>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</si>
  <si>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</si>
  <si>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</si>
  <si>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</si>
  <si>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</si>
  <si>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</si>
  <si>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</si>
  <si>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</si>
  <si>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</si>
  <si>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</si>
  <si>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</si>
  <si>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</si>
  <si>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</si>
  <si>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</si>
  <si>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</si>
  <si>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</si>
  <si>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</si>
  <si>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</si>
  <si>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</si>
  <si>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</si>
  <si>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</si>
  <si>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</si>
  <si>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</si>
  <si>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</si>
  <si>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</si>
  <si>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</si>
  <si>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</si>
  <si>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</si>
  <si>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</si>
  <si>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</si>
  <si>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</si>
  <si>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</si>
  <si>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</si>
  <si>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</si>
  <si>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</si>
  <si>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</si>
  <si>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</si>
  <si>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</si>
  <si>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</si>
  <si>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</si>
  <si>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</si>
  <si>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</si>
  <si>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</si>
  <si>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</si>
  <si>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</si>
  <si>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</si>
  <si>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</si>
  <si>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</si>
  <si>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</si>
  <si>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</si>
  <si>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</si>
  <si>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</si>
  <si>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</si>
  <si>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</si>
  <si>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</si>
  <si>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</si>
  <si>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</si>
  <si>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</si>
  <si>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</si>
  <si>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</si>
  <si>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</si>
  <si>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</si>
  <si>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</si>
  <si>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</si>
  <si>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</si>
  <si>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</si>
  <si>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</si>
  <si>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</si>
  <si>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</si>
  <si>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</si>
  <si>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</si>
  <si>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</si>
  <si>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</si>
  <si>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</si>
  <si>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</si>
  <si>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</si>
  <si>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</si>
  <si>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</si>
  <si>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</si>
  <si>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</si>
  <si>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</si>
  <si>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</si>
  <si>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</si>
  <si>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</si>
  <si>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</si>
  <si>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</si>
  <si>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</si>
  <si>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</si>
  <si>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</si>
  <si>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</si>
  <si>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</si>
  <si>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</si>
  <si>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</si>
  <si>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</si>
  <si>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</si>
  <si>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</si>
  <si>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</si>
  <si>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</si>
  <si>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</si>
  <si>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</si>
  <si>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</si>
  <si>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</si>
  <si>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</si>
  <si>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</si>
  <si>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</si>
  <si>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</si>
  <si>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</si>
  <si>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</si>
  <si>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</si>
  <si>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</si>
  <si>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</si>
  <si>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</si>
  <si>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</si>
  <si>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</si>
  <si>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</si>
  <si>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</si>
  <si>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</si>
  <si>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</si>
  <si>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</si>
  <si>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</si>
  <si>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</si>
  <si>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</si>
  <si>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</si>
  <si>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</si>
  <si>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</si>
  <si>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</si>
  <si>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</si>
  <si>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</si>
  <si>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</si>
  <si>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</si>
  <si>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</si>
  <si>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</si>
  <si>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</si>
  <si>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</si>
  <si>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</si>
  <si>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</si>
  <si>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</si>
  <si>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</si>
  <si>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</si>
  <si>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</si>
  <si>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</si>
  <si>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</si>
  <si>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</si>
  <si>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</si>
  <si>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</si>
  <si>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</si>
  <si>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</si>
  <si>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</si>
  <si>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</si>
  <si>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</si>
  <si>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</si>
  <si>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</si>
  <si>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</si>
  <si>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</si>
  <si>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</si>
  <si>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</si>
  <si>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</si>
  <si>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</si>
  <si>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</si>
  <si>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</si>
  <si>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</si>
  <si>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</si>
  <si>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</si>
  <si>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</si>
  <si>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</si>
  <si>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</si>
  <si>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</si>
  <si>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</si>
  <si>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</si>
  <si>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</si>
  <si>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</si>
  <si>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</si>
  <si>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</si>
  <si>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</si>
  <si>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</si>
  <si>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</si>
  <si>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</si>
  <si>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</si>
  <si>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</si>
  <si>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</si>
  <si>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</si>
  <si>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</si>
  <si>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</si>
  <si>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</si>
  <si>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</si>
  <si>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</si>
  <si>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</si>
  <si>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</si>
  <si>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</si>
  <si>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</si>
  <si>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</si>
  <si>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</si>
  <si>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</si>
  <si>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</si>
  <si>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</si>
  <si>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</si>
  <si>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</si>
  <si>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</si>
  <si>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</si>
  <si>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</si>
  <si>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</si>
  <si>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</si>
  <si>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</si>
  <si>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</si>
  <si>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</si>
  <si>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</si>
  <si>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</si>
  <si>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</si>
  <si>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</si>
  <si>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</si>
  <si>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</si>
  <si>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</si>
  <si>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</si>
  <si>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</si>
  <si>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</si>
  <si>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</si>
  <si>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</si>
  <si>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</si>
  <si>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</si>
  <si>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</si>
  <si>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</si>
  <si>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</si>
  <si>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</si>
  <si>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</si>
  <si>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</si>
  <si>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</si>
  <si>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</si>
  <si>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</si>
  <si>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</si>
  <si>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</si>
  <si>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</si>
  <si>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</si>
  <si>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</si>
  <si>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</si>
  <si>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</si>
  <si>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</si>
  <si>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</si>
  <si>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</si>
  <si>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</si>
  <si>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</si>
  <si>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</si>
  <si>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</si>
  <si>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</si>
  <si>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</si>
  <si>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</si>
  <si>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</si>
  <si>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</si>
  <si>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</si>
  <si>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</si>
  <si>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</si>
  <si>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</si>
  <si>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</si>
  <si>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</si>
  <si>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</si>
  <si>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</si>
  <si>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</si>
  <si>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</si>
  <si>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</si>
  <si>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</si>
  <si>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</si>
  <si>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</si>
  <si>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</si>
  <si>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</si>
  <si>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</si>
  <si>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</si>
  <si>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</si>
  <si>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</si>
  <si>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</si>
  <si>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</si>
  <si>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</si>
  <si>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</si>
  <si>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</si>
  <si>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</si>
  <si>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</si>
  <si>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</si>
  <si>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</si>
  <si>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</si>
  <si>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</si>
  <si>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</si>
  <si>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</si>
  <si>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</si>
  <si>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</si>
  <si>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</si>
  <si>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</si>
  <si>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</si>
  <si>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</si>
  <si>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</si>
  <si>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</si>
  <si>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</si>
  <si>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</si>
  <si>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</si>
  <si>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</si>
  <si>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</si>
  <si>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</si>
  <si>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</si>
  <si>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</si>
  <si>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</si>
  <si>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</si>
  <si>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</si>
  <si>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</si>
  <si>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</si>
  <si>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</si>
  <si>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</si>
  <si>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</si>
  <si>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</si>
  <si>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</si>
  <si>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</si>
  <si>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</si>
  <si>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</si>
  <si>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</si>
  <si>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</si>
  <si>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</si>
  <si>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</si>
  <si>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</si>
  <si>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</si>
  <si>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</si>
  <si>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</si>
  <si>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</si>
  <si>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</si>
  <si>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</si>
  <si>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</si>
  <si>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</si>
  <si>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</si>
  <si>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</si>
  <si>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</si>
  <si>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</si>
  <si>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</si>
  <si>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</si>
  <si>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</si>
  <si>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</si>
  <si>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</si>
  <si>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</si>
  <si>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</si>
  <si>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</si>
  <si>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</si>
  <si>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</si>
  <si>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</si>
  <si>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</si>
  <si>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</si>
  <si>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</si>
  <si>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</si>
  <si>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</si>
  <si>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</si>
  <si>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</si>
  <si>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</si>
  <si>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</si>
  <si>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</si>
  <si>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</si>
  <si>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</si>
  <si>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</si>
  <si>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</si>
  <si>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</si>
  <si>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</si>
  <si>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</si>
  <si>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</si>
  <si>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</si>
  <si>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</si>
  <si>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</si>
  <si>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</si>
  <si>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</si>
  <si>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</si>
  <si>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</si>
  <si>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</si>
  <si>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</si>
  <si>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</si>
  <si>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</si>
  <si>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</si>
  <si>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</si>
  <si>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</si>
  <si>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</si>
  <si>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</si>
  <si>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</si>
  <si>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</si>
  <si>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</si>
  <si>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</si>
  <si>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</si>
  <si>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</si>
  <si>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</si>
  <si>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</si>
  <si>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</si>
  <si>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</si>
  <si>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</si>
  <si>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</si>
  <si>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</si>
  <si>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</si>
  <si>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</si>
  <si>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</si>
  <si>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</si>
  <si>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</si>
  <si>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</si>
  <si>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</si>
  <si>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</si>
  <si>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</si>
  <si>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</si>
  <si>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</si>
  <si>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</si>
  <si>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</si>
  <si>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</si>
  <si>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</si>
  <si>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</si>
  <si>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</si>
  <si>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</si>
  <si>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</si>
  <si>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</si>
  <si>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</si>
  <si>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</si>
  <si>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</si>
  <si>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</si>
  <si>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</si>
  <si>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</si>
  <si>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</si>
  <si>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</si>
  <si>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</si>
  <si>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</si>
  <si>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</si>
  <si>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</si>
  <si>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</si>
  <si>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</si>
  <si>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</si>
  <si>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</si>
  <si>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</si>
  <si>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</si>
  <si>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</si>
  <si>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</si>
  <si>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</si>
  <si>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</si>
  <si>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</si>
  <si>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</si>
  <si>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</si>
  <si>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</si>
  <si>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</si>
  <si>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</si>
  <si>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</si>
  <si>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</si>
  <si>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</si>
  <si>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</si>
  <si>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</si>
  <si>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</si>
  <si>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</si>
  <si>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</si>
  <si>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</si>
  <si>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</si>
  <si>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</si>
  <si>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</si>
  <si>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</si>
  <si>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</si>
  <si>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</si>
  <si>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</si>
  <si>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</si>
  <si>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</si>
  <si>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</si>
  <si>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</si>
  <si>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</si>
  <si>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</si>
  <si>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</si>
  <si>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</si>
  <si>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</si>
  <si>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</si>
  <si>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</si>
  <si>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</si>
  <si>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</si>
  <si>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</si>
  <si>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</si>
  <si>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</si>
  <si>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</si>
  <si>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</si>
  <si>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</si>
  <si>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</si>
  <si>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</si>
  <si>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</si>
  <si>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</si>
  <si>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</si>
  <si>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</si>
  <si>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</si>
  <si>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</si>
  <si>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</si>
  <si>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</si>
  <si>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</si>
  <si>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</si>
  <si>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</si>
  <si>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</si>
  <si>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</si>
  <si>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</si>
  <si>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</si>
  <si>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</si>
  <si>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</si>
  <si>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</si>
  <si>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</si>
  <si>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</si>
  <si>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</si>
  <si>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</si>
  <si>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</si>
  <si>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</si>
  <si>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</si>
  <si>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</si>
  <si>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</si>
  <si>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</si>
  <si>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</si>
  <si>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</si>
  <si>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</si>
  <si>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</si>
  <si>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</si>
  <si>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</si>
  <si>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</si>
  <si>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</si>
  <si>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</si>
  <si>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</si>
  <si>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</si>
  <si>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</si>
  <si>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</si>
  <si>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</si>
  <si>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</si>
  <si>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</si>
  <si>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</si>
  <si>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</si>
  <si>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</si>
  <si>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</si>
  <si>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</si>
  <si>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</si>
  <si>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</si>
  <si>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</si>
  <si>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</si>
  <si>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</si>
  <si>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</si>
  <si>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</si>
  <si>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</si>
  <si>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</si>
  <si>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</si>
  <si>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</si>
  <si>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</si>
  <si>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</si>
  <si>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</si>
  <si>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</si>
  <si>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</si>
  <si>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</si>
  <si>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</si>
  <si>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</si>
  <si>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</si>
  <si>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</si>
  <si>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</si>
  <si>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</si>
  <si>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</si>
  <si>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</si>
  <si>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</si>
  <si>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</si>
  <si>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</si>
  <si>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</si>
  <si>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</si>
  <si>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</si>
  <si>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</si>
  <si>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</si>
  <si>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</si>
  <si>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</si>
  <si>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</si>
  <si>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</si>
  <si>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</si>
  <si>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</si>
  <si>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</si>
  <si>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</si>
  <si>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</si>
  <si>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</si>
  <si>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</si>
  <si>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</si>
  <si>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</si>
  <si>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</si>
  <si>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</si>
  <si>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LDC1312</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</si>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</sst>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865">
    <xf numFmtId="0" fontId="0" fillId="0" borderId="0" xfId="0"/>
    <xf numFmtId="0" fontId="1" fillId="0" borderId="0" xfId="0" applyFont="1" applyProtection="1"/>
    <xf numFmtId="0" fontId="0" fillId="0" borderId="0" xfId="0" applyProtection="1"/>
    <xf numFmtId="0" fontId="3" fillId="0" borderId="0" xfId="0" applyFont="1" applyProtection="1"/>
    <xf numFmtId="0" fontId="4" fillId="0" borderId="0" xfId="0" applyFont="1"/>
    <xf numFmtId="0" fontId="18" fillId="0" borderId="0" xfId="0" applyFont="1"/>
    <xf numFmtId="0" fontId="19" fillId="0" borderId="0" xfId="0" applyFont="1"/>
    <xf numFmtId="0" fontId="0" fillId="0" borderId="0" xfId="0" applyFont="1"/>
    <xf numFmtId="0" fontId="20" fillId="0" borderId="0" xfId="0" applyFont="1"/>
    <xf numFmtId="0" fontId="1" fillId="0" borderId="0" xfId="0" applyFont="1"/>
    <xf numFmtId="0" fontId="0" fillId="0" borderId="0" xfId="0" applyAlignment="1">
      <alignment horizontal="right"/>
    </xf>
    <xf numFmtId="0" fontId="0" fillId="0" borderId="1" xfId="0" applyBorder="1"/>
    <xf numFmtId="0" fontId="0" fillId="0" borderId="0" xfId="0" applyFill="1"/>
    <xf numFmtId="0" fontId="0" fillId="0" borderId="0" xfId="0" applyBorder="1"/>
    <xf numFmtId="0" fontId="1" fillId="0" borderId="0" xfId="0" applyFont="1" applyAlignment="1"/>
    <xf numFmtId="11" fontId="0" fillId="0" borderId="0" xfId="0" applyNumberFormat="1"/>
    <xf numFmtId="0" fontId="0" fillId="2" borderId="1" xfId="0" applyFill="1" applyBorder="1"/>
    <xf numFmtId="0" fontId="27" fillId="0" borderId="0" xfId="0" applyFont="1" applyFill="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0" fillId="0" borderId="0" xfId="0" applyFill="1" applyBorder="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Border="1" applyAlignment="1">
      <alignment horizontal="center"/>
    </xf>
    <xf numFmtId="0" fontId="0" fillId="0" borderId="0" xfId="0" applyFont="1" applyBorder="1" applyAlignment="1">
      <alignment horizontal="left"/>
    </xf>
    <xf numFmtId="0" fontId="1" fillId="0" borderId="0" xfId="0" applyFont="1" applyBorder="1"/>
    <xf numFmtId="0" fontId="1" fillId="0" borderId="0" xfId="0" applyFont="1" applyBorder="1" applyAlignment="1">
      <alignment horizontal="right"/>
    </xf>
    <xf numFmtId="0" fontId="35" fillId="0" borderId="0" xfId="0" applyFont="1" applyBorder="1"/>
    <xf numFmtId="166" fontId="1" fillId="0" borderId="0" xfId="0" applyNumberFormat="1" applyFont="1" applyFill="1" applyBorder="1"/>
    <xf numFmtId="2" fontId="1" fillId="3" borderId="1" xfId="0" applyNumberFormat="1" applyFont="1" applyFill="1" applyBorder="1"/>
    <xf numFmtId="0" fontId="1" fillId="0" borderId="0" xfId="0" applyFont="1" applyBorder="1" applyAlignment="1">
      <alignment horizontal="left"/>
    </xf>
    <xf numFmtId="164" fontId="0" fillId="3" borderId="1" xfId="0" applyNumberFormat="1" applyFill="1" applyBorder="1"/>
    <xf numFmtId="0" fontId="9" fillId="0" borderId="0" xfId="0" applyFont="1"/>
    <xf numFmtId="0" fontId="5" fillId="0" borderId="0" xfId="0" applyFont="1" applyBorder="1" applyAlignment="1"/>
    <xf numFmtId="166" fontId="0" fillId="3" borderId="1" xfId="0" applyNumberFormat="1" applyFont="1" applyFill="1" applyBorder="1"/>
    <xf numFmtId="2" fontId="0" fillId="3" borderId="1" xfId="0" applyNumberFormat="1" applyFont="1" applyFill="1" applyBorder="1"/>
    <xf numFmtId="0" fontId="5" fillId="3" borderId="1" xfId="0" applyFont="1" applyFill="1" applyBorder="1"/>
    <xf numFmtId="0" fontId="36" fillId="0" borderId="0" xfId="0" applyFont="1" applyFill="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2" fontId="5" fillId="3" borderId="1" xfId="0" applyNumberFormat="1" applyFont="1" applyFill="1" applyBorder="1" applyProtection="1"/>
    <xf numFmtId="164" fontId="20" fillId="3" borderId="1" xfId="0" applyNumberFormat="1" applyFont="1" applyFill="1" applyBorder="1" applyProtection="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2" fontId="0" fillId="3" borderId="1" xfId="0" applyNumberFormat="1" applyFill="1" applyBorder="1"/>
    <xf numFmtId="165" fontId="37" fillId="3" borderId="1" xfId="0" applyNumberFormat="1" applyFont="1" applyFill="1" applyBorder="1"/>
    <xf numFmtId="0" fontId="46" fillId="0" borderId="0" xfId="0" applyFont="1"/>
    <xf numFmtId="0" fontId="1" fillId="0" borderId="0" xfId="0" applyFont="1" applyFill="1"/>
    <xf numFmtId="0" fontId="1" fillId="0" borderId="0" xfId="0" applyFont="1" applyFill="1" applyBorder="1"/>
    <xf numFmtId="0" fontId="47" fillId="0" borderId="0" xfId="0" applyFont="1" applyBorder="1"/>
    <xf numFmtId="0" fontId="18" fillId="0" borderId="0" xfId="0" applyFont="1" applyFill="1" applyBorder="1"/>
    <xf numFmtId="0" fontId="7" fillId="0" borderId="0" xfId="0" applyFont="1"/>
    <xf numFmtId="166" fontId="10" fillId="3" borderId="1" xfId="0" applyNumberFormat="1" applyFont="1" applyFill="1" applyBorder="1"/>
    <xf numFmtId="0" fontId="5" fillId="0" borderId="0" xfId="0" applyFont="1" applyFill="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applyFill="1"/>
    <xf numFmtId="0" fontId="33" fillId="0" borderId="0" xfId="0" applyFont="1" applyFill="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applyBorder="1"/>
    <xf numFmtId="0" fontId="35" fillId="9" borderId="0" xfId="0" applyFont="1" applyFill="1" applyBorder="1"/>
    <xf numFmtId="0" fontId="51" fillId="9" borderId="0" xfId="0" applyFont="1" applyFill="1" applyProtection="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Font="1" applyBorder="1"/>
    <xf numFmtId="0" fontId="0" fillId="0" borderId="9" xfId="0" applyFont="1" applyBorder="1"/>
    <xf numFmtId="0" fontId="0" fillId="0" borderId="10" xfId="0" applyFont="1" applyBorder="1"/>
    <xf numFmtId="0" fontId="4" fillId="0" borderId="0" xfId="0" applyFont="1" applyFill="1" applyBorder="1"/>
    <xf numFmtId="0" fontId="19" fillId="0" borderId="0" xfId="0" applyFont="1" applyFill="1" applyBorder="1"/>
    <xf numFmtId="0" fontId="0" fillId="0" borderId="0" xfId="0" applyFont="1" applyAlignment="1">
      <alignment wrapText="1"/>
    </xf>
    <xf numFmtId="165" fontId="5" fillId="3" borderId="1" xfId="0" applyNumberFormat="1" applyFont="1" applyFill="1" applyBorder="1"/>
    <xf numFmtId="2" fontId="11" fillId="3" borderId="1" xfId="0" applyNumberFormat="1" applyFont="1" applyFill="1" applyBorder="1"/>
    <xf numFmtId="0" fontId="0" fillId="0" borderId="0" xfId="0" applyFont="1" applyFill="1" applyBorder="1"/>
    <xf numFmtId="2" fontId="0" fillId="0" borderId="0" xfId="0" applyNumberFormat="1" applyFill="1" applyBorder="1"/>
    <xf numFmtId="0" fontId="55" fillId="0" borderId="0" xfId="0" applyFont="1"/>
    <xf numFmtId="48" fontId="7" fillId="3" borderId="1" xfId="0" applyNumberFormat="1" applyFont="1" applyFill="1" applyBorder="1"/>
    <xf numFmtId="0" fontId="48" fillId="0" borderId="0" xfId="0" applyFont="1" applyFill="1"/>
    <xf numFmtId="0" fontId="0" fillId="0" borderId="0" xfId="0" applyFill="1" applyAlignment="1">
      <alignment horizontal="center"/>
    </xf>
    <xf numFmtId="0" fontId="56" fillId="0" borderId="0" xfId="0" applyFont="1" applyFill="1"/>
    <xf numFmtId="0" fontId="11" fillId="0" borderId="0" xfId="0" applyFont="1" applyFill="1"/>
    <xf numFmtId="0" fontId="0" fillId="9" borderId="1" xfId="0" applyFill="1" applyBorder="1" applyAlignment="1">
      <alignment horizontal="center"/>
    </xf>
    <xf numFmtId="0" fontId="0" fillId="0" borderId="0"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Fill="1" applyBorder="1" applyAlignment="1">
      <alignment horizontal="left"/>
    </xf>
    <xf numFmtId="0" fontId="60" fillId="0" borderId="0" xfId="0" applyFont="1" applyFill="1" applyBorder="1" applyAlignment="1">
      <alignment horizontal="left"/>
    </xf>
    <xf numFmtId="0" fontId="19" fillId="0" borderId="0" xfId="0" applyFont="1" applyFill="1" applyBorder="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applyFill="1"/>
    <xf numFmtId="0" fontId="0" fillId="3" borderId="1" xfId="0" applyFill="1" applyBorder="1" applyAlignment="1">
      <alignment horizontal="center"/>
    </xf>
    <xf numFmtId="0" fontId="62" fillId="0" borderId="0" xfId="0" applyFont="1" applyProtection="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20" fillId="0" borderId="0" xfId="0" applyFont="1" applyFill="1" applyBorder="1" applyAlignment="1">
      <alignment horizontal="center"/>
    </xf>
    <xf numFmtId="0" fontId="45" fillId="0" borderId="0" xfId="0" applyFont="1" applyFill="1" applyBorder="1"/>
    <xf numFmtId="0" fontId="45" fillId="0" borderId="0" xfId="0" applyFont="1" applyFill="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Fill="1" applyBorder="1"/>
    <xf numFmtId="0" fontId="20" fillId="0" borderId="0" xfId="0" applyFont="1" applyAlignment="1">
      <alignment horizontal="left"/>
    </xf>
    <xf numFmtId="0" fontId="64" fillId="0" borderId="0" xfId="0" applyFont="1"/>
    <xf numFmtId="0" fontId="66" fillId="0" borderId="0" xfId="0" applyFont="1" applyFill="1"/>
    <xf numFmtId="0" fontId="7" fillId="0" borderId="1" xfId="0" applyFont="1" applyBorder="1"/>
    <xf numFmtId="0" fontId="7" fillId="9" borderId="1" xfId="0" applyNumberFormat="1" applyFont="1" applyFill="1" applyBorder="1"/>
    <xf numFmtId="0" fontId="19" fillId="0" borderId="0" xfId="0" applyFont="1" applyFill="1"/>
    <xf numFmtId="2" fontId="11" fillId="3" borderId="1" xfId="0" applyNumberFormat="1" applyFont="1" applyFill="1" applyBorder="1" applyAlignment="1">
      <alignment vertical="center"/>
    </xf>
    <xf numFmtId="0" fontId="11" fillId="9" borderId="11" xfId="0" applyNumberFormat="1"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4" fillId="0" borderId="0" xfId="0" applyFont="1" applyProtection="1"/>
    <xf numFmtId="0" fontId="30" fillId="0" borderId="0" xfId="3" applyProtection="1"/>
    <xf numFmtId="0" fontId="18" fillId="0" borderId="0" xfId="0" applyFont="1" applyProtection="1"/>
    <xf numFmtId="0" fontId="44" fillId="0" borderId="0" xfId="0" applyFont="1" applyProtection="1"/>
    <xf numFmtId="0" fontId="7" fillId="0" borderId="1" xfId="0" applyFont="1" applyBorder="1" applyProtection="1"/>
    <xf numFmtId="0" fontId="0" fillId="0" borderId="1" xfId="0" applyBorder="1" applyProtection="1"/>
    <xf numFmtId="0" fontId="0" fillId="9" borderId="1" xfId="0" applyFill="1" applyBorder="1" applyProtection="1"/>
    <xf numFmtId="0" fontId="72" fillId="0" borderId="1" xfId="0" applyFont="1" applyBorder="1" applyProtection="1"/>
    <xf numFmtId="0" fontId="28" fillId="0" borderId="0" xfId="0" applyFont="1" applyProtection="1"/>
    <xf numFmtId="165" fontId="7" fillId="3" borderId="1" xfId="0" applyNumberFormat="1" applyFont="1" applyFill="1" applyBorder="1" applyProtection="1"/>
    <xf numFmtId="1" fontId="7" fillId="3" borderId="1" xfId="0" applyNumberFormat="1" applyFont="1" applyFill="1" applyBorder="1" applyProtection="1"/>
    <xf numFmtId="0" fontId="0" fillId="0" borderId="0" xfId="0" applyFont="1" applyProtection="1"/>
    <xf numFmtId="0" fontId="7" fillId="9" borderId="0" xfId="0" applyFont="1" applyFill="1" applyProtection="1"/>
    <xf numFmtId="0" fontId="0" fillId="0" borderId="1" xfId="0" applyFont="1" applyBorder="1" applyProtection="1"/>
    <xf numFmtId="0" fontId="0" fillId="0" borderId="0" xfId="0" applyFont="1" applyFill="1" applyBorder="1" applyProtection="1"/>
    <xf numFmtId="0" fontId="7" fillId="0" borderId="1" xfId="0" applyFont="1" applyFill="1" applyBorder="1" applyProtection="1"/>
    <xf numFmtId="165" fontId="0" fillId="3" borderId="1" xfId="0" applyNumberFormat="1" applyFill="1" applyBorder="1" applyProtection="1"/>
    <xf numFmtId="0" fontId="0" fillId="3" borderId="1" xfId="0" applyFill="1" applyBorder="1" applyProtection="1"/>
    <xf numFmtId="2" fontId="0" fillId="3" borderId="1" xfId="0" applyNumberFormat="1" applyFill="1" applyBorder="1" applyProtection="1"/>
    <xf numFmtId="0" fontId="37" fillId="0" borderId="1" xfId="0" applyFont="1" applyFill="1" applyBorder="1" applyProtection="1"/>
    <xf numFmtId="165" fontId="0" fillId="9" borderId="1" xfId="0" applyNumberFormat="1" applyFill="1" applyBorder="1" applyProtection="1"/>
    <xf numFmtId="0" fontId="7" fillId="0" borderId="0" xfId="0" applyFont="1" applyProtection="1"/>
    <xf numFmtId="0" fontId="75" fillId="0" borderId="0" xfId="0" applyFont="1" applyProtection="1"/>
    <xf numFmtId="0" fontId="74" fillId="0" borderId="0" xfId="0" applyFont="1" applyProtection="1"/>
    <xf numFmtId="0" fontId="36" fillId="0" borderId="0" xfId="0" applyFont="1" applyProtection="1"/>
    <xf numFmtId="0" fontId="74" fillId="0" borderId="0" xfId="0" applyFont="1" applyAlignment="1" applyProtection="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Border="1" applyProtection="1">
      <protection locked="0"/>
    </xf>
    <xf numFmtId="0" fontId="0" fillId="0" borderId="0" xfId="0" applyAlignment="1" applyProtection="1">
      <alignment horizontal="right"/>
    </xf>
    <xf numFmtId="0" fontId="30" fillId="0" borderId="0" xfId="3" applyAlignment="1" applyProtection="1"/>
    <xf numFmtId="0" fontId="6" fillId="0" borderId="0" xfId="0" applyFont="1" applyAlignment="1" applyProtection="1">
      <alignment vertical="center"/>
    </xf>
    <xf numFmtId="0" fontId="0" fillId="0" borderId="0" xfId="0" applyAlignment="1" applyProtection="1"/>
    <xf numFmtId="0" fontId="4" fillId="0" borderId="0" xfId="0" applyFont="1" applyAlignment="1" applyProtection="1"/>
    <xf numFmtId="0" fontId="1" fillId="2" borderId="0" xfId="0" applyFont="1" applyFill="1" applyProtection="1"/>
    <xf numFmtId="0" fontId="0" fillId="2" borderId="0" xfId="0" applyFill="1" applyProtection="1"/>
    <xf numFmtId="0" fontId="1" fillId="3" borderId="0" xfId="0" applyFont="1" applyFill="1" applyProtection="1"/>
    <xf numFmtId="0" fontId="0" fillId="3" borderId="0" xfId="0" applyFill="1" applyProtection="1"/>
    <xf numFmtId="0" fontId="18" fillId="0" borderId="1" xfId="0" applyFont="1" applyBorder="1" applyAlignment="1" applyProtection="1">
      <alignment horizontal="left"/>
    </xf>
    <xf numFmtId="0" fontId="18" fillId="0" borderId="1" xfId="0" applyFont="1" applyBorder="1" applyAlignment="1" applyProtection="1">
      <alignment horizontal="center"/>
    </xf>
    <xf numFmtId="0" fontId="18" fillId="0" borderId="1" xfId="0" applyFont="1" applyFill="1" applyBorder="1" applyAlignment="1" applyProtection="1">
      <alignment horizontal="left"/>
    </xf>
    <xf numFmtId="0" fontId="18" fillId="0" borderId="1" xfId="0" applyFont="1" applyBorder="1" applyAlignment="1" applyProtection="1"/>
    <xf numFmtId="0" fontId="17" fillId="0" borderId="0" xfId="0" applyFont="1" applyProtection="1"/>
    <xf numFmtId="0" fontId="18" fillId="0" borderId="1" xfId="0" applyFont="1" applyBorder="1" applyProtection="1"/>
    <xf numFmtId="0" fontId="0" fillId="0" borderId="1" xfId="0" applyBorder="1" applyAlignment="1" applyProtection="1">
      <alignment horizontal="center"/>
    </xf>
    <xf numFmtId="0" fontId="19" fillId="0" borderId="1" xfId="0" applyFont="1" applyFill="1" applyBorder="1" applyAlignment="1" applyProtection="1">
      <alignment horizontal="left"/>
    </xf>
    <xf numFmtId="0" fontId="0" fillId="0" borderId="1" xfId="0" applyBorder="1" applyAlignment="1" applyProtection="1"/>
    <xf numFmtId="0" fontId="23" fillId="9" borderId="1" xfId="0" applyFont="1" applyFill="1" applyBorder="1" applyAlignment="1" applyProtection="1">
      <alignment horizontal="center"/>
    </xf>
    <xf numFmtId="0" fontId="23" fillId="0" borderId="1" xfId="0" applyFont="1" applyFill="1" applyBorder="1" applyAlignment="1" applyProtection="1">
      <alignment horizontal="center"/>
    </xf>
    <xf numFmtId="0" fontId="20" fillId="0" borderId="1" xfId="0" applyFont="1" applyFill="1" applyBorder="1" applyProtection="1"/>
    <xf numFmtId="0" fontId="20" fillId="0" borderId="1" xfId="0" applyFont="1" applyFill="1" applyBorder="1" applyAlignment="1" applyProtection="1">
      <alignment horizontal="center"/>
    </xf>
    <xf numFmtId="167" fontId="20" fillId="3" borderId="1" xfId="0" applyNumberFormat="1" applyFont="1" applyFill="1" applyBorder="1" applyAlignment="1" applyProtection="1">
      <alignment horizontal="right" vertical="center"/>
    </xf>
    <xf numFmtId="0" fontId="20" fillId="0" borderId="1" xfId="0" applyFont="1" applyFill="1" applyBorder="1" applyAlignment="1" applyProtection="1">
      <alignment horizontal="left" vertical="center"/>
    </xf>
    <xf numFmtId="0" fontId="0" fillId="0" borderId="1" xfId="0" applyFill="1" applyBorder="1" applyAlignment="1" applyProtection="1"/>
    <xf numFmtId="0" fontId="0" fillId="0" borderId="13" xfId="0" applyBorder="1" applyProtection="1"/>
    <xf numFmtId="0" fontId="0" fillId="0" borderId="1" xfId="0" applyFill="1" applyBorder="1" applyProtection="1"/>
    <xf numFmtId="0" fontId="0" fillId="0" borderId="1" xfId="0" applyFill="1" applyBorder="1" applyAlignment="1" applyProtection="1">
      <alignment horizontal="center"/>
    </xf>
    <xf numFmtId="2" fontId="1" fillId="3" borderId="1" xfId="0" applyNumberFormat="1" applyFont="1" applyFill="1" applyBorder="1" applyAlignment="1" applyProtection="1">
      <alignment horizontal="right"/>
    </xf>
    <xf numFmtId="2" fontId="20" fillId="9" borderId="1" xfId="0" applyNumberFormat="1" applyFont="1" applyFill="1" applyBorder="1" applyAlignment="1" applyProtection="1">
      <alignment horizontal="right"/>
    </xf>
    <xf numFmtId="0" fontId="20" fillId="0" borderId="1" xfId="0" applyFont="1" applyFill="1" applyBorder="1" applyAlignment="1" applyProtection="1">
      <alignment horizontal="left"/>
    </xf>
    <xf numFmtId="166" fontId="20" fillId="9" borderId="1" xfId="0" applyNumberFormat="1" applyFont="1" applyFill="1" applyBorder="1" applyAlignment="1" applyProtection="1">
      <alignment horizontal="right"/>
    </xf>
    <xf numFmtId="165" fontId="1" fillId="3" borderId="1" xfId="0" applyNumberFormat="1" applyFont="1" applyFill="1" applyBorder="1" applyAlignment="1" applyProtection="1">
      <alignment horizontal="right"/>
    </xf>
    <xf numFmtId="0" fontId="0" fillId="0" borderId="0" xfId="0" applyFill="1" applyProtection="1"/>
    <xf numFmtId="165" fontId="0" fillId="3" borderId="1" xfId="0" applyNumberFormat="1" applyFill="1" applyBorder="1" applyAlignment="1" applyProtection="1">
      <alignment horizontal="right"/>
    </xf>
    <xf numFmtId="0" fontId="28" fillId="0" borderId="1" xfId="0" applyFont="1" applyFill="1" applyBorder="1" applyAlignment="1" applyProtection="1"/>
    <xf numFmtId="0" fontId="1" fillId="0" borderId="1" xfId="0" applyFont="1" applyFill="1" applyBorder="1" applyProtection="1"/>
    <xf numFmtId="165" fontId="4" fillId="3" borderId="1" xfId="0" applyNumberFormat="1" applyFont="1" applyFill="1" applyBorder="1" applyAlignment="1" applyProtection="1">
      <alignment horizontal="right"/>
    </xf>
    <xf numFmtId="0" fontId="25" fillId="0" borderId="1" xfId="0" applyFont="1" applyFill="1" applyBorder="1" applyAlignment="1" applyProtection="1">
      <alignment horizontal="left"/>
    </xf>
    <xf numFmtId="0" fontId="26" fillId="0" borderId="1" xfId="0" applyFont="1" applyFill="1" applyBorder="1" applyAlignment="1" applyProtection="1"/>
    <xf numFmtId="0" fontId="1" fillId="0" borderId="1" xfId="0" applyFont="1" applyFill="1" applyBorder="1" applyAlignment="1" applyProtection="1">
      <alignment horizontal="left"/>
    </xf>
    <xf numFmtId="0" fontId="40" fillId="0" borderId="1" xfId="0" applyFont="1" applyFill="1" applyBorder="1" applyProtection="1"/>
    <xf numFmtId="0" fontId="40" fillId="0" borderId="1" xfId="0" applyFont="1" applyFill="1" applyBorder="1" applyAlignment="1" applyProtection="1">
      <alignment horizontal="center"/>
    </xf>
    <xf numFmtId="0" fontId="40" fillId="0" borderId="1" xfId="0" applyFont="1" applyFill="1" applyBorder="1" applyAlignment="1" applyProtection="1">
      <alignment horizontal="left"/>
    </xf>
    <xf numFmtId="0" fontId="41" fillId="0" borderId="1" xfId="0" applyFont="1" applyFill="1" applyBorder="1" applyProtection="1"/>
    <xf numFmtId="0" fontId="41" fillId="0" borderId="1" xfId="0" applyFont="1" applyFill="1" applyBorder="1" applyAlignment="1" applyProtection="1">
      <alignment horizontal="center"/>
    </xf>
    <xf numFmtId="0" fontId="42" fillId="0" borderId="1" xfId="0" applyFont="1" applyFill="1" applyBorder="1" applyAlignment="1" applyProtection="1">
      <alignment horizontal="left"/>
    </xf>
    <xf numFmtId="0" fontId="43" fillId="0" borderId="1" xfId="0" applyFont="1" applyFill="1" applyBorder="1" applyAlignment="1" applyProtection="1">
      <alignment horizontal="left"/>
    </xf>
    <xf numFmtId="0" fontId="63" fillId="0" borderId="1" xfId="0" applyFont="1" applyFill="1" applyBorder="1" applyAlignment="1" applyProtection="1">
      <alignment horizontal="left"/>
    </xf>
    <xf numFmtId="0" fontId="0" fillId="0" borderId="1" xfId="0" applyFont="1" applyFill="1" applyBorder="1" applyProtection="1"/>
    <xf numFmtId="0" fontId="0" fillId="0" borderId="1" xfId="0" applyFont="1" applyFill="1" applyBorder="1" applyAlignment="1" applyProtection="1">
      <alignment horizontal="center"/>
    </xf>
    <xf numFmtId="0" fontId="12" fillId="0" borderId="1" xfId="0" applyFont="1" applyFill="1" applyBorder="1" applyAlignment="1" applyProtection="1">
      <alignment horizontal="left"/>
    </xf>
    <xf numFmtId="2" fontId="5" fillId="3" borderId="1" xfId="0" applyNumberFormat="1" applyFont="1" applyFill="1" applyBorder="1" applyAlignment="1" applyProtection="1">
      <alignment horizontal="right"/>
    </xf>
    <xf numFmtId="0" fontId="0" fillId="0" borderId="1" xfId="0" applyFont="1" applyBorder="1" applyAlignment="1" applyProtection="1">
      <alignment horizontal="center"/>
    </xf>
    <xf numFmtId="2" fontId="0" fillId="0" borderId="1" xfId="0" applyNumberFormat="1" applyFont="1" applyBorder="1" applyAlignment="1" applyProtection="1">
      <alignment horizontal="left"/>
    </xf>
    <xf numFmtId="2" fontId="0" fillId="0" borderId="1" xfId="0" applyNumberFormat="1" applyBorder="1" applyAlignment="1" applyProtection="1">
      <alignment horizontal="right"/>
    </xf>
    <xf numFmtId="0" fontId="54" fillId="0" borderId="1" xfId="0" applyFont="1" applyBorder="1" applyAlignment="1" applyProtection="1">
      <alignment horizontal="right"/>
    </xf>
    <xf numFmtId="0" fontId="11" fillId="0" borderId="1" xfId="0" applyFont="1" applyBorder="1" applyProtection="1"/>
    <xf numFmtId="0" fontId="37" fillId="0" borderId="1" xfId="0" applyFont="1" applyBorder="1" applyAlignment="1" applyProtection="1">
      <alignment horizontal="center"/>
    </xf>
    <xf numFmtId="165" fontId="48" fillId="3" borderId="1" xfId="0" applyNumberFormat="1" applyFont="1" applyFill="1" applyBorder="1" applyProtection="1"/>
    <xf numFmtId="0" fontId="10" fillId="0" borderId="1" xfId="0" applyFont="1" applyBorder="1" applyAlignment="1" applyProtection="1">
      <alignment horizontal="left"/>
    </xf>
    <xf numFmtId="0" fontId="48" fillId="0" borderId="1" xfId="0" applyFont="1" applyBorder="1" applyProtection="1"/>
    <xf numFmtId="2" fontId="48" fillId="3" borderId="1" xfId="0" applyNumberFormat="1" applyFont="1" applyFill="1" applyBorder="1" applyAlignment="1" applyProtection="1">
      <alignment horizontal="right"/>
    </xf>
    <xf numFmtId="0" fontId="70" fillId="0" borderId="1" xfId="0" applyFont="1" applyFill="1" applyBorder="1" applyAlignment="1" applyProtection="1">
      <alignment horizontal="left"/>
    </xf>
    <xf numFmtId="0" fontId="7" fillId="0" borderId="1" xfId="0" applyFont="1" applyBorder="1" applyAlignment="1" applyProtection="1">
      <alignment horizontal="center"/>
    </xf>
    <xf numFmtId="0" fontId="0" fillId="2" borderId="1" xfId="0" applyFont="1" applyFill="1" applyBorder="1" applyProtection="1">
      <protection locked="0"/>
    </xf>
    <xf numFmtId="0" fontId="5" fillId="0" borderId="0" xfId="0" applyFont="1" applyFill="1" applyProtection="1"/>
    <xf numFmtId="0" fontId="21" fillId="3" borderId="1" xfId="0" applyFont="1" applyFill="1" applyBorder="1" applyProtection="1"/>
    <xf numFmtId="0" fontId="19" fillId="3" borderId="1" xfId="0" applyFont="1" applyFill="1" applyBorder="1" applyProtection="1"/>
    <xf numFmtId="165" fontId="1" fillId="3" borderId="1" xfId="0" applyNumberFormat="1" applyFont="1" applyFill="1" applyBorder="1" applyProtection="1"/>
    <xf numFmtId="0" fontId="49" fillId="0" borderId="0" xfId="0" applyFont="1" applyProtection="1"/>
    <xf numFmtId="0" fontId="0" fillId="3" borderId="1" xfId="0" applyFont="1" applyFill="1" applyBorder="1" applyProtection="1"/>
    <xf numFmtId="0" fontId="12" fillId="3" borderId="1" xfId="0" applyFont="1" applyFill="1" applyBorder="1" applyProtection="1"/>
    <xf numFmtId="2" fontId="1" fillId="3" borderId="1" xfId="0" applyNumberFormat="1" applyFont="1" applyFill="1" applyBorder="1" applyProtection="1"/>
    <xf numFmtId="0" fontId="0" fillId="7" borderId="0" xfId="0" applyFill="1" applyBorder="1" applyProtection="1"/>
    <xf numFmtId="0" fontId="5" fillId="0" borderId="0" xfId="0" applyFont="1" applyAlignment="1" applyProtection="1"/>
    <xf numFmtId="0" fontId="0" fillId="2" borderId="1" xfId="0" applyFill="1" applyBorder="1" applyAlignment="1" applyProtection="1">
      <alignment wrapText="1"/>
    </xf>
    <xf numFmtId="0" fontId="0" fillId="3" borderId="1" xfId="0" applyFill="1" applyBorder="1" applyAlignment="1" applyProtection="1">
      <alignment wrapText="1"/>
    </xf>
    <xf numFmtId="0" fontId="0" fillId="9" borderId="1" xfId="0" applyFill="1" applyBorder="1" applyAlignment="1" applyProtection="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NumberFormat="1"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NumberFormat="1" applyFont="1" applyFill="1" applyBorder="1" applyProtection="1">
      <protection locked="0"/>
    </xf>
    <xf numFmtId="0" fontId="7" fillId="2" borderId="1" xfId="0" applyNumberFormat="1" applyFont="1" applyFill="1" applyBorder="1" applyProtection="1">
      <protection locked="0"/>
    </xf>
    <xf numFmtId="0" fontId="7" fillId="2" borderId="1" xfId="0" applyNumberFormat="1"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Border="1" applyProtection="1">
      <protection locked="0"/>
    </xf>
    <xf numFmtId="0" fontId="35" fillId="9" borderId="0" xfId="1" applyFont="1" applyFill="1" applyBorder="1" applyProtection="1">
      <protection locked="0"/>
    </xf>
    <xf numFmtId="0" fontId="35" fillId="0" borderId="0" xfId="0" applyFont="1" applyBorder="1" applyProtection="1">
      <protection locked="0"/>
    </xf>
    <xf numFmtId="2" fontId="15" fillId="2" borderId="1" xfId="1" applyNumberFormat="1" applyFill="1" applyBorder="1" applyProtection="1">
      <protection locked="0"/>
    </xf>
    <xf numFmtId="0" fontId="6" fillId="0" borderId="0" xfId="0" applyFont="1" applyProtection="1"/>
    <xf numFmtId="0" fontId="38" fillId="3" borderId="1" xfId="0" applyFont="1" applyFill="1" applyBorder="1" applyProtection="1"/>
    <xf numFmtId="0" fontId="8" fillId="0" borderId="0" xfId="0" applyFont="1" applyFill="1" applyBorder="1" applyProtection="1"/>
    <xf numFmtId="0" fontId="9" fillId="0" borderId="0" xfId="0" applyFont="1" applyProtection="1"/>
    <xf numFmtId="11" fontId="51" fillId="9" borderId="0" xfId="0" applyNumberFormat="1" applyFont="1" applyFill="1" applyProtection="1"/>
    <xf numFmtId="0" fontId="10" fillId="0" borderId="0" xfId="0" applyFont="1" applyProtection="1"/>
    <xf numFmtId="165" fontId="11" fillId="3" borderId="1" xfId="0" applyNumberFormat="1" applyFont="1" applyFill="1" applyBorder="1" applyProtection="1"/>
    <xf numFmtId="0" fontId="2" fillId="0" borderId="0" xfId="0" applyFont="1" applyAlignment="1" applyProtection="1">
      <alignment vertical="center"/>
    </xf>
    <xf numFmtId="0" fontId="1" fillId="9" borderId="0" xfId="0" applyFont="1" applyFill="1" applyAlignment="1" applyProtection="1">
      <alignment vertical="center"/>
    </xf>
    <xf numFmtId="0" fontId="1" fillId="9" borderId="0" xfId="0" applyFont="1" applyFill="1" applyProtection="1"/>
    <xf numFmtId="0" fontId="61" fillId="9" borderId="0" xfId="0" applyFont="1" applyFill="1" applyProtection="1"/>
    <xf numFmtId="0" fontId="0" fillId="9" borderId="0" xfId="0" applyFont="1" applyFill="1" applyAlignment="1" applyProtection="1">
      <alignment vertical="center"/>
    </xf>
    <xf numFmtId="0" fontId="0" fillId="9" borderId="0" xfId="0" applyFont="1" applyFill="1" applyProtection="1"/>
    <xf numFmtId="0" fontId="16" fillId="0" borderId="0" xfId="0" applyFont="1" applyProtection="1"/>
    <xf numFmtId="0" fontId="5" fillId="0" borderId="1" xfId="0" applyFont="1" applyFill="1" applyBorder="1" applyProtection="1"/>
    <xf numFmtId="0" fontId="5" fillId="0" borderId="1" xfId="0" applyFont="1" applyBorder="1" applyProtection="1"/>
    <xf numFmtId="0" fontId="7" fillId="0" borderId="1" xfId="0" applyFont="1" applyBorder="1" applyAlignment="1" applyProtection="1">
      <alignment horizontal="left"/>
    </xf>
    <xf numFmtId="0" fontId="82" fillId="0" borderId="1" xfId="0" applyFont="1" applyBorder="1" applyAlignment="1" applyProtection="1"/>
    <xf numFmtId="164" fontId="11" fillId="3" borderId="1" xfId="0" applyNumberFormat="1" applyFont="1" applyFill="1" applyBorder="1" applyAlignment="1" applyProtection="1">
      <alignment horizontal="right"/>
    </xf>
    <xf numFmtId="0" fontId="53" fillId="0" borderId="1" xfId="0" applyFont="1" applyFill="1" applyBorder="1" applyAlignment="1" applyProtection="1">
      <alignment horizontal="left"/>
    </xf>
    <xf numFmtId="0" fontId="39" fillId="0" borderId="1" xfId="0" applyFont="1" applyFill="1" applyBorder="1" applyAlignment="1" applyProtection="1">
      <alignment horizontal="left"/>
    </xf>
    <xf numFmtId="0" fontId="22" fillId="0" borderId="1" xfId="0" applyFont="1" applyBorder="1" applyAlignment="1" applyProtection="1">
      <alignment horizontal="center"/>
    </xf>
    <xf numFmtId="0" fontId="11" fillId="0" borderId="1" xfId="0" applyFont="1" applyBorder="1" applyAlignment="1" applyProtection="1">
      <alignment horizontal="left"/>
    </xf>
    <xf numFmtId="14" fontId="0" fillId="0" borderId="0" xfId="0" applyNumberFormat="1"/>
    <xf numFmtId="0" fontId="1" fillId="9" borderId="1" xfId="0" applyFont="1" applyFill="1" applyBorder="1"/>
    <xf numFmtId="0" fontId="83" fillId="0" borderId="0" xfId="0" applyFont="1" applyProtection="1"/>
    <xf numFmtId="0" fontId="12" fillId="0" borderId="1" xfId="0" applyFont="1" applyBorder="1" applyProtection="1"/>
    <xf numFmtId="0" fontId="0" fillId="0" borderId="0" xfId="0" quotePrefix="1" applyFill="1" applyBorder="1"/>
    <xf numFmtId="0" fontId="10" fillId="0" borderId="1" xfId="0" applyFont="1" applyBorder="1" applyProtection="1"/>
    <xf numFmtId="0" fontId="7" fillId="0" borderId="1" xfId="0" applyFont="1" applyBorder="1" applyAlignment="1" applyProtection="1">
      <alignment horizontal="right"/>
    </xf>
    <xf numFmtId="0" fontId="7" fillId="0" borderId="1" xfId="0" applyFont="1" applyBorder="1" applyAlignment="1" applyProtection="1"/>
    <xf numFmtId="170" fontId="0" fillId="9" borderId="1" xfId="0" applyNumberFormat="1" applyFill="1" applyBorder="1" applyAlignment="1" applyProtection="1">
      <alignment horizontal="right"/>
    </xf>
    <xf numFmtId="0" fontId="48" fillId="3" borderId="1" xfId="0" applyFont="1" applyFill="1" applyBorder="1" applyAlignment="1" applyProtection="1">
      <alignment horizontal="right"/>
    </xf>
    <xf numFmtId="0" fontId="37" fillId="0" borderId="1" xfId="0" applyFont="1" applyBorder="1" applyAlignment="1" applyProtection="1">
      <alignment horizontal="left"/>
    </xf>
    <xf numFmtId="2" fontId="7" fillId="9" borderId="1" xfId="0" applyNumberFormat="1" applyFont="1" applyFill="1" applyBorder="1" applyAlignment="1" applyProtection="1">
      <alignment horizontal="right"/>
    </xf>
    <xf numFmtId="171" fontId="0" fillId="9" borderId="1" xfId="0" applyNumberFormat="1" applyFill="1" applyBorder="1"/>
    <xf numFmtId="166" fontId="0" fillId="9" borderId="1" xfId="0" applyNumberFormat="1" applyFill="1" applyBorder="1" applyProtection="1"/>
    <xf numFmtId="2" fontId="40" fillId="9" borderId="1" xfId="0" applyNumberFormat="1" applyFont="1" applyFill="1" applyBorder="1" applyAlignment="1" applyProtection="1">
      <alignment horizontal="right"/>
    </xf>
    <xf numFmtId="165" fontId="41" fillId="9" borderId="1" xfId="0" applyNumberFormat="1" applyFont="1" applyFill="1" applyBorder="1" applyAlignment="1" applyProtection="1">
      <alignment horizontal="right"/>
    </xf>
    <xf numFmtId="166" fontId="41" fillId="9" borderId="1" xfId="0" applyNumberFormat="1" applyFont="1" applyFill="1" applyBorder="1" applyAlignment="1" applyProtection="1">
      <alignment horizontal="right"/>
    </xf>
    <xf numFmtId="165" fontId="10" fillId="9" borderId="1" xfId="0" applyNumberFormat="1" applyFont="1" applyFill="1" applyBorder="1" applyAlignment="1" applyProtection="1">
      <alignment horizontal="right"/>
    </xf>
    <xf numFmtId="164" fontId="1" fillId="9" borderId="1" xfId="0" applyNumberFormat="1" applyFont="1" applyFill="1" applyBorder="1" applyAlignment="1" applyProtection="1">
      <alignment horizontal="right"/>
    </xf>
    <xf numFmtId="164" fontId="37" fillId="9" borderId="1" xfId="0" applyNumberFormat="1" applyFont="1" applyFill="1" applyBorder="1" applyAlignment="1" applyProtection="1">
      <alignment horizontal="right"/>
    </xf>
    <xf numFmtId="0" fontId="37" fillId="0" borderId="1" xfId="0" applyFont="1" applyBorder="1" applyProtection="1"/>
    <xf numFmtId="164" fontId="5" fillId="9" borderId="1" xfId="0" applyNumberFormat="1" applyFont="1" applyFill="1" applyBorder="1" applyAlignment="1" applyProtection="1">
      <alignment horizontal="right"/>
    </xf>
    <xf numFmtId="0" fontId="0" fillId="0" borderId="0" xfId="0" applyProtection="1">
      <protection locked="0"/>
    </xf>
    <xf numFmtId="0" fontId="0" fillId="0" borderId="0" xfId="0" applyAlignment="1" applyProtection="1">
      <alignment horizontal="right"/>
      <protection locked="0"/>
    </xf>
    <xf numFmtId="0" fontId="0" fillId="0" borderId="0" xfId="0" applyAlignment="1" applyProtection="1">
      <protection locked="0"/>
    </xf>
    <xf numFmtId="0" fontId="22" fillId="0" borderId="1" xfId="0" applyFont="1" applyFill="1" applyBorder="1" applyAlignment="1" applyProtection="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applyProtection="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applyProtection="1"/>
    <xf numFmtId="170" fontId="0" fillId="9" borderId="1" xfId="0" applyNumberFormat="1" applyFill="1" applyBorder="1" applyProtection="1"/>
    <xf numFmtId="164" fontId="7" fillId="3" borderId="1" xfId="0" applyNumberFormat="1" applyFont="1" applyFill="1" applyBorder="1" applyProtection="1"/>
    <xf numFmtId="2" fontId="0" fillId="9" borderId="1" xfId="0" applyNumberFormat="1" applyFill="1" applyBorder="1" applyProtection="1"/>
    <xf numFmtId="1" fontId="10" fillId="3" borderId="1" xfId="0" applyNumberFormat="1" applyFont="1" applyFill="1" applyBorder="1"/>
    <xf numFmtId="0" fontId="1" fillId="3" borderId="1" xfId="0" applyFont="1" applyFill="1" applyBorder="1" applyAlignment="1" applyProtection="1">
      <alignment horizontal="right"/>
    </xf>
    <xf numFmtId="0" fontId="6" fillId="0" borderId="1" xfId="0" applyFont="1" applyBorder="1" applyAlignment="1" applyProtection="1"/>
    <xf numFmtId="0" fontId="8" fillId="0" borderId="1" xfId="0" applyFont="1" applyBorder="1" applyAlignment="1" applyProtection="1"/>
    <xf numFmtId="1" fontId="7" fillId="9" borderId="1" xfId="0" applyNumberFormat="1" applyFont="1" applyFill="1" applyBorder="1"/>
    <xf numFmtId="1" fontId="0" fillId="9" borderId="0" xfId="0" applyNumberFormat="1" applyFont="1" applyFill="1" applyBorder="1"/>
    <xf numFmtId="1" fontId="0" fillId="9" borderId="0" xfId="0" applyNumberFormat="1" applyFont="1" applyFill="1" applyBorder="1" applyAlignment="1">
      <alignment horizontal="right"/>
    </xf>
    <xf numFmtId="164" fontId="1" fillId="9" borderId="15" xfId="0" applyNumberFormat="1" applyFont="1" applyFill="1" applyBorder="1"/>
    <xf numFmtId="2" fontId="0" fillId="2" borderId="1" xfId="0" applyNumberFormat="1" applyFont="1" applyFill="1" applyBorder="1" applyProtection="1">
      <protection locked="0"/>
    </xf>
    <xf numFmtId="0" fontId="86" fillId="0" borderId="0" xfId="0" applyFont="1" applyProtection="1"/>
    <xf numFmtId="2" fontId="1" fillId="3" borderId="1" xfId="0" quotePrefix="1" applyNumberFormat="1" applyFont="1" applyFill="1" applyBorder="1"/>
    <xf numFmtId="0" fontId="89" fillId="0" borderId="0" xfId="0" applyFont="1" applyProtection="1">
      <protection locked="0"/>
    </xf>
    <xf numFmtId="0" fontId="0" fillId="0" borderId="0" xfId="0" applyAlignment="1"/>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0" fillId="0" borderId="0" xfId="0" applyNumberFormat="1"/>
    <xf numFmtId="0" fontId="7" fillId="2" borderId="1" xfId="1" applyFont="1" applyFill="1" applyBorder="1" applyAlignment="1" applyProtection="1">
      <alignment horizontal="right"/>
      <protection locked="0"/>
    </xf>
    <xf numFmtId="0" fontId="1" fillId="0" borderId="0" xfId="0" applyFont="1" applyFill="1" applyBorder="1" applyAlignment="1">
      <alignment horizontal="right"/>
    </xf>
    <xf numFmtId="0" fontId="0" fillId="0" borderId="0" xfId="0" applyNumberFormat="1" applyAlignment="1">
      <alignment horizontal="right"/>
    </xf>
    <xf numFmtId="0" fontId="12" fillId="3" borderId="1" xfId="0" applyFont="1" applyFill="1" applyBorder="1" applyAlignment="1" applyProtection="1">
      <alignment horizontal="right"/>
    </xf>
    <xf numFmtId="0" fontId="12" fillId="3" borderId="1" xfId="0" applyFont="1" applyFill="1" applyBorder="1" applyAlignment="1" applyProtection="1">
      <alignment horizontal="left"/>
    </xf>
    <xf numFmtId="0" fontId="39" fillId="0" borderId="0" xfId="0" applyFont="1" applyFill="1" applyBorder="1" applyAlignment="1">
      <alignment horizontal="right"/>
    </xf>
    <xf numFmtId="0" fontId="0" fillId="0" borderId="0" xfId="0" applyFill="1" applyBorder="1" applyAlignment="1" applyProtection="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pplyProtection="1">
      <alignment horizontal="right"/>
    </xf>
    <xf numFmtId="11" fontId="12" fillId="3" borderId="1" xfId="0" applyNumberFormat="1" applyFont="1" applyFill="1" applyBorder="1" applyAlignment="1" applyProtection="1">
      <alignment horizontal="right"/>
    </xf>
    <xf numFmtId="0" fontId="39" fillId="0" borderId="0" xfId="0" applyFont="1" applyBorder="1" applyAlignment="1">
      <alignment horizontal="right"/>
    </xf>
    <xf numFmtId="0" fontId="1" fillId="0" borderId="0" xfId="0" applyFont="1" applyAlignment="1">
      <alignment horizontal="right"/>
    </xf>
    <xf numFmtId="165" fontId="7" fillId="3" borderId="1" xfId="0" applyNumberFormat="1" applyFont="1" applyFill="1" applyBorder="1"/>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applyProtection="1"/>
    <xf numFmtId="0" fontId="26" fillId="0" borderId="0" xfId="0" applyFont="1" applyAlignment="1" applyProtection="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6" fillId="0" borderId="0" xfId="0" applyFont="1"/>
    <xf numFmtId="0" fontId="26" fillId="0" borderId="0" xfId="0" applyFont="1" applyAlignment="1" applyProtection="1">
      <alignment vertical="center" wrapText="1"/>
    </xf>
    <xf numFmtId="0" fontId="0" fillId="0" borderId="0" xfId="0" applyAlignment="1">
      <alignment vertical="center" wrapText="1"/>
    </xf>
    <xf numFmtId="0" fontId="91" fillId="0" borderId="0" xfId="0" applyFont="1" applyAlignment="1">
      <alignment vertical="center" wrapText="1"/>
    </xf>
    <xf numFmtId="0" fontId="19" fillId="0" borderId="0" xfId="0" applyFont="1" applyFill="1" applyBorder="1" applyProtection="1">
      <protection locked="0"/>
    </xf>
    <xf numFmtId="0" fontId="0" fillId="0" borderId="0" xfId="0" applyFont="1" applyBorder="1"/>
    <xf numFmtId="0" fontId="88" fillId="7" borderId="0" xfId="0" applyFont="1" applyFill="1" applyBorder="1"/>
    <xf numFmtId="0" fontId="93" fillId="0" borderId="0" xfId="0" applyFont="1"/>
    <xf numFmtId="165" fontId="0" fillId="9" borderId="0" xfId="0" applyNumberFormat="1" applyFont="1" applyFill="1" applyBorder="1"/>
    <xf numFmtId="165" fontId="0" fillId="0" borderId="0" xfId="0" applyNumberFormat="1" applyFont="1" applyFill="1" applyBorder="1"/>
    <xf numFmtId="0" fontId="36" fillId="7" borderId="0" xfId="0" applyFont="1" applyFill="1" applyProtection="1">
      <protection locked="0"/>
    </xf>
    <xf numFmtId="0" fontId="74" fillId="7" borderId="0" xfId="0" applyFont="1" applyFill="1" applyProtection="1">
      <protection locked="0"/>
    </xf>
    <xf numFmtId="1" fontId="7" fillId="3" borderId="1" xfId="0" applyNumberFormat="1" applyFont="1" applyFill="1" applyBorder="1"/>
    <xf numFmtId="2" fontId="0" fillId="9" borderId="0" xfId="0" applyNumberFormat="1" applyFont="1" applyFill="1"/>
    <xf numFmtId="1" fontId="0" fillId="3" borderId="1" xfId="0" applyNumberFormat="1" applyFont="1" applyFill="1" applyBorder="1"/>
    <xf numFmtId="1" fontId="0" fillId="3" borderId="7" xfId="0" applyNumberFormat="1" applyFont="1" applyFill="1" applyBorder="1"/>
    <xf numFmtId="0" fontId="0" fillId="0" borderId="1" xfId="0" applyFont="1" applyBorder="1"/>
    <xf numFmtId="0" fontId="74" fillId="0" borderId="1" xfId="0" applyFont="1" applyFill="1" applyBorder="1" applyProtection="1">
      <protection locked="0"/>
    </xf>
    <xf numFmtId="0" fontId="74" fillId="0" borderId="0" xfId="0" applyFont="1" applyFill="1" applyBorder="1"/>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0" fontId="5" fillId="0" borderId="0" xfId="0" applyFont="1" applyProtection="1"/>
    <xf numFmtId="0" fontId="5" fillId="0" borderId="0" xfId="0" applyFont="1" applyFill="1" applyBorder="1" applyProtection="1"/>
    <xf numFmtId="165" fontId="7" fillId="0" borderId="9" xfId="0" applyNumberFormat="1" applyFont="1" applyFill="1" applyBorder="1" applyProtection="1"/>
    <xf numFmtId="0" fontId="0" fillId="0" borderId="0" xfId="0" applyFill="1" applyBorder="1" applyProtection="1"/>
    <xf numFmtId="2" fontId="7" fillId="3" borderId="1" xfId="0" applyNumberFormat="1" applyFont="1" applyFill="1" applyBorder="1" applyProtection="1"/>
    <xf numFmtId="165" fontId="7" fillId="9" borderId="1" xfId="0" applyNumberFormat="1" applyFont="1" applyFill="1" applyBorder="1" applyProtection="1"/>
    <xf numFmtId="0" fontId="0" fillId="0" borderId="1" xfId="0" applyBorder="1" applyProtection="1">
      <protection locked="0"/>
    </xf>
    <xf numFmtId="2" fontId="0" fillId="0" borderId="0" xfId="0" applyNumberFormat="1"/>
    <xf numFmtId="165" fontId="0" fillId="0" borderId="0" xfId="0" applyNumberFormat="1"/>
    <xf numFmtId="0" fontId="0" fillId="0" borderId="0" xfId="0" applyAlignment="1">
      <alignment horizontal="center"/>
    </xf>
    <xf numFmtId="0" fontId="30" fillId="0" borderId="0" xfId="3" applyProtection="1">
      <protection locked="0"/>
    </xf>
    <xf numFmtId="0" fontId="5" fillId="0" borderId="0" xfId="0" applyFont="1" applyFill="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0" fontId="0" fillId="0" borderId="1" xfId="0" applyBorder="1" applyAlignment="1">
      <alignment horizontal="center"/>
    </xf>
    <xf numFmtId="165" fontId="0" fillId="3" borderId="1" xfId="0" applyNumberFormat="1" applyFill="1" applyBorder="1" applyAlignment="1">
      <alignment horizontal="righ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0" borderId="0" xfId="0" applyFill="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1" fillId="9" borderId="0" xfId="0" applyFont="1" applyFill="1" applyBorder="1"/>
    <xf numFmtId="0" fontId="0" fillId="9" borderId="0" xfId="0" applyFill="1" applyAlignment="1">
      <alignment horizontal="center"/>
    </xf>
    <xf numFmtId="0" fontId="0" fillId="9" borderId="0" xfId="0" applyFill="1" applyBorder="1"/>
    <xf numFmtId="169" fontId="0" fillId="9" borderId="1" xfId="0" applyNumberFormat="1" applyFill="1" applyBorder="1" applyAlignment="1" applyProtection="1">
      <alignment horizontal="center"/>
      <protection locked="0"/>
    </xf>
    <xf numFmtId="0" fontId="0" fillId="9" borderId="0" xfId="0" applyFill="1" applyBorder="1" applyAlignment="1">
      <alignment horizontal="center"/>
    </xf>
    <xf numFmtId="0" fontId="19" fillId="9" borderId="0" xfId="0" applyFont="1" applyFill="1" applyBorder="1" applyAlignment="1">
      <alignment horizontal="left"/>
    </xf>
    <xf numFmtId="168" fontId="19" fillId="9" borderId="0" xfId="0" applyNumberFormat="1" applyFont="1" applyFill="1" applyBorder="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Border="1" applyAlignment="1">
      <alignment horizontal="left"/>
    </xf>
    <xf numFmtId="0" fontId="5" fillId="0" borderId="0" xfId="0" applyFont="1" applyFill="1" applyBorder="1"/>
    <xf numFmtId="2" fontId="20" fillId="0" borderId="0" xfId="0" applyNumberFormat="1" applyFont="1" applyFill="1" applyBorder="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ont="1" applyFill="1" applyBorder="1" applyAlignment="1">
      <alignment horizontal="right"/>
    </xf>
    <xf numFmtId="0" fontId="0" fillId="0" borderId="0" xfId="0" applyFont="1" applyAlignment="1">
      <alignment horizontal="left"/>
    </xf>
    <xf numFmtId="165" fontId="28" fillId="9" borderId="1" xfId="0" applyNumberFormat="1" applyFont="1" applyFill="1" applyBorder="1" applyAlignment="1">
      <alignment horizontal="center"/>
    </xf>
    <xf numFmtId="0" fontId="0" fillId="0" borderId="0" xfId="0" applyFont="1" applyAlignment="1">
      <alignment horizontal="center"/>
    </xf>
    <xf numFmtId="165" fontId="0" fillId="9" borderId="1" xfId="0" applyNumberFormat="1" applyFont="1" applyFill="1" applyBorder="1" applyAlignment="1">
      <alignment horizontal="center"/>
    </xf>
    <xf numFmtId="0" fontId="0" fillId="9" borderId="1" xfId="0" applyFont="1" applyFill="1" applyBorder="1" applyAlignment="1">
      <alignment horizontal="center"/>
    </xf>
    <xf numFmtId="168" fontId="21" fillId="0" borderId="0" xfId="0" applyNumberFormat="1" applyFont="1" applyFill="1" applyBorder="1" applyAlignment="1">
      <alignment horizontal="left"/>
    </xf>
    <xf numFmtId="2" fontId="1" fillId="3" borderId="1" xfId="0" applyNumberFormat="1" applyFont="1" applyFill="1" applyBorder="1" applyAlignment="1">
      <alignment horizontal="right"/>
    </xf>
    <xf numFmtId="0" fontId="7" fillId="0" borderId="0" xfId="0" applyFont="1" applyBorder="1"/>
    <xf numFmtId="0" fontId="95" fillId="0" borderId="0" xfId="0" applyFont="1" applyAlignment="1">
      <alignment horizontal="left"/>
    </xf>
    <xf numFmtId="0" fontId="52" fillId="0" borderId="0" xfId="0" applyFont="1" applyBorder="1"/>
    <xf numFmtId="0" fontId="52" fillId="9" borderId="11" xfId="0" applyNumberFormat="1" applyFont="1" applyFill="1" applyBorder="1" applyAlignment="1" applyProtection="1">
      <alignment horizontal="right"/>
      <protection locked="0"/>
    </xf>
    <xf numFmtId="0" fontId="26" fillId="0" borderId="0" xfId="0" applyFont="1" applyAlignment="1">
      <alignment horizontal="left"/>
    </xf>
    <xf numFmtId="0" fontId="52" fillId="9" borderId="11" xfId="0" applyNumberFormat="1" applyFont="1" applyFill="1" applyBorder="1"/>
    <xf numFmtId="0" fontId="19" fillId="0" borderId="0" xfId="0" applyFont="1" applyFill="1" applyBorder="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applyBorder="1"/>
    <xf numFmtId="2" fontId="0" fillId="3" borderId="16" xfId="0" applyNumberFormat="1" applyFill="1" applyBorder="1" applyAlignment="1">
      <alignment horizontal="right"/>
    </xf>
    <xf numFmtId="0" fontId="0" fillId="0" borderId="0" xfId="0" applyFill="1" applyBorder="1" applyAlignment="1">
      <alignment horizontal="left"/>
    </xf>
    <xf numFmtId="2" fontId="0" fillId="0" borderId="0" xfId="0" applyNumberFormat="1" applyFill="1" applyBorder="1" applyAlignment="1">
      <alignment horizontal="center"/>
    </xf>
    <xf numFmtId="2" fontId="0" fillId="9" borderId="1" xfId="0" applyNumberFormat="1" applyFill="1" applyBorder="1" applyAlignment="1">
      <alignment horizontal="right"/>
    </xf>
    <xf numFmtId="0" fontId="19" fillId="0" borderId="1" xfId="0" applyFont="1" applyFill="1" applyBorder="1" applyAlignment="1">
      <alignment horizontal="left"/>
    </xf>
    <xf numFmtId="0" fontId="0" fillId="0" borderId="0" xfId="0" applyFill="1" applyProtection="1">
      <protection locked="0"/>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0" fillId="0" borderId="0" xfId="0" applyAlignment="1">
      <alignment horizontal="center"/>
    </xf>
    <xf numFmtId="0" fontId="0" fillId="0" borderId="0" xfId="0" applyAlignment="1">
      <alignment horizontal="center"/>
    </xf>
    <xf numFmtId="0" fontId="18" fillId="0" borderId="0" xfId="0" applyFont="1" applyBorder="1" applyAlignment="1">
      <alignment wrapText="1"/>
    </xf>
    <xf numFmtId="2" fontId="11" fillId="0" borderId="0" xfId="0" applyNumberFormat="1" applyFont="1" applyFill="1" applyBorder="1" applyAlignment="1">
      <alignment vertical="center"/>
    </xf>
    <xf numFmtId="0" fontId="11" fillId="0" borderId="0" xfId="0" applyFont="1" applyFill="1" applyBorder="1"/>
    <xf numFmtId="165" fontId="7" fillId="9" borderId="1" xfId="0" applyNumberFormat="1" applyFont="1" applyFill="1" applyBorder="1" applyProtection="1">
      <protection locked="0"/>
    </xf>
    <xf numFmtId="166" fontId="7" fillId="9" borderId="1" xfId="0" applyNumberFormat="1" applyFont="1" applyFill="1" applyBorder="1"/>
    <xf numFmtId="2" fontId="0" fillId="9" borderId="1" xfId="0" applyNumberFormat="1" applyFill="1" applyBorder="1"/>
    <xf numFmtId="1" fontId="0" fillId="9" borderId="1" xfId="0" applyNumberFormat="1" applyFill="1" applyBorder="1"/>
    <xf numFmtId="165" fontId="7" fillId="9" borderId="1" xfId="0" applyNumberFormat="1" applyFont="1" applyFill="1" applyBorder="1"/>
    <xf numFmtId="0" fontId="7" fillId="0" borderId="0" xfId="0" applyFont="1" applyFill="1" applyBorder="1"/>
    <xf numFmtId="0" fontId="0" fillId="0" borderId="0" xfId="0" applyBorder="1" applyAlignment="1">
      <alignment wrapText="1"/>
    </xf>
    <xf numFmtId="0" fontId="37" fillId="0" borderId="0" xfId="0" applyFont="1" applyFill="1" applyBorder="1" applyAlignment="1">
      <alignment vertical="center" wrapText="1"/>
    </xf>
    <xf numFmtId="0" fontId="0" fillId="2" borderId="1" xfId="0" applyFill="1" applyBorder="1" applyAlignment="1" applyProtection="1">
      <alignment horizontal="center"/>
      <protection locked="0"/>
    </xf>
    <xf numFmtId="0" fontId="0" fillId="0" borderId="0" xfId="0" applyAlignment="1">
      <alignment horizontal="center"/>
    </xf>
    <xf numFmtId="165" fontId="0" fillId="9" borderId="1" xfId="0" applyNumberFormat="1" applyFill="1" applyBorder="1" applyProtection="1">
      <protection locked="0"/>
    </xf>
    <xf numFmtId="0" fontId="97" fillId="0" borderId="0" xfId="0" applyFont="1" applyProtection="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Fill="1" applyBorder="1" applyProtection="1">
      <protection locked="0"/>
    </xf>
    <xf numFmtId="0" fontId="0" fillId="0" borderId="17" xfId="0" applyFill="1" applyBorder="1" applyProtection="1">
      <protection locked="0"/>
    </xf>
    <xf numFmtId="0" fontId="0" fillId="0" borderId="17" xfId="0" applyBorder="1" applyAlignment="1" applyProtection="1">
      <alignment horizontal="right"/>
      <protection locked="0"/>
    </xf>
    <xf numFmtId="0" fontId="0" fillId="0" borderId="17" xfId="0" applyBorder="1" applyAlignment="1" applyProtection="1">
      <protection locked="0"/>
    </xf>
    <xf numFmtId="0" fontId="0" fillId="0" borderId="17" xfId="0" applyBorder="1" applyProtection="1">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0" fontId="0" fillId="9" borderId="17" xfId="0" applyFill="1" applyBorder="1" applyAlignment="1" applyProtection="1">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pplyProtection="1">
      <alignment vertical="center"/>
    </xf>
    <xf numFmtId="1" fontId="7" fillId="3" borderId="1" xfId="0" applyNumberFormat="1" applyFont="1" applyFill="1" applyBorder="1" applyProtection="1">
      <protection locked="0"/>
    </xf>
    <xf numFmtId="0" fontId="8" fillId="0" borderId="0" xfId="0" applyFont="1" applyFill="1" applyBorder="1"/>
    <xf numFmtId="0" fontId="0" fillId="0" borderId="0" xfId="0" applyFont="1" applyFill="1"/>
    <xf numFmtId="0" fontId="29" fillId="0" borderId="0" xfId="0" applyFont="1" applyFill="1"/>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Fill="1" applyBorder="1" applyProtection="1">
      <protection locked="0"/>
    </xf>
    <xf numFmtId="0" fontId="7" fillId="0" borderId="16" xfId="0" applyFont="1" applyBorder="1"/>
    <xf numFmtId="165" fontId="11" fillId="0" borderId="0" xfId="0" applyNumberFormat="1" applyFont="1" applyFill="1" applyBorder="1"/>
    <xf numFmtId="2" fontId="37" fillId="0" borderId="0" xfId="0" applyNumberFormat="1" applyFont="1" applyFill="1" applyBorder="1"/>
    <xf numFmtId="0" fontId="18" fillId="0" borderId="0" xfId="0" applyFont="1" applyFill="1" applyBorder="1" applyAlignment="1">
      <alignment wrapText="1"/>
    </xf>
    <xf numFmtId="0" fontId="21" fillId="0" borderId="0" xfId="0" applyFont="1" applyFill="1" applyBorder="1"/>
    <xf numFmtId="166" fontId="37" fillId="9" borderId="0" xfId="0" applyNumberFormat="1" applyFont="1" applyFill="1" applyBorder="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NumberFormat="1" applyFont="1" applyFill="1" applyBorder="1"/>
    <xf numFmtId="0" fontId="0" fillId="0" borderId="0" xfId="0" applyAlignment="1">
      <alignment vertical="center"/>
    </xf>
    <xf numFmtId="0" fontId="0" fillId="0" borderId="0" xfId="0" quotePrefix="1"/>
    <xf numFmtId="165" fontId="18" fillId="3" borderId="1" xfId="0" applyNumberFormat="1" applyFont="1" applyFill="1" applyBorder="1"/>
    <xf numFmtId="0" fontId="7" fillId="3" borderId="1" xfId="0" applyNumberFormat="1" applyFont="1" applyFill="1" applyBorder="1"/>
    <xf numFmtId="0" fontId="37" fillId="3" borderId="1" xfId="0" applyNumberFormat="1"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applyProtection="1"/>
    <xf numFmtId="0" fontId="19" fillId="9" borderId="1" xfId="0" applyFont="1" applyFill="1" applyBorder="1" applyProtection="1"/>
    <xf numFmtId="0" fontId="19" fillId="9" borderId="12" xfId="0" applyFont="1" applyFill="1" applyBorder="1" applyProtection="1"/>
    <xf numFmtId="0" fontId="1" fillId="9" borderId="16" xfId="0" applyFont="1" applyFill="1" applyBorder="1" applyAlignment="1" applyProtection="1">
      <alignment horizontal="center"/>
    </xf>
    <xf numFmtId="0" fontId="1" fillId="2" borderId="16" xfId="0" applyFont="1" applyFill="1" applyBorder="1" applyAlignment="1" applyProtection="1">
      <alignment horizontal="center"/>
      <protection locked="0"/>
    </xf>
    <xf numFmtId="0" fontId="10" fillId="0" borderId="0" xfId="0" applyFont="1" applyFill="1" applyBorder="1" applyAlignment="1" applyProtection="1">
      <alignment horizontal="center"/>
      <protection locked="0"/>
    </xf>
    <xf numFmtId="0" fontId="0" fillId="2" borderId="1" xfId="0" applyFont="1" applyFill="1" applyBorder="1" applyAlignment="1" applyProtection="1">
      <alignment horizontal="center"/>
      <protection locked="0"/>
    </xf>
    <xf numFmtId="0" fontId="1" fillId="0" borderId="16" xfId="0" applyFont="1" applyBorder="1"/>
    <xf numFmtId="0" fontId="10" fillId="9" borderId="16" xfId="0" applyFont="1" applyFill="1" applyBorder="1" applyAlignment="1" applyProtection="1">
      <alignment horizontal="center"/>
    </xf>
    <xf numFmtId="164" fontId="11" fillId="3" borderId="1" xfId="0" applyNumberFormat="1" applyFont="1" applyFill="1" applyBorder="1" applyProtection="1"/>
    <xf numFmtId="164" fontId="18" fillId="9" borderId="1" xfId="0" applyNumberFormat="1" applyFont="1" applyFill="1" applyBorder="1"/>
    <xf numFmtId="164" fontId="11" fillId="9" borderId="1" xfId="0" applyNumberFormat="1" applyFont="1" applyFill="1" applyBorder="1" applyProtection="1"/>
    <xf numFmtId="0" fontId="7" fillId="9" borderId="1" xfId="0" applyNumberFormat="1" applyFont="1" applyFill="1" applyBorder="1" applyProtection="1"/>
    <xf numFmtId="2" fontId="5" fillId="3" borderId="1" xfId="0" applyNumberFormat="1" applyFont="1" applyFill="1" applyBorder="1" applyAlignment="1" applyProtection="1">
      <alignment vertical="center"/>
    </xf>
    <xf numFmtId="0" fontId="11" fillId="0" borderId="0" xfId="0" applyFont="1"/>
    <xf numFmtId="0" fontId="0" fillId="0" borderId="0" xfId="0" applyFont="1" applyBorder="1" applyAlignment="1">
      <alignment wrapText="1"/>
    </xf>
    <xf numFmtId="0" fontId="7" fillId="0" borderId="0" xfId="0" applyFont="1" applyFill="1" applyBorder="1" applyAlignment="1">
      <alignment vertical="center" wrapText="1"/>
    </xf>
    <xf numFmtId="2" fontId="18" fillId="3" borderId="1" xfId="0" applyNumberFormat="1" applyFont="1" applyFill="1" applyBorder="1" applyProtection="1"/>
    <xf numFmtId="2" fontId="37" fillId="3" borderId="1" xfId="0" applyNumberFormat="1" applyFont="1" applyFill="1" applyBorder="1"/>
    <xf numFmtId="166" fontId="0" fillId="9" borderId="0" xfId="0" applyNumberFormat="1" applyFill="1"/>
    <xf numFmtId="0" fontId="1" fillId="9" borderId="0" xfId="0" applyFont="1" applyFill="1"/>
    <xf numFmtId="2" fontId="0" fillId="9" borderId="0" xfId="0" applyNumberFormat="1" applyFill="1"/>
    <xf numFmtId="2" fontId="7" fillId="3" borderId="1" xfId="0" applyNumberFormat="1" applyFont="1" applyFill="1" applyBorder="1"/>
    <xf numFmtId="1" fontId="11" fillId="9" borderId="1" xfId="0" applyNumberFormat="1" applyFont="1" applyFill="1" applyBorder="1"/>
    <xf numFmtId="164" fontId="11" fillId="3"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applyFill="1" applyBorder="1"/>
    <xf numFmtId="0" fontId="104" fillId="9" borderId="1" xfId="0" applyNumberFormat="1" applyFont="1" applyFill="1" applyBorder="1" applyAlignment="1">
      <alignment horizontal="right"/>
    </xf>
    <xf numFmtId="0" fontId="104" fillId="0" borderId="0" xfId="0" applyNumberFormat="1" applyFont="1" applyFill="1" applyBorder="1" applyAlignment="1">
      <alignment horizontal="right"/>
    </xf>
    <xf numFmtId="170" fontId="52" fillId="9" borderId="0" xfId="0" applyNumberFormat="1" applyFont="1" applyFill="1" applyBorder="1" applyAlignment="1">
      <alignment horizontal="right"/>
    </xf>
    <xf numFmtId="2" fontId="52" fillId="9" borderId="0" xfId="0" applyNumberFormat="1" applyFont="1" applyFill="1" applyBorder="1" applyAlignment="1">
      <alignment horizontal="right"/>
    </xf>
    <xf numFmtId="0" fontId="52" fillId="9" borderId="0" xfId="0" applyNumberFormat="1" applyFont="1" applyFill="1" applyBorder="1" applyAlignment="1">
      <alignment horizontal="right"/>
    </xf>
    <xf numFmtId="2" fontId="52" fillId="9" borderId="1" xfId="0" applyNumberFormat="1" applyFont="1" applyFill="1" applyBorder="1"/>
    <xf numFmtId="164" fontId="52" fillId="9" borderId="1" xfId="0" applyNumberFormat="1" applyFont="1" applyFill="1" applyBorder="1" applyProtection="1"/>
    <xf numFmtId="165" fontId="52" fillId="9" borderId="1" xfId="0" applyNumberFormat="1" applyFont="1" applyFill="1" applyBorder="1" applyProtection="1"/>
    <xf numFmtId="0" fontId="52" fillId="9" borderId="1" xfId="0" applyNumberFormat="1" applyFont="1" applyFill="1" applyBorder="1" applyProtection="1"/>
    <xf numFmtId="0" fontId="105" fillId="0" borderId="0" xfId="0" applyFont="1" applyBorder="1"/>
    <xf numFmtId="0" fontId="52" fillId="0" borderId="0" xfId="0" applyNumberFormat="1" applyFont="1" applyFill="1" applyBorder="1" applyAlignment="1">
      <alignment horizontal="right"/>
    </xf>
    <xf numFmtId="166" fontId="52" fillId="9" borderId="0" xfId="0" applyNumberFormat="1" applyFont="1" applyFill="1" applyBorder="1" applyAlignment="1">
      <alignment horizontal="right"/>
    </xf>
    <xf numFmtId="0" fontId="7" fillId="3" borderId="1" xfId="0" applyNumberFormat="1" applyFont="1" applyFill="1" applyBorder="1" applyAlignment="1">
      <alignment horizontal="right"/>
    </xf>
    <xf numFmtId="2" fontId="37" fillId="0" borderId="0" xfId="0" applyNumberFormat="1" applyFont="1" applyFill="1" applyBorder="1" applyProtection="1">
      <protection locked="0"/>
    </xf>
    <xf numFmtId="0" fontId="54" fillId="0" borderId="0" xfId="0" applyFont="1"/>
    <xf numFmtId="165" fontId="54" fillId="0" borderId="0" xfId="0" applyNumberFormat="1" applyFont="1"/>
    <xf numFmtId="0" fontId="52" fillId="0" borderId="0" xfId="0" applyFont="1" applyBorder="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NumberFormat="1" applyFont="1" applyFill="1" applyBorder="1" applyAlignment="1">
      <alignment horizontal="right"/>
    </xf>
    <xf numFmtId="1" fontId="7" fillId="3" borderId="1" xfId="0" applyNumberFormat="1" applyFont="1" applyFill="1" applyBorder="1" applyAlignment="1">
      <alignment horizontal="right"/>
    </xf>
    <xf numFmtId="0" fontId="52" fillId="0" borderId="0" xfId="0" applyFont="1" applyFill="1" applyBorder="1"/>
    <xf numFmtId="0" fontId="102" fillId="0" borderId="0" xfId="0" applyFont="1" applyBorder="1"/>
    <xf numFmtId="165" fontId="7" fillId="9" borderId="0" xfId="0" applyNumberFormat="1" applyFont="1" applyFill="1" applyBorder="1"/>
    <xf numFmtId="164" fontId="52" fillId="9" borderId="1" xfId="0" applyNumberFormat="1" applyFont="1" applyFill="1" applyBorder="1" applyAlignment="1">
      <alignment horizontal="right"/>
    </xf>
    <xf numFmtId="0" fontId="52" fillId="2" borderId="1" xfId="0" applyNumberFormat="1" applyFont="1" applyFill="1" applyBorder="1" applyAlignment="1" applyProtection="1">
      <alignment horizontal="right"/>
      <protection locked="0"/>
    </xf>
    <xf numFmtId="2" fontId="19" fillId="3" borderId="1" xfId="0" applyNumberFormat="1" applyFont="1" applyFill="1" applyBorder="1" applyProtection="1"/>
    <xf numFmtId="2" fontId="0" fillId="3" borderId="1" xfId="0" applyNumberFormat="1" applyFont="1" applyFill="1" applyBorder="1" applyAlignment="1" applyProtection="1">
      <alignment horizontal="right"/>
    </xf>
    <xf numFmtId="1" fontId="7" fillId="9" borderId="1" xfId="0" applyNumberFormat="1" applyFont="1" applyFill="1" applyBorder="1" applyProtection="1"/>
    <xf numFmtId="2" fontId="52" fillId="3" borderId="1" xfId="0" applyNumberFormat="1" applyFont="1" applyFill="1" applyBorder="1" applyProtection="1"/>
    <xf numFmtId="0" fontId="19" fillId="9" borderId="0" xfId="0" applyFont="1" applyFill="1" applyBorder="1" applyProtection="1">
      <protection locked="0"/>
    </xf>
    <xf numFmtId="2" fontId="52" fillId="9" borderId="1" xfId="0" applyNumberFormat="1" applyFont="1" applyFill="1" applyBorder="1" applyProtection="1">
      <protection locked="0"/>
    </xf>
    <xf numFmtId="0" fontId="19" fillId="9" borderId="0" xfId="0" applyFont="1" applyFill="1" applyBorder="1" applyProtection="1"/>
    <xf numFmtId="0" fontId="53" fillId="9" borderId="0" xfId="0" applyFont="1" applyFill="1"/>
    <xf numFmtId="2" fontId="52" fillId="9" borderId="0" xfId="0" applyNumberFormat="1" applyFont="1" applyFill="1" applyBorder="1" applyProtection="1">
      <protection locked="0"/>
    </xf>
    <xf numFmtId="170" fontId="0" fillId="9" borderId="1" xfId="0" applyNumberFormat="1" applyFill="1" applyBorder="1"/>
    <xf numFmtId="166" fontId="52" fillId="9" borderId="1" xfId="0" applyNumberFormat="1" applyFont="1" applyFill="1" applyBorder="1" applyAlignment="1" applyProtection="1">
      <alignment horizontal="right"/>
      <protection locked="0"/>
    </xf>
    <xf numFmtId="0" fontId="0" fillId="0" borderId="0" xfId="0" applyAlignment="1">
      <alignment wrapText="1"/>
    </xf>
    <xf numFmtId="0" fontId="0" fillId="0" borderId="0" xfId="0" applyAlignment="1">
      <alignment vertical="center" wrapText="1"/>
    </xf>
    <xf numFmtId="0" fontId="7" fillId="9" borderId="1" xfId="0" applyFont="1" applyFill="1" applyBorder="1" applyProtection="1">
      <protection locked="0"/>
    </xf>
    <xf numFmtId="11" fontId="7" fillId="9" borderId="0" xfId="0" applyNumberFormat="1" applyFont="1" applyFill="1" applyProtection="1"/>
    <xf numFmtId="0" fontId="7" fillId="9" borderId="0" xfId="0" applyNumberFormat="1" applyFont="1" applyFill="1" applyProtection="1"/>
    <xf numFmtId="165" fontId="7" fillId="9" borderId="0" xfId="0" applyNumberFormat="1" applyFont="1" applyFill="1" applyProtection="1"/>
    <xf numFmtId="2" fontId="7" fillId="9" borderId="0" xfId="0" applyNumberFormat="1" applyFont="1" applyFill="1" applyProtection="1"/>
    <xf numFmtId="166" fontId="7" fillId="9" borderId="0" xfId="0" applyNumberFormat="1" applyFont="1" applyFill="1" applyProtection="1"/>
    <xf numFmtId="0" fontId="10" fillId="9" borderId="0" xfId="0" applyFont="1" applyFill="1" applyProtection="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applyProtection="1"/>
    <xf numFmtId="0" fontId="0" fillId="0" borderId="1" xfId="0" applyFill="1" applyBorder="1"/>
    <xf numFmtId="0" fontId="0" fillId="0" borderId="0" xfId="0" applyAlignment="1">
      <alignment horizontal="center"/>
    </xf>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Fill="1" applyBorder="1" applyAlignment="1">
      <alignment horizontal="left"/>
    </xf>
    <xf numFmtId="0" fontId="19" fillId="0" borderId="0" xfId="0" applyFont="1" applyFill="1" applyBorder="1" applyAlignment="1" applyProtection="1">
      <alignment horizontal="left" vertical="center"/>
    </xf>
    <xf numFmtId="0" fontId="19" fillId="0" borderId="0" xfId="0" applyFont="1" applyBorder="1"/>
    <xf numFmtId="0" fontId="107" fillId="9" borderId="0" xfId="0" applyFont="1" applyFill="1" applyBorder="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0" fillId="0" borderId="0" xfId="0" applyAlignment="1">
      <alignment horizontal="left"/>
    </xf>
    <xf numFmtId="0" fontId="39" fillId="9" borderId="0" xfId="0" applyFont="1" applyFill="1" applyBorder="1" applyAlignment="1">
      <alignment horizontal="left"/>
    </xf>
    <xf numFmtId="165" fontId="0" fillId="9" borderId="1" xfId="0" applyNumberFormat="1" applyFont="1" applyFill="1" applyBorder="1" applyAlignment="1" applyProtection="1">
      <alignment horizontal="right"/>
      <protection locked="0"/>
    </xf>
    <xf numFmtId="165" fontId="0" fillId="9" borderId="1" xfId="0" applyNumberFormat="1" applyFont="1" applyFill="1" applyBorder="1" applyAlignment="1" applyProtection="1">
      <alignment horizontal="right"/>
    </xf>
    <xf numFmtId="0" fontId="19" fillId="9" borderId="0" xfId="0" applyFont="1" applyFill="1" applyBorder="1"/>
    <xf numFmtId="0" fontId="19" fillId="0" borderId="0" xfId="0" applyFont="1" applyFill="1" applyBorder="1" applyAlignment="1" applyProtection="1">
      <alignment horizontal="left"/>
    </xf>
    <xf numFmtId="165" fontId="7" fillId="2" borderId="1" xfId="1" applyNumberFormat="1" applyFont="1" applyFill="1" applyBorder="1" applyAlignment="1" applyProtection="1">
      <alignment horizontal="right"/>
      <protection locked="0"/>
    </xf>
    <xf numFmtId="0" fontId="0" fillId="0" borderId="0" xfId="0" applyFill="1" applyBorder="1" applyAlignment="1">
      <alignment vertical="center"/>
    </xf>
    <xf numFmtId="1" fontId="52" fillId="9" borderId="1" xfId="1" applyNumberFormat="1" applyFont="1" applyFill="1" applyBorder="1" applyAlignment="1" applyProtection="1">
      <alignment horizontal="right"/>
    </xf>
    <xf numFmtId="0" fontId="21" fillId="0" borderId="0" xfId="0" applyFont="1" applyFill="1" applyBorder="1" applyAlignment="1" applyProtection="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Fill="1" applyBorder="1" applyAlignment="1" applyProtection="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19" fillId="9" borderId="0" xfId="0" applyFont="1" applyFill="1"/>
    <xf numFmtId="0" fontId="25" fillId="0" borderId="0" xfId="0" applyFont="1" applyFill="1" applyBorder="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0" fontId="45" fillId="0" borderId="0" xfId="0" applyFont="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0" fontId="1" fillId="0" borderId="0" xfId="0" applyFont="1" applyAlignment="1" applyProtection="1">
      <alignment horizontal="left"/>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165" fontId="0" fillId="3" borderId="1" xfId="0" applyNumberFormat="1" applyFill="1" applyBorder="1"/>
    <xf numFmtId="0" fontId="0" fillId="0" borderId="16" xfId="0" applyFont="1" applyBorder="1" applyProtection="1"/>
    <xf numFmtId="2" fontId="0" fillId="9" borderId="16" xfId="0" applyNumberFormat="1" applyFill="1" applyBorder="1" applyProtection="1"/>
    <xf numFmtId="0" fontId="7" fillId="0" borderId="16" xfId="0" applyFont="1" applyBorder="1" applyProtection="1"/>
    <xf numFmtId="0" fontId="0" fillId="0" borderId="0" xfId="0" applyFont="1" applyBorder="1" applyProtection="1"/>
    <xf numFmtId="2" fontId="0" fillId="0" borderId="0" xfId="0" applyNumberFormat="1" applyFill="1" applyBorder="1" applyProtection="1"/>
    <xf numFmtId="0" fontId="7" fillId="0" borderId="0" xfId="0" applyFont="1" applyBorder="1" applyProtection="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28" fillId="0" borderId="0" xfId="0" applyFont="1" applyBorder="1"/>
    <xf numFmtId="165" fontId="28" fillId="0" borderId="0" xfId="0" applyNumberFormat="1" applyFont="1" applyBorder="1"/>
    <xf numFmtId="0" fontId="1" fillId="3" borderId="1" xfId="0" applyFont="1" applyFill="1" applyBorder="1"/>
    <xf numFmtId="166" fontId="0" fillId="3" borderId="1" xfId="0" applyNumberForma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165" fontId="0" fillId="0" borderId="0" xfId="0" applyNumberFormat="1" applyFill="1" applyBorder="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Fill="1" applyBorder="1"/>
    <xf numFmtId="165" fontId="0" fillId="0" borderId="22" xfId="0" applyNumberFormat="1" applyFill="1" applyBorder="1"/>
    <xf numFmtId="0" fontId="0" fillId="0" borderId="0" xfId="0" applyFill="1" applyBorder="1" applyAlignment="1" applyProtection="1">
      <alignment horizontal="center"/>
    </xf>
    <xf numFmtId="0" fontId="20" fillId="0" borderId="15" xfId="0" applyFont="1" applyFill="1" applyBorder="1" applyProtection="1"/>
    <xf numFmtId="165" fontId="20" fillId="9" borderId="0" xfId="0" applyNumberFormat="1" applyFont="1" applyFill="1" applyBorder="1" applyAlignment="1" applyProtection="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Fill="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pplyProtection="1">
      <alignment horizontal="right"/>
    </xf>
    <xf numFmtId="0" fontId="52" fillId="0" borderId="1" xfId="0" applyFont="1" applyFill="1" applyBorder="1" applyAlignment="1" applyProtection="1">
      <alignment horizontal="center"/>
    </xf>
    <xf numFmtId="0" fontId="26" fillId="0" borderId="1" xfId="0" applyFont="1" applyBorder="1" applyAlignment="1" applyProtection="1"/>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xf>
    <xf numFmtId="165" fontId="113" fillId="9" borderId="1" xfId="0" applyNumberFormat="1" applyFont="1" applyFill="1" applyBorder="1" applyAlignment="1" applyProtection="1">
      <alignment horizontal="right"/>
    </xf>
    <xf numFmtId="0" fontId="114" fillId="2" borderId="1" xfId="0" applyFont="1" applyFill="1" applyBorder="1" applyAlignment="1" applyProtection="1">
      <alignment horizontal="center"/>
      <protection locked="0"/>
    </xf>
    <xf numFmtId="2" fontId="0" fillId="2" borderId="1" xfId="0" applyNumberFormat="1" applyFont="1" applyFill="1" applyBorder="1" applyAlignment="1" applyProtection="1">
      <alignment horizontal="left"/>
    </xf>
    <xf numFmtId="2" fontId="0" fillId="0" borderId="1" xfId="0" applyNumberFormat="1" applyFont="1" applyBorder="1" applyAlignment="1" applyProtection="1">
      <alignment horizontal="center"/>
    </xf>
    <xf numFmtId="164" fontId="0" fillId="3" borderId="0" xfId="0" applyNumberFormat="1" applyFill="1"/>
    <xf numFmtId="0" fontId="4" fillId="3" borderId="0" xfId="0" applyFont="1" applyFill="1"/>
    <xf numFmtId="0" fontId="0" fillId="3" borderId="1" xfId="0" applyFont="1" applyFill="1" applyBorder="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0" fillId="0" borderId="0" xfId="0" applyNumberFormat="1" applyFill="1"/>
    <xf numFmtId="165" fontId="7" fillId="0" borderId="0" xfId="0" applyNumberFormat="1" applyFont="1" applyFill="1" applyBorder="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Fill="1" applyBorder="1" applyProtection="1">
      <protection locked="0"/>
    </xf>
    <xf numFmtId="2" fontId="0" fillId="0" borderId="0" xfId="0" applyNumberFormat="1" applyFill="1" applyBorder="1" applyProtection="1">
      <protection locked="0"/>
    </xf>
    <xf numFmtId="166" fontId="19" fillId="0" borderId="0" xfId="0" applyNumberFormat="1" applyFont="1" applyFill="1" applyBorder="1" applyProtection="1">
      <protection locked="0"/>
    </xf>
    <xf numFmtId="0" fontId="112" fillId="0" borderId="0" xfId="0" applyFont="1"/>
    <xf numFmtId="0" fontId="54" fillId="0" borderId="0" xfId="0" applyFont="1" applyProtection="1"/>
    <xf numFmtId="164" fontId="7" fillId="3" borderId="1" xfId="0" applyNumberFormat="1" applyFont="1" applyFill="1" applyBorder="1"/>
    <xf numFmtId="164" fontId="0" fillId="3" borderId="16" xfId="0" applyNumberFormat="1" applyFill="1" applyBorder="1"/>
    <xf numFmtId="0" fontId="1" fillId="0" borderId="1" xfId="0" applyFont="1" applyBorder="1" applyAlignment="1">
      <alignment horizontal="center"/>
    </xf>
    <xf numFmtId="0" fontId="1" fillId="0" borderId="1" xfId="0" applyFont="1" applyBorder="1"/>
    <xf numFmtId="1" fontId="1" fillId="3" borderId="1" xfId="0" applyNumberFormat="1" applyFont="1" applyFill="1" applyBorder="1" applyAlignment="1">
      <alignment horizontal="center"/>
    </xf>
    <xf numFmtId="1" fontId="0" fillId="9" borderId="1" xfId="0" applyNumberFormat="1" applyFont="1" applyFill="1" applyBorder="1" applyAlignment="1">
      <alignment horizontal="center"/>
    </xf>
    <xf numFmtId="0" fontId="26" fillId="0" borderId="0" xfId="0" applyFont="1" applyAlignment="1" applyProtection="1">
      <alignment vertical="center" wrapText="1"/>
    </xf>
    <xf numFmtId="0" fontId="0" fillId="0" borderId="0" xfId="0" applyAlignment="1">
      <alignment vertical="center" wrapText="1"/>
    </xf>
    <xf numFmtId="0" fontId="20" fillId="0" borderId="9" xfId="0" applyFont="1" applyFill="1" applyBorder="1" applyProtection="1"/>
    <xf numFmtId="0" fontId="0" fillId="3" borderId="1" xfId="0" applyFill="1" applyBorder="1" applyAlignment="1" applyProtection="1">
      <alignment horizontal="right"/>
    </xf>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Fill="1" applyBorder="1" applyAlignment="1" applyProtection="1"/>
    <xf numFmtId="0" fontId="5" fillId="0" borderId="0" xfId="0" applyFont="1" applyBorder="1" applyAlignment="1">
      <alignment horizontal="right"/>
    </xf>
    <xf numFmtId="0" fontId="74" fillId="0" borderId="0" xfId="0" applyFont="1" applyFill="1" applyBorder="1" applyProtection="1">
      <protection locked="0"/>
    </xf>
    <xf numFmtId="0" fontId="74" fillId="0" borderId="1" xfId="0" applyFont="1" applyBorder="1"/>
    <xf numFmtId="1" fontId="18" fillId="3" borderId="1" xfId="0" applyNumberFormat="1" applyFont="1" applyFill="1" applyBorder="1" applyProtection="1"/>
    <xf numFmtId="0" fontId="0" fillId="0" borderId="0" xfId="0"/>
    <xf numFmtId="0" fontId="19" fillId="0" borderId="0" xfId="0" applyFont="1"/>
    <xf numFmtId="0" fontId="0" fillId="0" borderId="0" xfId="0" applyFont="1"/>
    <xf numFmtId="0" fontId="1" fillId="0" borderId="0" xfId="0" applyFont="1"/>
    <xf numFmtId="0" fontId="30" fillId="0" borderId="0" xfId="3"/>
    <xf numFmtId="165" fontId="37" fillId="3" borderId="1" xfId="0" applyNumberFormat="1" applyFont="1" applyFill="1" applyBorder="1"/>
    <xf numFmtId="0" fontId="7" fillId="0" borderId="0" xfId="0" applyFont="1"/>
    <xf numFmtId="0" fontId="26" fillId="0" borderId="0" xfId="0" applyFont="1"/>
    <xf numFmtId="0" fontId="52" fillId="0" borderId="0" xfId="0" applyFont="1"/>
    <xf numFmtId="0" fontId="53" fillId="0" borderId="0" xfId="0" applyFont="1"/>
    <xf numFmtId="0" fontId="19" fillId="0" borderId="0" xfId="0" applyFont="1" applyFill="1" applyBorder="1"/>
    <xf numFmtId="2" fontId="11" fillId="3" borderId="1" xfId="0" applyNumberFormat="1" applyFont="1" applyFill="1" applyBorder="1"/>
    <xf numFmtId="0" fontId="19" fillId="0" borderId="0" xfId="0" applyFont="1" applyFill="1"/>
    <xf numFmtId="0" fontId="7"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0" fontId="0" fillId="0" borderId="0" xfId="0" applyFont="1" applyBorder="1"/>
    <xf numFmtId="1" fontId="7" fillId="3" borderId="1" xfId="0" applyNumberFormat="1" applyFont="1" applyFill="1" applyBorder="1"/>
    <xf numFmtId="0" fontId="7" fillId="0" borderId="0" xfId="0" applyFont="1" applyBorder="1"/>
    <xf numFmtId="0" fontId="52" fillId="0" borderId="0" xfId="0" applyFont="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2" fontId="7" fillId="3" borderId="1" xfId="0" applyNumberFormat="1" applyFont="1" applyFill="1" applyBorder="1"/>
    <xf numFmtId="2" fontId="52" fillId="9" borderId="1" xfId="0" applyNumberFormat="1" applyFont="1" applyFill="1" applyBorder="1"/>
    <xf numFmtId="2" fontId="37" fillId="0" borderId="0" xfId="0" applyNumberFormat="1" applyFont="1" applyFill="1" applyBorder="1" applyProtection="1">
      <protection locked="0"/>
    </xf>
    <xf numFmtId="0" fontId="19" fillId="9" borderId="0" xfId="0" applyFont="1" applyFill="1" applyBorder="1" applyProtection="1">
      <protection locked="0"/>
    </xf>
    <xf numFmtId="2" fontId="52" fillId="9" borderId="1" xfId="0" applyNumberFormat="1" applyFont="1" applyFill="1" applyBorder="1" applyProtection="1">
      <protection locked="0"/>
    </xf>
    <xf numFmtId="0" fontId="19" fillId="9" borderId="0" xfId="0" applyFont="1" applyFill="1" applyBorder="1" applyProtection="1"/>
    <xf numFmtId="2" fontId="52" fillId="9" borderId="0" xfId="0" applyNumberFormat="1" applyFont="1" applyFill="1" applyBorder="1" applyProtection="1">
      <protection locked="0"/>
    </xf>
    <xf numFmtId="0" fontId="74" fillId="0" borderId="0" xfId="0" applyFont="1"/>
    <xf numFmtId="2" fontId="18" fillId="3" borderId="1" xfId="0" applyNumberFormat="1" applyFont="1" applyFill="1" applyBorder="1" applyAlignment="1" applyProtection="1">
      <alignment horizontal="right"/>
    </xf>
    <xf numFmtId="2" fontId="18" fillId="9" borderId="1" xfId="0" applyNumberFormat="1" applyFont="1" applyFill="1" applyBorder="1" applyProtection="1"/>
    <xf numFmtId="2" fontId="37" fillId="9" borderId="1" xfId="0" applyNumberFormat="1" applyFont="1" applyFill="1" applyBorder="1" applyProtection="1">
      <protection locked="0"/>
    </xf>
    <xf numFmtId="166" fontId="18" fillId="3" borderId="1" xfId="0" applyNumberFormat="1" applyFont="1" applyFill="1" applyBorder="1" applyProtection="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pplyProtection="1">
      <alignment horizontal="right"/>
    </xf>
    <xf numFmtId="0" fontId="26" fillId="0" borderId="0" xfId="0" applyFont="1" applyAlignment="1" applyProtection="1">
      <alignment vertical="center" wrapText="1"/>
    </xf>
    <xf numFmtId="0" fontId="0" fillId="0" borderId="0" xfId="0" applyAlignment="1">
      <alignment vertical="center" wrapText="1"/>
    </xf>
    <xf numFmtId="0" fontId="11" fillId="0" borderId="4" xfId="0" applyFont="1" applyBorder="1" applyAlignment="1" applyProtection="1">
      <alignment horizontal="center"/>
    </xf>
    <xf numFmtId="0" fontId="22" fillId="0" borderId="5" xfId="0" applyFont="1" applyBorder="1" applyAlignment="1" applyProtection="1">
      <alignment horizontal="center"/>
    </xf>
    <xf numFmtId="0" fontId="22" fillId="0" borderId="6" xfId="0" applyFont="1" applyBorder="1" applyAlignment="1" applyProtection="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applyAlignment="1"/>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14">
    <dxf>
      <fill>
        <patternFill>
          <bgColor theme="0" tint="-0.14996795556505021"/>
        </patternFill>
      </fill>
    </dxf>
    <dxf>
      <font>
        <color auto="1"/>
      </font>
      <fill>
        <patternFill>
          <bgColor theme="0" tint="-0.24994659260841701"/>
        </patternFill>
      </fill>
    </dxf>
    <dxf>
      <font>
        <color auto="1"/>
      </font>
      <fill>
        <patternFill>
          <bgColor theme="0" tint="-0.24994659260841701"/>
        </patternFill>
      </fill>
    </dxf>
    <dxf>
      <font>
        <color rgb="FF9C0006"/>
      </font>
      <fill>
        <patternFill>
          <bgColor rgb="FFFFC7CE"/>
        </patternFill>
      </fill>
    </dxf>
    <dxf>
      <font>
        <color rgb="FFFF0000"/>
      </font>
      <numFmt numFmtId="30" formatCode="@"/>
    </dxf>
    <dxf>
      <font>
        <color rgb="FF9C0006"/>
      </font>
      <fill>
        <patternFill>
          <bgColor rgb="FFFFC7CE"/>
        </patternFill>
      </fill>
    </dxf>
    <dxf>
      <font>
        <color rgb="FF9C0006"/>
      </font>
      <fill>
        <patternFill>
          <bgColor rgb="FFFFC7CE"/>
        </patternFill>
      </fill>
    </dxf>
    <dxf>
      <font>
        <color auto="1"/>
      </font>
    </dxf>
    <dxf>
      <fill>
        <patternFill>
          <bgColor rgb="FFFFFF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006100"/>
      </font>
      <fill>
        <patternFill>
          <bgColor rgb="FFC6EFCE"/>
        </patternFill>
      </fill>
    </dxf>
    <dxf>
      <font>
        <color rgb="FF006100"/>
      </font>
      <fill>
        <patternFill>
          <bgColor rgb="FFC6EFCE"/>
        </patternFill>
      </fill>
    </dxf>
    <dxf>
      <font>
        <color theme="1"/>
      </font>
    </dxf>
    <dxf>
      <font>
        <color auto="1"/>
      </font>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FF0000"/>
        </patternFill>
      </fill>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rgb="FF9C0006"/>
      </font>
      <fill>
        <patternFill>
          <bgColor rgb="FFFFC7CE"/>
        </patternFill>
      </fill>
    </dxf>
    <dxf>
      <font>
        <color rgb="FFFF0000"/>
      </font>
      <numFmt numFmtId="30" formatCode="@"/>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FF0000"/>
      </font>
      <numFmt numFmtId="30" formatCode="@"/>
    </dxf>
    <dxf>
      <font>
        <color rgb="FFFF0000"/>
      </font>
    </dxf>
    <dxf>
      <font>
        <color rgb="FFFF0000"/>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ill>
        <patternFill>
          <bgColor theme="0" tint="-0.34998626667073579"/>
        </patternFill>
      </fill>
    </dxf>
    <dxf>
      <fill>
        <patternFill>
          <bgColor theme="0" tint="-0.34998626667073579"/>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24994659260841701"/>
      </font>
      <fill>
        <patternFill>
          <bgColor theme="0" tint="-0.14996795556505021"/>
        </patternFill>
      </fill>
    </dxf>
    <dxf>
      <font>
        <color theme="0"/>
      </font>
    </dxf>
    <dxf>
      <font>
        <color theme="0"/>
      </font>
    </dxf>
    <dxf>
      <font>
        <color theme="0"/>
      </font>
    </dxf>
    <dxf>
      <font>
        <strike val="0"/>
        <color theme="0"/>
      </font>
      <fill>
        <patternFill patternType="none">
          <bgColor auto="1"/>
        </patternFill>
      </fill>
    </dxf>
    <dxf>
      <font>
        <color theme="0" tint="-0.34998626667073579"/>
      </font>
      <fill>
        <patternFill>
          <bgColor theme="0" tint="-0.14996795556505021"/>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rgb="FF9C0006"/>
      </font>
      <fill>
        <patternFill>
          <bgColor rgb="FFFFC7CE"/>
        </patternFill>
      </fill>
    </dxf>
    <dxf>
      <font>
        <color theme="0" tint="-0.34998626667073579"/>
      </font>
      <fill>
        <patternFill>
          <bgColor theme="0" tint="-0.14996795556505021"/>
        </patternFill>
      </fill>
    </dxf>
    <dxf>
      <font>
        <color rgb="FF9C0006"/>
      </font>
      <fill>
        <patternFill>
          <bgColor rgb="FFFFC7CE"/>
        </patternFill>
      </fill>
    </dxf>
    <dxf>
      <font>
        <color rgb="FFFF0000"/>
      </font>
    </dxf>
    <dxf>
      <font>
        <color rgb="FFFF0000"/>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theme="0" tint="-0.34998626667073579"/>
      </font>
      <fill>
        <patternFill>
          <bgColor theme="0" tint="-0.14996795556505021"/>
        </patternFill>
      </fill>
    </dxf>
    <dxf>
      <fill>
        <patternFill>
          <bgColor theme="0" tint="-0.34998626667073579"/>
        </patternFill>
      </fill>
    </dxf>
    <dxf>
      <fill>
        <patternFill>
          <bgColor theme="0" tint="-0.34998626667073579"/>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rgb="FFFF0000"/>
      </font>
      <fill>
        <patternFill>
          <bgColor rgb="FFFF0000"/>
        </patternFill>
      </fill>
    </dxf>
    <dxf>
      <font>
        <color theme="9" tint="-0.24994659260841701"/>
      </font>
    </dxf>
    <dxf>
      <fill>
        <patternFill>
          <bgColor rgb="FFFFFF00"/>
        </patternFill>
      </fill>
    </dxf>
    <dxf>
      <font>
        <color theme="0"/>
      </font>
    </dxf>
    <dxf>
      <fill>
        <patternFill>
          <bgColor theme="0" tint="-0.14996795556505021"/>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2.7E-2</c:v>
                </c:pt>
                <c:pt idx="1">
                  <c:v>3.3021000000000002E-2</c:v>
                </c:pt>
                <c:pt idx="2">
                  <c:v>4.0384683000000011E-2</c:v>
                </c:pt>
                <c:pt idx="3">
                  <c:v>4.9390467309000013E-2</c:v>
                </c:pt>
                <c:pt idx="4">
                  <c:v>6.0404541518907021E-2</c:v>
                </c:pt>
                <c:pt idx="5">
                  <c:v>7.3874754277623286E-2</c:v>
                </c:pt>
                <c:pt idx="6">
                  <c:v>9.0348824481533294E-2</c:v>
                </c:pt>
                <c:pt idx="7">
                  <c:v>0.11049661234091522</c:v>
                </c:pt>
                <c:pt idx="8">
                  <c:v>0.13513735689293932</c:v>
                </c:pt>
                <c:pt idx="9">
                  <c:v>0.1652729874800648</c:v>
                </c:pt>
                <c:pt idx="10">
                  <c:v>0.20212886368811925</c:v>
                </c:pt>
                <c:pt idx="11">
                  <c:v>0.24720360029056987</c:v>
                </c:pt>
                <c:pt idx="12">
                  <c:v>0.30233000315536701</c:v>
                </c:pt>
                <c:pt idx="13">
                  <c:v>0.36974959385901385</c:v>
                </c:pt>
                <c:pt idx="14">
                  <c:v>0.45220375328957396</c:v>
                </c:pt>
                <c:pt idx="15">
                  <c:v>0.55304519027314902</c:v>
                </c:pt>
                <c:pt idx="16">
                  <c:v>0.67637426770406117</c:v>
                </c:pt>
                <c:pt idx="17">
                  <c:v>0.82720572940206694</c:v>
                </c:pt>
                <c:pt idx="18">
                  <c:v>1.0116726070587279</c:v>
                </c:pt>
                <c:pt idx="19">
                  <c:v>1.2372755984328241</c:v>
                </c:pt>
                <c:pt idx="20">
                  <c:v>1.513188056883344</c:v>
                </c:pt>
                <c:pt idx="21">
                  <c:v>1.85062899356833</c:v>
                </c:pt>
                <c:pt idx="22">
                  <c:v>2.2633192591340676</c:v>
                </c:pt>
                <c:pt idx="23">
                  <c:v>2.7680394539209652</c:v>
                </c:pt>
                <c:pt idx="24">
                  <c:v>3.3853122521453405</c:v>
                </c:pt>
                <c:pt idx="25">
                  <c:v>4.1402368843737509</c:v>
                </c:pt>
                <c:pt idx="26">
                  <c:v>5.0635097095890984</c:v>
                </c:pt>
                <c:pt idx="27">
                  <c:v>6.1926723748274677</c:v>
                </c:pt>
                <c:pt idx="28">
                  <c:v>7.5736383144139934</c:v>
                </c:pt>
                <c:pt idx="29">
                  <c:v>9.2625596585283141</c:v>
                </c:pt>
              </c:numCache>
            </c:numRef>
          </c:xVal>
          <c:yVal>
            <c:numRef>
              <c:f>'LDC131x-LDC161x_Config'!$F$239:$F$268</c:f>
              <c:numCache>
                <c:formatCode>0.000</c:formatCode>
                <c:ptCount val="30"/>
                <c:pt idx="0">
                  <c:v>0.51636200798655663</c:v>
                </c:pt>
                <c:pt idx="1">
                  <c:v>0.5329656345828756</c:v>
                </c:pt>
                <c:pt idx="2">
                  <c:v>0.5531367002571741</c:v>
                </c:pt>
                <c:pt idx="3">
                  <c:v>0.57760523650515871</c:v>
                </c:pt>
                <c:pt idx="4">
                  <c:v>0.60723281914716276</c:v>
                </c:pt>
                <c:pt idx="5">
                  <c:v>0.643027394884648</c:v>
                </c:pt>
                <c:pt idx="6">
                  <c:v>0.6861550056449699</c:v>
                </c:pt>
                <c:pt idx="7">
                  <c:v>0.7379451516786032</c:v>
                </c:pt>
                <c:pt idx="8">
                  <c:v>0.79988499332836149</c:v>
                </c:pt>
                <c:pt idx="9">
                  <c:v>0.8735956286153278</c:v>
                </c:pt>
                <c:pt idx="10">
                  <c:v>0.96078137537716546</c:v>
                </c:pt>
                <c:pt idx="11">
                  <c:v>1.0631406177420852</c:v>
                </c:pt>
                <c:pt idx="12">
                  <c:v>1.1822250071768783</c:v>
                </c:pt>
                <c:pt idx="13">
                  <c:v>1.3192338978577622</c:v>
                </c:pt>
                <c:pt idx="14">
                  <c:v>1.4747349434665575</c:v>
                </c:pt>
                <c:pt idx="15">
                  <c:v>1.648312835189041</c:v>
                </c:pt>
                <c:pt idx="16">
                  <c:v>1.8381698683346892</c:v>
                </c:pt>
                <c:pt idx="17">
                  <c:v>2.0407372589829684</c:v>
                </c:pt>
                <c:pt idx="18">
                  <c:v>2.2504038133977686</c:v>
                </c:pt>
                <c:pt idx="19">
                  <c:v>2.4595182557443285</c:v>
                </c:pt>
                <c:pt idx="20">
                  <c:v>2.6588471004473351</c:v>
                </c:pt>
                <c:pt idx="21">
                  <c:v>2.8386274564204861</c:v>
                </c:pt>
                <c:pt idx="22">
                  <c:v>2.9901949440213231</c:v>
                </c:pt>
                <c:pt idx="23">
                  <c:v>3.1078786928246269</c:v>
                </c:pt>
                <c:pt idx="24">
                  <c:v>3.1905272280795827</c:v>
                </c:pt>
                <c:pt idx="25">
                  <c:v>3.2418890299637364</c:v>
                </c:pt>
                <c:pt idx="26">
                  <c:v>3.2693920625154731</c:v>
                </c:pt>
                <c:pt idx="27">
                  <c:v>3.2816795760837776</c:v>
                </c:pt>
                <c:pt idx="28">
                  <c:v>3.2860848000681493</c:v>
                </c:pt>
                <c:pt idx="29">
                  <c:v>3.2872938805731615</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100</c:v>
                </c:pt>
                <c:pt idx="1">
                  <c:v>100</c:v>
                </c:pt>
              </c:numCache>
            </c:numRef>
          </c:xVal>
          <c:yVal>
            <c:numRef>
              <c:f>'LDC131x-LDC161x_Config'!$I$239:$I$240</c:f>
              <c:numCache>
                <c:formatCode>0.0000</c:formatCode>
                <c:ptCount val="2"/>
                <c:pt idx="0">
                  <c:v>0</c:v>
                </c:pt>
                <c:pt idx="1">
                  <c:v>3.2875689089951838</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100</c:v>
                </c:pt>
                <c:pt idx="1">
                  <c:v>0</c:v>
                </c:pt>
              </c:numCache>
            </c:numRef>
          </c:xVal>
          <c:yVal>
            <c:numRef>
              <c:f>'LDC131x-LDC161x_Config'!$I$240:$I$241</c:f>
              <c:numCache>
                <c:formatCode>0.0000</c:formatCode>
                <c:ptCount val="2"/>
                <c:pt idx="0">
                  <c:v>3.2875689089951838</c:v>
                </c:pt>
                <c:pt idx="1">
                  <c:v>3.2875689089951838</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50</c:v>
                </c:pt>
                <c:pt idx="1">
                  <c:v>50</c:v>
                </c:pt>
              </c:numCache>
            </c:numRef>
          </c:xVal>
          <c:yVal>
            <c:numRef>
              <c:f>'LDC131x-LDC161x_Config'!$I$244:$I$245</c:f>
              <c:numCache>
                <c:formatCode>0.0000</c:formatCode>
                <c:ptCount val="2"/>
                <c:pt idx="0">
                  <c:v>0</c:v>
                </c:pt>
                <c:pt idx="1">
                  <c:v>3.2875689089951838</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50</c:v>
                </c:pt>
                <c:pt idx="1">
                  <c:v>0</c:v>
                </c:pt>
              </c:numCache>
            </c:numRef>
          </c:xVal>
          <c:yVal>
            <c:numRef>
              <c:f>'LDC131x-LDC161x_Config'!$I$245:$I$246</c:f>
              <c:numCache>
                <c:formatCode>0.0000</c:formatCode>
                <c:ptCount val="2"/>
                <c:pt idx="0">
                  <c:v>3.2875689089951838</c:v>
                </c:pt>
                <c:pt idx="1">
                  <c:v>3.2875689089951838</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885825</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180975</xdr:colOff>
          <xdr:row>4</xdr:row>
          <xdr:rowOff>123825</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119147</xdr:colOff>
      <xdr:row>17</xdr:row>
      <xdr:rowOff>31377</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156845</xdr:colOff>
      <xdr:row>13</xdr:row>
      <xdr:rowOff>80645</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2520638</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4</xdr:col>
      <xdr:colOff>0</xdr:colOff>
      <xdr:row>17</xdr:row>
      <xdr:rowOff>24130</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156845</xdr:colOff>
      <xdr:row>13</xdr:row>
      <xdr:rowOff>80645</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4</xdr:col>
      <xdr:colOff>0</xdr:colOff>
      <xdr:row>17</xdr:row>
      <xdr:rowOff>104775</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276225</xdr:colOff>
          <xdr:row>13</xdr:row>
          <xdr:rowOff>161925</xdr:rowOff>
        </xdr:from>
        <xdr:to>
          <xdr:col>3</xdr:col>
          <xdr:colOff>1171575</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7</xdr:row>
          <xdr:rowOff>19050</xdr:rowOff>
        </xdr:from>
        <xdr:to>
          <xdr:col>3</xdr:col>
          <xdr:colOff>571500</xdr:colOff>
          <xdr:row>7</xdr:row>
          <xdr:rowOff>142875</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7</xdr:row>
          <xdr:rowOff>152400</xdr:rowOff>
        </xdr:from>
        <xdr:to>
          <xdr:col>3</xdr:col>
          <xdr:colOff>771525</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9525</xdr:rowOff>
        </xdr:from>
        <xdr:to>
          <xdr:col>5</xdr:col>
          <xdr:colOff>752475</xdr:colOff>
          <xdr:row>8</xdr:row>
          <xdr:rowOff>142875</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142875</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8</xdr:row>
          <xdr:rowOff>9525</xdr:rowOff>
        </xdr:from>
        <xdr:to>
          <xdr:col>9</xdr:col>
          <xdr:colOff>742950</xdr:colOff>
          <xdr:row>8</xdr:row>
          <xdr:rowOff>142875</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28575</xdr:colOff>
          <xdr:row>4</xdr:row>
          <xdr:rowOff>19050</xdr:rowOff>
        </xdr:from>
        <xdr:to>
          <xdr:col>3</xdr:col>
          <xdr:colOff>571500</xdr:colOff>
          <xdr:row>4</xdr:row>
          <xdr:rowOff>142875</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9525</xdr:colOff>
          <xdr:row>7</xdr:row>
          <xdr:rowOff>0</xdr:rowOff>
        </xdr:from>
        <xdr:to>
          <xdr:col>5</xdr:col>
          <xdr:colOff>552450</xdr:colOff>
          <xdr:row>7</xdr:row>
          <xdr:rowOff>142875</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142875</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276225</xdr:colOff>
          <xdr:row>98</xdr:row>
          <xdr:rowOff>19050</xdr:rowOff>
        </xdr:from>
        <xdr:to>
          <xdr:col>4</xdr:col>
          <xdr:colOff>219075</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6</xdr:row>
          <xdr:rowOff>19050</xdr:rowOff>
        </xdr:from>
        <xdr:to>
          <xdr:col>3</xdr:col>
          <xdr:colOff>571500</xdr:colOff>
          <xdr:row>6</xdr:row>
          <xdr:rowOff>142875</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142875</xdr:rowOff>
        </xdr:from>
        <xdr:to>
          <xdr:col>7</xdr:col>
          <xdr:colOff>571500</xdr:colOff>
          <xdr:row>6</xdr:row>
          <xdr:rowOff>104775</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5</xdr:row>
          <xdr:rowOff>142875</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142875</xdr:rowOff>
        </xdr:from>
        <xdr:to>
          <xdr:col>5</xdr:col>
          <xdr:colOff>552450</xdr:colOff>
          <xdr:row>6</xdr:row>
          <xdr:rowOff>104775</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6</xdr:row>
          <xdr:rowOff>152400</xdr:rowOff>
        </xdr:from>
        <xdr:to>
          <xdr:col>3</xdr:col>
          <xdr:colOff>771525</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9525</xdr:rowOff>
        </xdr:from>
        <xdr:to>
          <xdr:col>5</xdr:col>
          <xdr:colOff>752475</xdr:colOff>
          <xdr:row>7</xdr:row>
          <xdr:rowOff>142875</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142875</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9525</xdr:colOff>
          <xdr:row>7</xdr:row>
          <xdr:rowOff>9525</xdr:rowOff>
        </xdr:from>
        <xdr:to>
          <xdr:col>9</xdr:col>
          <xdr:colOff>742950</xdr:colOff>
          <xdr:row>7</xdr:row>
          <xdr:rowOff>142875</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352425</xdr:colOff>
          <xdr:row>42</xdr:row>
          <xdr:rowOff>9525</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428625</xdr:colOff>
          <xdr:row>112</xdr:row>
          <xdr:rowOff>9525</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196850</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161925</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1419225</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5" x14ac:dyDescent="0.25"/>
  <cols>
    <col min="3" max="3" width="10.7109375" bestFit="1" customWidth="1"/>
    <col min="4" max="4" width="75.28515625" customWidth="1"/>
  </cols>
  <sheetData>
    <row r="3" spans="1:4" ht="14.45" x14ac:dyDescent="0.3">
      <c r="A3" t="s">
        <v>493</v>
      </c>
    </row>
    <row r="4" spans="1:4" ht="14.45" x14ac:dyDescent="0.3">
      <c r="A4" s="9"/>
      <c r="B4" s="9" t="s">
        <v>494</v>
      </c>
      <c r="C4" s="9" t="s">
        <v>495</v>
      </c>
      <c r="D4" s="9" t="s">
        <v>496</v>
      </c>
    </row>
    <row r="5" spans="1:4" ht="14.45" x14ac:dyDescent="0.3">
      <c r="B5">
        <v>12</v>
      </c>
      <c r="C5" s="308">
        <v>42066</v>
      </c>
      <c r="D5" t="s">
        <v>497</v>
      </c>
    </row>
    <row r="6" spans="1:4" ht="14.45" x14ac:dyDescent="0.3">
      <c r="B6">
        <v>13</v>
      </c>
      <c r="D6" t="s">
        <v>498</v>
      </c>
    </row>
    <row r="7" spans="1:4" ht="14.45" x14ac:dyDescent="0.3">
      <c r="D7" t="s">
        <v>499</v>
      </c>
    </row>
    <row r="8" spans="1:4" ht="14.45" x14ac:dyDescent="0.3">
      <c r="D8" t="s">
        <v>500</v>
      </c>
    </row>
    <row r="9" spans="1:4" ht="14.45" x14ac:dyDescent="0.3">
      <c r="D9" t="s">
        <v>501</v>
      </c>
    </row>
    <row r="10" spans="1:4" ht="14.45" x14ac:dyDescent="0.3">
      <c r="D10" t="s">
        <v>502</v>
      </c>
    </row>
    <row r="11" spans="1:4" ht="14.45" x14ac:dyDescent="0.3">
      <c r="D11" t="s">
        <v>503</v>
      </c>
    </row>
    <row r="12" spans="1:4" ht="14.45" x14ac:dyDescent="0.3">
      <c r="D12" t="s">
        <v>504</v>
      </c>
    </row>
    <row r="13" spans="1:4" ht="14.45" x14ac:dyDescent="0.3">
      <c r="D13" t="s">
        <v>505</v>
      </c>
    </row>
    <row r="14" spans="1:4" ht="14.45" x14ac:dyDescent="0.3">
      <c r="B14">
        <v>14</v>
      </c>
      <c r="D14" t="s">
        <v>506</v>
      </c>
    </row>
    <row r="15" spans="1:4" ht="14.45" x14ac:dyDescent="0.3">
      <c r="D15" t="s">
        <v>507</v>
      </c>
    </row>
    <row r="16" spans="1:4" ht="14.45" x14ac:dyDescent="0.3">
      <c r="D16" t="s">
        <v>508</v>
      </c>
    </row>
    <row r="17" spans="2:4" ht="14.45" x14ac:dyDescent="0.3">
      <c r="B17">
        <v>15</v>
      </c>
      <c r="D17" t="s">
        <v>509</v>
      </c>
    </row>
    <row r="18" spans="2:4" ht="14.45" x14ac:dyDescent="0.3">
      <c r="D18" t="s">
        <v>510</v>
      </c>
    </row>
    <row r="19" spans="2:4" ht="14.45" x14ac:dyDescent="0.3">
      <c r="D19" t="s">
        <v>511</v>
      </c>
    </row>
    <row r="20" spans="2:4" ht="14.45" x14ac:dyDescent="0.3">
      <c r="B20">
        <v>16</v>
      </c>
      <c r="D20" t="s">
        <v>512</v>
      </c>
    </row>
    <row r="21" spans="2:4" ht="14.45" x14ac:dyDescent="0.3">
      <c r="B21">
        <v>17</v>
      </c>
      <c r="D21" t="s">
        <v>513</v>
      </c>
    </row>
    <row r="22" spans="2:4" ht="14.45" x14ac:dyDescent="0.3">
      <c r="B22">
        <v>18</v>
      </c>
      <c r="C22" s="308">
        <v>42307</v>
      </c>
      <c r="D22" t="s">
        <v>514</v>
      </c>
    </row>
    <row r="23" spans="2:4" ht="14.45" x14ac:dyDescent="0.3">
      <c r="D23" t="s">
        <v>515</v>
      </c>
    </row>
    <row r="24" spans="2:4" ht="14.45" x14ac:dyDescent="0.3">
      <c r="D24" t="s">
        <v>516</v>
      </c>
    </row>
    <row r="25" spans="2:4" ht="14.45" x14ac:dyDescent="0.3">
      <c r="D25" t="s">
        <v>517</v>
      </c>
    </row>
    <row r="26" spans="2:4" ht="14.45" x14ac:dyDescent="0.3">
      <c r="D26" t="s">
        <v>518</v>
      </c>
    </row>
    <row r="27" spans="2:4" ht="14.45" x14ac:dyDescent="0.3">
      <c r="D27" t="s">
        <v>519</v>
      </c>
    </row>
    <row r="28" spans="2:4" ht="14.45" x14ac:dyDescent="0.3">
      <c r="D28" t="s">
        <v>520</v>
      </c>
    </row>
    <row r="29" spans="2:4" ht="14.45" x14ac:dyDescent="0.3">
      <c r="D29" t="s">
        <v>521</v>
      </c>
    </row>
    <row r="30" spans="2:4" ht="14.45" x14ac:dyDescent="0.3">
      <c r="D30" t="s">
        <v>522</v>
      </c>
    </row>
    <row r="31" spans="2:4" ht="14.45" x14ac:dyDescent="0.3">
      <c r="B31">
        <v>21</v>
      </c>
      <c r="D31" t="s">
        <v>523</v>
      </c>
    </row>
    <row r="32" spans="2:4" ht="14.45" x14ac:dyDescent="0.3">
      <c r="D32" t="s">
        <v>524</v>
      </c>
    </row>
    <row r="33" spans="2:4" ht="14.45" x14ac:dyDescent="0.3">
      <c r="D33" t="s">
        <v>525</v>
      </c>
    </row>
    <row r="34" spans="2:4" ht="14.45" x14ac:dyDescent="0.3">
      <c r="B34">
        <v>22</v>
      </c>
      <c r="D34" t="s">
        <v>526</v>
      </c>
    </row>
    <row r="35" spans="2:4" ht="14.45" x14ac:dyDescent="0.3">
      <c r="B35">
        <v>23</v>
      </c>
      <c r="C35" s="308">
        <v>42552</v>
      </c>
      <c r="D35" t="s">
        <v>527</v>
      </c>
    </row>
    <row r="36" spans="2:4" ht="14.45" x14ac:dyDescent="0.3">
      <c r="D36" t="s">
        <v>528</v>
      </c>
    </row>
    <row r="37" spans="2:4" ht="14.45" x14ac:dyDescent="0.3">
      <c r="D37" t="s">
        <v>530</v>
      </c>
    </row>
    <row r="38" spans="2:4" ht="14.45" x14ac:dyDescent="0.3">
      <c r="B38">
        <v>24</v>
      </c>
      <c r="C38" s="308">
        <v>42569</v>
      </c>
      <c r="D38" t="s">
        <v>531</v>
      </c>
    </row>
    <row r="39" spans="2:4" ht="14.45" x14ac:dyDescent="0.3">
      <c r="D39" t="s">
        <v>572</v>
      </c>
    </row>
    <row r="40" spans="2:4" ht="14.45" x14ac:dyDescent="0.3">
      <c r="D40" t="s">
        <v>574</v>
      </c>
    </row>
    <row r="41" spans="2:4" ht="14.45" x14ac:dyDescent="0.3">
      <c r="D41" t="s">
        <v>579</v>
      </c>
    </row>
    <row r="42" spans="2:4" ht="14.45" x14ac:dyDescent="0.3">
      <c r="B42">
        <v>25</v>
      </c>
      <c r="C42" s="308">
        <v>42620</v>
      </c>
      <c r="D42" t="s">
        <v>582</v>
      </c>
    </row>
    <row r="43" spans="2:4" ht="14.45" x14ac:dyDescent="0.3">
      <c r="D43" t="s">
        <v>610</v>
      </c>
    </row>
    <row r="44" spans="2:4" ht="14.45" x14ac:dyDescent="0.3">
      <c r="D44" t="s">
        <v>596</v>
      </c>
    </row>
    <row r="45" spans="2:4" ht="14.45" x14ac:dyDescent="0.3">
      <c r="D45" t="s">
        <v>597</v>
      </c>
    </row>
    <row r="46" spans="2:4" ht="14.45" x14ac:dyDescent="0.3">
      <c r="D46" t="s">
        <v>598</v>
      </c>
    </row>
    <row r="47" spans="2:4" ht="14.45" x14ac:dyDescent="0.3">
      <c r="D47" t="s">
        <v>599</v>
      </c>
    </row>
    <row r="48" spans="2:4" ht="14.45" x14ac:dyDescent="0.3">
      <c r="D48" t="s">
        <v>611</v>
      </c>
    </row>
    <row r="49" spans="2:4" ht="14.45" x14ac:dyDescent="0.3">
      <c r="D49" t="s">
        <v>601</v>
      </c>
    </row>
    <row r="50" spans="2:4" ht="14.45" x14ac:dyDescent="0.3">
      <c r="D50" t="s">
        <v>602</v>
      </c>
    </row>
    <row r="51" spans="2:4" ht="14.45" x14ac:dyDescent="0.3">
      <c r="D51" t="s">
        <v>606</v>
      </c>
    </row>
    <row r="52" spans="2:4" ht="14.45" x14ac:dyDescent="0.3">
      <c r="D52" t="s">
        <v>607</v>
      </c>
    </row>
    <row r="53" spans="2:4" ht="14.45" x14ac:dyDescent="0.3">
      <c r="D53" t="s">
        <v>524</v>
      </c>
    </row>
    <row r="54" spans="2:4" ht="14.45" x14ac:dyDescent="0.3">
      <c r="B54">
        <v>26</v>
      </c>
      <c r="C54" s="308">
        <v>42635</v>
      </c>
      <c r="D54" t="s">
        <v>612</v>
      </c>
    </row>
    <row r="55" spans="2:4" ht="14.45" x14ac:dyDescent="0.3">
      <c r="C55" s="308"/>
      <c r="D55" t="s">
        <v>613</v>
      </c>
    </row>
    <row r="56" spans="2:4" ht="14.45" x14ac:dyDescent="0.3">
      <c r="B56">
        <v>27</v>
      </c>
      <c r="C56" s="308">
        <v>42643</v>
      </c>
      <c r="D56" t="s">
        <v>615</v>
      </c>
    </row>
    <row r="57" spans="2:4" ht="14.45" x14ac:dyDescent="0.3">
      <c r="C57" s="308">
        <v>42675</v>
      </c>
      <c r="D57" t="s">
        <v>622</v>
      </c>
    </row>
    <row r="58" spans="2:4" ht="14.45" x14ac:dyDescent="0.3">
      <c r="D58" t="s">
        <v>625</v>
      </c>
    </row>
    <row r="59" spans="2:4" ht="14.45" x14ac:dyDescent="0.3">
      <c r="D59" t="s">
        <v>626</v>
      </c>
    </row>
    <row r="60" spans="2:4" ht="14.45" x14ac:dyDescent="0.3">
      <c r="B60">
        <v>28</v>
      </c>
      <c r="C60" s="308">
        <v>42688</v>
      </c>
      <c r="D60" t="s">
        <v>702</v>
      </c>
    </row>
    <row r="61" spans="2:4" ht="14.45" x14ac:dyDescent="0.3">
      <c r="C61" s="308"/>
      <c r="D61" t="s">
        <v>703</v>
      </c>
    </row>
    <row r="62" spans="2:4" ht="14.45" x14ac:dyDescent="0.3">
      <c r="C62" s="308"/>
      <c r="D62" t="s">
        <v>705</v>
      </c>
    </row>
    <row r="63" spans="2:4" ht="14.45" x14ac:dyDescent="0.3">
      <c r="C63" s="308"/>
      <c r="D63" t="s">
        <v>706</v>
      </c>
    </row>
    <row r="64" spans="2:4" ht="14.45" x14ac:dyDescent="0.3">
      <c r="C64" s="308"/>
      <c r="D64" t="s">
        <v>710</v>
      </c>
    </row>
    <row r="65" spans="2:4" ht="14.45" x14ac:dyDescent="0.3">
      <c r="C65" s="308"/>
      <c r="D65" t="s">
        <v>711</v>
      </c>
    </row>
    <row r="66" spans="2:4" ht="14.45" x14ac:dyDescent="0.3">
      <c r="B66">
        <v>29</v>
      </c>
      <c r="C66" s="308">
        <v>42711</v>
      </c>
      <c r="D66" t="s">
        <v>713</v>
      </c>
    </row>
    <row r="67" spans="2:4" ht="14.45" x14ac:dyDescent="0.3">
      <c r="C67" s="308"/>
      <c r="D67" t="s">
        <v>714</v>
      </c>
    </row>
    <row r="68" spans="2:4" ht="14.45" x14ac:dyDescent="0.3">
      <c r="C68" s="308"/>
      <c r="D68" t="s">
        <v>736</v>
      </c>
    </row>
    <row r="69" spans="2:4" ht="14.45" x14ac:dyDescent="0.3">
      <c r="C69" s="308"/>
      <c r="D69" t="s">
        <v>737</v>
      </c>
    </row>
    <row r="70" spans="2:4" ht="14.45" x14ac:dyDescent="0.3">
      <c r="C70" s="308"/>
      <c r="D70" t="s">
        <v>738</v>
      </c>
    </row>
    <row r="71" spans="2:4" ht="14.45" x14ac:dyDescent="0.3">
      <c r="C71" s="308"/>
      <c r="D71" t="s">
        <v>742</v>
      </c>
    </row>
    <row r="72" spans="2:4" ht="14.45" x14ac:dyDescent="0.3">
      <c r="B72">
        <v>30</v>
      </c>
      <c r="C72" s="308">
        <v>42717</v>
      </c>
      <c r="D72" t="s">
        <v>762</v>
      </c>
    </row>
    <row r="73" spans="2:4" ht="14.45" x14ac:dyDescent="0.3">
      <c r="C73" s="308"/>
      <c r="D73" t="s">
        <v>763</v>
      </c>
    </row>
    <row r="74" spans="2:4" ht="14.45" x14ac:dyDescent="0.3">
      <c r="C74" s="308"/>
      <c r="D74" t="s">
        <v>812</v>
      </c>
    </row>
    <row r="75" spans="2:4" ht="14.45" x14ac:dyDescent="0.3">
      <c r="C75" s="308"/>
      <c r="D75" t="s">
        <v>813</v>
      </c>
    </row>
    <row r="76" spans="2:4" ht="14.45" x14ac:dyDescent="0.3">
      <c r="C76" s="308"/>
      <c r="D76" t="s">
        <v>820</v>
      </c>
    </row>
    <row r="77" spans="2:4" ht="14.45" x14ac:dyDescent="0.3">
      <c r="B77">
        <v>31</v>
      </c>
      <c r="C77" s="308">
        <v>42738</v>
      </c>
      <c r="D77" t="s">
        <v>836</v>
      </c>
    </row>
    <row r="78" spans="2:4" ht="14.45" x14ac:dyDescent="0.3">
      <c r="C78" s="308"/>
      <c r="D78" t="s">
        <v>846</v>
      </c>
    </row>
    <row r="79" spans="2:4" ht="14.45" x14ac:dyDescent="0.3">
      <c r="B79">
        <v>33</v>
      </c>
      <c r="C79" s="308">
        <v>42768</v>
      </c>
      <c r="D79" t="s">
        <v>956</v>
      </c>
    </row>
    <row r="80" spans="2:4" ht="14.45" x14ac:dyDescent="0.3">
      <c r="C80" s="308"/>
      <c r="D80" t="s">
        <v>980</v>
      </c>
    </row>
    <row r="81" spans="2:4" ht="14.45" x14ac:dyDescent="0.3">
      <c r="B81">
        <v>34</v>
      </c>
      <c r="C81" s="308">
        <v>42775</v>
      </c>
      <c r="D81" t="s">
        <v>1004</v>
      </c>
    </row>
    <row r="82" spans="2:4" ht="14.45" x14ac:dyDescent="0.3">
      <c r="C82" s="308"/>
      <c r="D82" t="s">
        <v>1032</v>
      </c>
    </row>
    <row r="83" spans="2:4" ht="14.45" x14ac:dyDescent="0.3">
      <c r="C83" s="308"/>
      <c r="D83" t="s">
        <v>1033</v>
      </c>
    </row>
    <row r="84" spans="2:4" ht="14.45" x14ac:dyDescent="0.3">
      <c r="B84">
        <v>35</v>
      </c>
      <c r="C84" s="308">
        <v>42779</v>
      </c>
      <c r="D84" t="s">
        <v>1053</v>
      </c>
    </row>
    <row r="85" spans="2:4" ht="14.45" x14ac:dyDescent="0.3">
      <c r="C85" s="308"/>
      <c r="D85" t="s">
        <v>1054</v>
      </c>
    </row>
    <row r="86" spans="2:4" ht="28.9" x14ac:dyDescent="0.3">
      <c r="C86" s="308"/>
      <c r="D86" s="619" t="s">
        <v>1062</v>
      </c>
    </row>
    <row r="87" spans="2:4" ht="14.45" x14ac:dyDescent="0.3">
      <c r="B87">
        <v>36</v>
      </c>
      <c r="C87" s="308">
        <v>42782</v>
      </c>
      <c r="D87" t="s">
        <v>1063</v>
      </c>
    </row>
    <row r="88" spans="2:4" ht="14.45" x14ac:dyDescent="0.3">
      <c r="C88" s="308"/>
      <c r="D88" t="s">
        <v>1074</v>
      </c>
    </row>
    <row r="89" spans="2:4" ht="14.45" x14ac:dyDescent="0.3">
      <c r="C89" s="308"/>
      <c r="D89" t="s">
        <v>1064</v>
      </c>
    </row>
    <row r="90" spans="2:4" ht="14.45" x14ac:dyDescent="0.3">
      <c r="C90" s="308"/>
      <c r="D90" t="s">
        <v>1084</v>
      </c>
    </row>
    <row r="91" spans="2:4" ht="14.45" x14ac:dyDescent="0.3">
      <c r="C91" s="308"/>
      <c r="D91" t="s">
        <v>1085</v>
      </c>
    </row>
    <row r="92" spans="2:4" ht="14.45" x14ac:dyDescent="0.3">
      <c r="C92" s="308"/>
      <c r="D92" t="s">
        <v>1087</v>
      </c>
    </row>
    <row r="93" spans="2:4" ht="14.45" x14ac:dyDescent="0.3">
      <c r="C93" s="308">
        <v>42838</v>
      </c>
      <c r="D93" t="s">
        <v>1092</v>
      </c>
    </row>
    <row r="94" spans="2:4" ht="14.45" x14ac:dyDescent="0.3">
      <c r="C94" s="308"/>
      <c r="D94" t="s">
        <v>1093</v>
      </c>
    </row>
    <row r="95" spans="2:4" ht="14.45" x14ac:dyDescent="0.3">
      <c r="C95" s="308"/>
      <c r="D95" t="s">
        <v>1095</v>
      </c>
    </row>
    <row r="96" spans="2:4" ht="14.45" x14ac:dyDescent="0.3">
      <c r="C96" s="308"/>
      <c r="D96" t="s">
        <v>1097</v>
      </c>
    </row>
    <row r="97" spans="2:4" ht="14.45" x14ac:dyDescent="0.3">
      <c r="B97">
        <v>39</v>
      </c>
      <c r="C97" s="308">
        <v>42867</v>
      </c>
      <c r="D97" t="s">
        <v>1398</v>
      </c>
    </row>
    <row r="98" spans="2:4" ht="14.45" x14ac:dyDescent="0.3">
      <c r="C98" s="308"/>
      <c r="D98" t="s">
        <v>1417</v>
      </c>
    </row>
    <row r="99" spans="2:4" ht="14.45" x14ac:dyDescent="0.3">
      <c r="C99" s="308"/>
      <c r="D99" t="s">
        <v>1418</v>
      </c>
    </row>
    <row r="100" spans="2:4" ht="14.45" x14ac:dyDescent="0.3">
      <c r="C100" s="308"/>
      <c r="D100" t="s">
        <v>1426</v>
      </c>
    </row>
    <row r="101" spans="2:4" ht="14.45" x14ac:dyDescent="0.3">
      <c r="C101" s="308"/>
    </row>
    <row r="102" spans="2:4" ht="14.45" x14ac:dyDescent="0.3">
      <c r="B102">
        <v>41</v>
      </c>
      <c r="C102" s="308">
        <v>42907</v>
      </c>
      <c r="D102" t="s">
        <v>1620</v>
      </c>
    </row>
    <row r="103" spans="2:4" ht="14.45" x14ac:dyDescent="0.3">
      <c r="C103" s="308"/>
      <c r="D103" t="s">
        <v>1441</v>
      </c>
    </row>
    <row r="104" spans="2:4" ht="14.45" x14ac:dyDescent="0.3">
      <c r="B104">
        <v>42</v>
      </c>
      <c r="C104" s="308">
        <v>42950</v>
      </c>
      <c r="D104" t="s">
        <v>1501</v>
      </c>
    </row>
    <row r="105" spans="2:4" ht="14.45" x14ac:dyDescent="0.3">
      <c r="C105" s="308"/>
      <c r="D105" t="s">
        <v>1503</v>
      </c>
    </row>
    <row r="106" spans="2:4" ht="14.45" x14ac:dyDescent="0.3">
      <c r="B106">
        <v>45</v>
      </c>
      <c r="C106" s="308">
        <v>42993</v>
      </c>
      <c r="D106" t="s">
        <v>1528</v>
      </c>
    </row>
    <row r="107" spans="2:4" ht="14.45" x14ac:dyDescent="0.3">
      <c r="B107">
        <v>46</v>
      </c>
      <c r="C107" s="308">
        <v>42998</v>
      </c>
      <c r="D107" t="s">
        <v>1540</v>
      </c>
    </row>
    <row r="108" spans="2:4" ht="14.45" x14ac:dyDescent="0.3">
      <c r="C108" s="308"/>
      <c r="D108" t="s">
        <v>1541</v>
      </c>
    </row>
    <row r="109" spans="2:4" ht="14.45" x14ac:dyDescent="0.3">
      <c r="B109">
        <v>47</v>
      </c>
      <c r="C109" s="308">
        <v>43089</v>
      </c>
      <c r="D109" t="s">
        <v>1547</v>
      </c>
    </row>
    <row r="110" spans="2:4" x14ac:dyDescent="0.25">
      <c r="C110" s="308"/>
      <c r="D110" t="s">
        <v>1548</v>
      </c>
    </row>
    <row r="111" spans="2:4" x14ac:dyDescent="0.25">
      <c r="B111">
        <v>48</v>
      </c>
      <c r="C111" s="308">
        <v>43116</v>
      </c>
      <c r="D111" t="s">
        <v>1569</v>
      </c>
    </row>
    <row r="112" spans="2:4" x14ac:dyDescent="0.25">
      <c r="C112" s="308"/>
      <c r="D112" t="s">
        <v>1581</v>
      </c>
    </row>
    <row r="113" spans="1:4" x14ac:dyDescent="0.25">
      <c r="C113" s="308"/>
      <c r="D113" t="s">
        <v>1619</v>
      </c>
    </row>
    <row r="114" spans="1:4" x14ac:dyDescent="0.25">
      <c r="C114" s="308">
        <v>43136</v>
      </c>
      <c r="D114" t="s">
        <v>1585</v>
      </c>
    </row>
    <row r="115" spans="1:4" x14ac:dyDescent="0.25">
      <c r="C115" s="308">
        <v>43174</v>
      </c>
      <c r="D115" t="s">
        <v>1615</v>
      </c>
    </row>
    <row r="116" spans="1:4" x14ac:dyDescent="0.25">
      <c r="C116" s="308">
        <v>43180</v>
      </c>
      <c r="D116" t="s">
        <v>1612</v>
      </c>
    </row>
    <row r="117" spans="1:4" x14ac:dyDescent="0.25">
      <c r="C117" s="308"/>
      <c r="D117" t="s">
        <v>1614</v>
      </c>
    </row>
    <row r="118" spans="1:4" x14ac:dyDescent="0.25">
      <c r="B118" t="s">
        <v>1616</v>
      </c>
      <c r="C118" s="308">
        <v>43181</v>
      </c>
      <c r="D118" t="s">
        <v>1617</v>
      </c>
    </row>
    <row r="119" spans="1:4" x14ac:dyDescent="0.25">
      <c r="C119" s="308"/>
      <c r="D119" t="s">
        <v>1618</v>
      </c>
    </row>
    <row r="120" spans="1:4" x14ac:dyDescent="0.25">
      <c r="C120" s="308"/>
      <c r="D120" t="s">
        <v>1628</v>
      </c>
    </row>
    <row r="121" spans="1:4" x14ac:dyDescent="0.25">
      <c r="B121">
        <v>49</v>
      </c>
      <c r="C121" s="308">
        <v>43206</v>
      </c>
      <c r="D121" t="s">
        <v>1629</v>
      </c>
    </row>
    <row r="122" spans="1:4" x14ac:dyDescent="0.25">
      <c r="C122" s="308">
        <v>43210</v>
      </c>
      <c r="D122" t="s">
        <v>1630</v>
      </c>
    </row>
    <row r="123" spans="1:4" x14ac:dyDescent="0.25">
      <c r="C123" s="308"/>
      <c r="D123" t="s">
        <v>1638</v>
      </c>
    </row>
    <row r="124" spans="1:4" x14ac:dyDescent="0.25">
      <c r="C124" s="308">
        <v>43215</v>
      </c>
      <c r="D124" t="s">
        <v>1640</v>
      </c>
    </row>
    <row r="125" spans="1:4" x14ac:dyDescent="0.25">
      <c r="C125" s="308">
        <v>43250</v>
      </c>
      <c r="D125" t="s">
        <v>1642</v>
      </c>
    </row>
    <row r="126" spans="1:4" s="811" customFormat="1" x14ac:dyDescent="0.25">
      <c r="B126" s="811">
        <v>50</v>
      </c>
      <c r="C126" s="308">
        <v>44196</v>
      </c>
      <c r="D126" s="811" t="s">
        <v>1666</v>
      </c>
    </row>
    <row r="127" spans="1:4" x14ac:dyDescent="0.25">
      <c r="B127">
        <v>51</v>
      </c>
      <c r="C127" s="308">
        <v>44364</v>
      </c>
      <c r="D127" t="s">
        <v>1547</v>
      </c>
    </row>
    <row r="128" spans="1:4" x14ac:dyDescent="0.25">
      <c r="A128" s="71"/>
      <c r="C128" s="308">
        <v>44376</v>
      </c>
      <c r="D128" t="s">
        <v>1673</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1:N216"/>
  <sheetViews>
    <sheetView showGridLines="0" showRowColHeaders="0" zoomScaleNormal="100" workbookViewId="0">
      <selection activeCell="O119" sqref="O119"/>
    </sheetView>
  </sheetViews>
  <sheetFormatPr defaultRowHeight="15" x14ac:dyDescent="0.25"/>
  <cols>
    <col min="1" max="1" width="3.85546875" customWidth="1"/>
    <col min="2" max="2" width="5.42578125" customWidth="1"/>
    <col min="3" max="3" width="35" customWidth="1"/>
    <col min="4" max="4" width="11.140625" style="423" customWidth="1"/>
    <col min="5" max="5" width="7.140625" style="423" customWidth="1"/>
    <col min="6" max="6" width="10.5703125" style="423" customWidth="1"/>
    <col min="8" max="8" width="7.42578125" customWidth="1"/>
    <col min="9" max="9" width="18.5703125" style="423" customWidth="1"/>
    <col min="10" max="10" width="6.5703125" style="423" customWidth="1"/>
    <col min="11" max="11" width="10.7109375" style="423" customWidth="1"/>
  </cols>
  <sheetData>
    <row r="1" spans="2:14" ht="14.45" x14ac:dyDescent="0.3">
      <c r="D1" s="102"/>
      <c r="E1" s="102"/>
      <c r="F1" s="102"/>
      <c r="G1" s="12"/>
      <c r="H1" s="12"/>
      <c r="I1" s="102"/>
      <c r="J1" s="102"/>
      <c r="K1" s="102"/>
      <c r="L1" s="12"/>
    </row>
    <row r="2" spans="2:14" ht="18" x14ac:dyDescent="0.35">
      <c r="C2" s="101" t="s">
        <v>764</v>
      </c>
      <c r="D2"/>
      <c r="E2" s="102"/>
      <c r="F2" s="102"/>
      <c r="G2" s="12"/>
      <c r="H2" s="20" t="s">
        <v>198</v>
      </c>
      <c r="I2" s="102"/>
      <c r="J2" s="102"/>
      <c r="K2" s="102"/>
      <c r="L2" s="12"/>
    </row>
    <row r="3" spans="2:14" ht="14.45" x14ac:dyDescent="0.3">
      <c r="B3" s="12"/>
      <c r="C3" s="12"/>
      <c r="D3" s="12"/>
      <c r="E3" s="102"/>
      <c r="F3" s="102"/>
      <c r="G3" s="12"/>
      <c r="H3" s="12" t="s">
        <v>845</v>
      </c>
      <c r="I3" s="102"/>
      <c r="J3" s="102"/>
      <c r="K3" s="102"/>
      <c r="L3" s="12"/>
    </row>
    <row r="4" spans="2:14" ht="14.45" x14ac:dyDescent="0.3">
      <c r="B4" s="12"/>
      <c r="C4" s="12"/>
      <c r="D4" s="103"/>
      <c r="E4" s="102"/>
      <c r="F4" s="102"/>
      <c r="G4" s="12"/>
      <c r="H4" s="12"/>
      <c r="I4" s="103"/>
      <c r="J4" s="102"/>
      <c r="K4" s="102"/>
      <c r="L4" s="102"/>
    </row>
    <row r="5" spans="2:14" ht="15.75" x14ac:dyDescent="0.25">
      <c r="B5" s="12"/>
      <c r="C5" s="104" t="s">
        <v>293</v>
      </c>
      <c r="D5" s="102"/>
      <c r="E5" s="102"/>
      <c r="F5" s="102"/>
      <c r="G5" s="12"/>
      <c r="H5" s="12"/>
      <c r="I5" s="425" t="s">
        <v>765</v>
      </c>
      <c r="J5" s="102"/>
      <c r="K5" s="102"/>
      <c r="L5" s="12"/>
    </row>
    <row r="6" spans="2:14" x14ac:dyDescent="0.25">
      <c r="B6" s="12"/>
      <c r="C6" s="25" t="s">
        <v>159</v>
      </c>
      <c r="D6" s="426">
        <v>220</v>
      </c>
      <c r="E6" s="114" t="s">
        <v>27</v>
      </c>
      <c r="F6" s="105" t="str">
        <f>IF(D6&lt;C54,"too small",IF(D6&gt;D54,"too large","In Range"))</f>
        <v>In Range</v>
      </c>
      <c r="G6" s="12"/>
      <c r="I6" s="427" t="s">
        <v>766</v>
      </c>
      <c r="J6" s="427" t="s">
        <v>767</v>
      </c>
      <c r="K6" s="427" t="s">
        <v>768</v>
      </c>
      <c r="L6" s="12"/>
    </row>
    <row r="7" spans="2:14" x14ac:dyDescent="0.25">
      <c r="B7" s="12"/>
      <c r="C7" s="25" t="s">
        <v>294</v>
      </c>
      <c r="D7" s="428">
        <v>6.07</v>
      </c>
      <c r="E7" s="114" t="s">
        <v>70</v>
      </c>
      <c r="F7" s="105" t="str">
        <f>IF(D7&lt;C55,"too small",IF(D7&gt;D55,"too large","In Range"))</f>
        <v>In Range</v>
      </c>
      <c r="G7" s="12"/>
      <c r="I7" s="429" t="s">
        <v>769</v>
      </c>
      <c r="J7" s="430" t="s">
        <v>770</v>
      </c>
      <c r="K7" s="122" t="str">
        <f>D23</f>
        <v>0x45</v>
      </c>
      <c r="L7" s="12"/>
      <c r="N7" s="108"/>
    </row>
    <row r="8" spans="2:14" ht="18" x14ac:dyDescent="0.35">
      <c r="B8" s="12"/>
      <c r="C8" s="25" t="s">
        <v>814</v>
      </c>
      <c r="D8" s="431">
        <f>micro/(2*PI()*SQRT(pico*D6*D7*micro))</f>
        <v>4.3552636011306554</v>
      </c>
      <c r="E8" s="114" t="s">
        <v>0</v>
      </c>
      <c r="F8" s="105" t="str">
        <f>IF(D8&lt;C56,"too low",IF(D8&gt;D56,"too high","In Range"))</f>
        <v>In Range</v>
      </c>
      <c r="G8" s="12"/>
      <c r="I8" s="429" t="s">
        <v>771</v>
      </c>
      <c r="J8" s="430" t="s">
        <v>772</v>
      </c>
      <c r="K8" s="432" t="str">
        <f>D27</f>
        <v>0xDE</v>
      </c>
      <c r="L8" s="12"/>
    </row>
    <row r="9" spans="2:14" x14ac:dyDescent="0.25">
      <c r="B9" s="12"/>
      <c r="C9" s="45" t="s">
        <v>624</v>
      </c>
      <c r="D9" s="428">
        <v>3.96</v>
      </c>
      <c r="E9" s="116" t="str">
        <f>RIGHT(E59,E10)&amp;"@"&amp;LEFT(D8,5)&amp;"MHz"</f>
        <v>kΩ@4.355MHz</v>
      </c>
      <c r="F9" s="106"/>
      <c r="G9" s="12"/>
      <c r="I9" s="429" t="s">
        <v>773</v>
      </c>
      <c r="J9" s="430" t="s">
        <v>774</v>
      </c>
      <c r="K9" s="112" t="str">
        <f>D30</f>
        <v>0xFD</v>
      </c>
      <c r="L9" s="12"/>
    </row>
    <row r="10" spans="2:14" ht="14.45" hidden="1" x14ac:dyDescent="0.3">
      <c r="B10" s="12"/>
      <c r="C10" s="444" t="s">
        <v>388</v>
      </c>
      <c r="D10" s="525">
        <f>IF(C9="Sensor Rs",D9,1000*D7/(D6*D9))</f>
        <v>6.9674012855831036</v>
      </c>
      <c r="E10" s="447">
        <f>IF(C9="Sensor Rp",2,1)</f>
        <v>2</v>
      </c>
      <c r="F10" s="106"/>
      <c r="G10" s="12"/>
      <c r="I10" s="526"/>
      <c r="J10" s="105"/>
      <c r="K10" s="107"/>
      <c r="L10" s="12"/>
    </row>
    <row r="11" spans="2:14" x14ac:dyDescent="0.25">
      <c r="B11" s="12"/>
      <c r="C11" s="25" t="str">
        <f>IF(C9="Sensor Rs","Rp","Rs")</f>
        <v>Rs</v>
      </c>
      <c r="D11" s="479">
        <f>1000*D7/(D6*D9)</f>
        <v>6.9674012855831036</v>
      </c>
      <c r="E11" s="116" t="str">
        <f>IF(C11="Rs","Ω","kΩ")</f>
        <v>Ω</v>
      </c>
      <c r="F11" s="106"/>
      <c r="G11" s="12"/>
      <c r="I11" s="429" t="s">
        <v>775</v>
      </c>
      <c r="J11" s="430" t="s">
        <v>776</v>
      </c>
      <c r="K11" s="112" t="str">
        <f>"0x"&amp;DEC2HEX((D100*16+D99),2)</f>
        <v>0xE7</v>
      </c>
      <c r="L11" s="12"/>
    </row>
    <row r="12" spans="2:14" x14ac:dyDescent="0.25">
      <c r="B12" s="12"/>
      <c r="C12" s="25" t="s">
        <v>403</v>
      </c>
      <c r="D12" s="428">
        <v>20</v>
      </c>
      <c r="E12" s="487" t="s">
        <v>34</v>
      </c>
      <c r="F12" s="106"/>
      <c r="G12" s="12"/>
      <c r="I12" s="429" t="s">
        <v>777</v>
      </c>
      <c r="J12" s="430" t="s">
        <v>778</v>
      </c>
      <c r="K12" s="122" t="str">
        <f>"0x"&amp;DEC2HEX(D111,2)</f>
        <v>0x00</v>
      </c>
      <c r="L12" s="12"/>
    </row>
    <row r="13" spans="2:14" x14ac:dyDescent="0.25">
      <c r="B13" s="12"/>
      <c r="C13" s="25" t="s">
        <v>433</v>
      </c>
      <c r="D13" s="428">
        <v>18</v>
      </c>
      <c r="E13" s="487" t="s">
        <v>34</v>
      </c>
      <c r="F13" s="106"/>
      <c r="G13" s="12"/>
      <c r="I13" s="429" t="s">
        <v>779</v>
      </c>
      <c r="J13" s="430" t="s">
        <v>780</v>
      </c>
      <c r="K13" s="122" t="str">
        <f>"0x"&amp;DEC2HEX(FLOOR(D110/256,1),2)</f>
        <v>0x02</v>
      </c>
      <c r="L13" s="12"/>
    </row>
    <row r="14" spans="2:14" ht="14.45" hidden="1" x14ac:dyDescent="0.3">
      <c r="B14" s="12"/>
      <c r="C14" s="25" t="s">
        <v>816</v>
      </c>
      <c r="D14" s="482">
        <f>IF(E12="mm",D12,D12*0.0254)</f>
        <v>20</v>
      </c>
      <c r="E14" s="483"/>
      <c r="F14" s="106"/>
      <c r="G14" s="12"/>
      <c r="L14" s="12"/>
    </row>
    <row r="15" spans="2:14" ht="14.45" hidden="1" x14ac:dyDescent="0.3">
      <c r="B15" s="12"/>
      <c r="C15" s="25" t="s">
        <v>817</v>
      </c>
      <c r="D15" s="482">
        <f>IF(E13="mm",D13,D13*0.0254)</f>
        <v>18</v>
      </c>
      <c r="E15" s="116"/>
      <c r="F15" s="106"/>
      <c r="G15" s="12"/>
      <c r="I15" s="480"/>
      <c r="J15" s="106"/>
      <c r="K15" s="481"/>
      <c r="L15" s="12"/>
    </row>
    <row r="16" spans="2:14" ht="14.45" hidden="1" x14ac:dyDescent="0.3">
      <c r="B16" s="12"/>
      <c r="C16" s="25" t="s">
        <v>818</v>
      </c>
      <c r="D16" s="482">
        <f>D15/D14</f>
        <v>0.9</v>
      </c>
      <c r="E16" s="116"/>
      <c r="F16" s="106"/>
      <c r="G16" s="12"/>
      <c r="I16" s="480"/>
      <c r="J16" s="106"/>
      <c r="K16" s="481"/>
      <c r="L16" s="12"/>
    </row>
    <row r="17" spans="2:14" ht="14.45" hidden="1" x14ac:dyDescent="0.3">
      <c r="B17" s="12"/>
      <c r="C17" s="25" t="s">
        <v>819</v>
      </c>
      <c r="D17" s="482">
        <f>(0.00406832344757895+15.5588911/(1+(D7/0.0358077078721068)^0.865185989584669))+(0.973523646945684-1.1322846019223/(1+(D7/1.1356393338887)^1.06847511981245))*(1-EXP(-(10.3324121181807-56.0213701830392/(1+(D7/0.0139455036722347)^0.572123422421793))*D16))</f>
        <v>0.99660667260636515</v>
      </c>
      <c r="E17" s="116"/>
      <c r="F17" s="106"/>
      <c r="G17" s="12"/>
      <c r="I17" s="480"/>
      <c r="J17" s="106"/>
      <c r="K17" s="481"/>
      <c r="L17" s="12"/>
    </row>
    <row r="18" spans="2:14" ht="18" x14ac:dyDescent="0.35">
      <c r="B18" s="12"/>
      <c r="C18" s="25" t="s">
        <v>815</v>
      </c>
      <c r="D18" s="433">
        <f>D8/SQRT(D17)</f>
        <v>4.3626718781453206</v>
      </c>
      <c r="E18" s="114" t="s">
        <v>0</v>
      </c>
      <c r="F18" s="106"/>
      <c r="G18" s="12"/>
      <c r="I18" s="429" t="s">
        <v>781</v>
      </c>
      <c r="J18" s="430" t="s">
        <v>782</v>
      </c>
      <c r="K18" s="122" t="str">
        <f>"0x"&amp;DEC2HEX(LOG(D104,2),2)</f>
        <v>0x01</v>
      </c>
      <c r="L18" s="12"/>
    </row>
    <row r="19" spans="2:14" x14ac:dyDescent="0.25">
      <c r="B19" s="12"/>
      <c r="D19" s="434"/>
      <c r="E19" s="116"/>
      <c r="F19" s="106"/>
      <c r="G19" s="12"/>
      <c r="L19" s="12"/>
      <c r="N19" s="110"/>
    </row>
    <row r="20" spans="2:14" ht="18.75" x14ac:dyDescent="0.35">
      <c r="B20" s="12"/>
      <c r="C20" s="104" t="s">
        <v>849</v>
      </c>
      <c r="D20" s="434"/>
      <c r="E20" s="116"/>
      <c r="F20" s="106"/>
      <c r="G20" s="12"/>
      <c r="H20" s="505"/>
      <c r="I20" s="506"/>
      <c r="J20" s="506"/>
      <c r="K20" s="506"/>
      <c r="L20" s="505"/>
      <c r="M20" s="505"/>
    </row>
    <row r="21" spans="2:14" x14ac:dyDescent="0.25">
      <c r="B21" s="12"/>
      <c r="C21" s="25" t="s">
        <v>326</v>
      </c>
      <c r="D21" s="52">
        <v>3</v>
      </c>
      <c r="E21" s="116" t="s">
        <v>243</v>
      </c>
      <c r="F21" s="105" t="str">
        <f>IF(AND(C65&gt;=C63,C65&lt;=D63),"in Range",IF(C65&lt;C63,"too large",IF(C65&gt;D63,"too small")))</f>
        <v>in Range</v>
      </c>
      <c r="G21" s="484"/>
      <c r="H21" s="505"/>
      <c r="I21" s="506"/>
      <c r="J21" s="506"/>
      <c r="K21" s="506"/>
      <c r="L21" s="505"/>
      <c r="M21" s="505"/>
      <c r="N21" s="330"/>
    </row>
    <row r="22" spans="2:14" x14ac:dyDescent="0.25">
      <c r="B22" s="12"/>
      <c r="C22" s="25" t="str">
        <f>IF(D22&gt;D21,"RpMAX Setting","RPMAX must be &gt;RpMIN")</f>
        <v>RpMAX Setting</v>
      </c>
      <c r="D22" s="435">
        <v>6</v>
      </c>
      <c r="E22" s="116" t="s">
        <v>243</v>
      </c>
      <c r="F22" s="105" t="str">
        <f>IF(AND(D22&gt;=C59,D22&lt;=2.05*C59),"in Range",IF(D22&gt;2.05*C59,"too large",IF(D22&lt;C59,"too small")))</f>
        <v>in Range</v>
      </c>
      <c r="G22" s="484"/>
      <c r="H22" s="505"/>
      <c r="I22" s="506"/>
      <c r="J22" s="506"/>
      <c r="K22" s="506"/>
      <c r="L22" s="505"/>
      <c r="M22" s="505"/>
      <c r="N22" s="330"/>
    </row>
    <row r="23" spans="2:14" ht="14.45" hidden="1" x14ac:dyDescent="0.3">
      <c r="B23" s="12"/>
      <c r="C23" s="58" t="s">
        <v>353</v>
      </c>
      <c r="D23" s="436" t="str">
        <f>"0x"&amp;DEC2HEX(TEXT((((7-LOG(D22/0.75,2))*16)+(7-LOG(D21/0.75,2))),"0"),2)</f>
        <v>0x45</v>
      </c>
      <c r="E23" s="116"/>
      <c r="F23" s="124" t="s">
        <v>354</v>
      </c>
      <c r="G23" s="484"/>
      <c r="H23" s="505"/>
      <c r="I23" s="506"/>
      <c r="J23" s="506"/>
      <c r="K23" s="506"/>
      <c r="L23" s="505"/>
      <c r="M23" s="505"/>
      <c r="N23" s="330"/>
    </row>
    <row r="24" spans="2:14" x14ac:dyDescent="0.25">
      <c r="B24" s="12"/>
      <c r="C24" s="25" t="s">
        <v>297</v>
      </c>
      <c r="D24" s="437">
        <f>1000*C59*SQRT(pico*D6/(micro*D7))</f>
        <v>23.840325506661852</v>
      </c>
      <c r="E24" s="116"/>
      <c r="F24" s="105" t="str">
        <f>IF(D24&gt;=C57,"in Range","too small")</f>
        <v>in Range</v>
      </c>
      <c r="G24" s="484"/>
      <c r="H24" s="505"/>
      <c r="I24" s="506"/>
      <c r="J24" s="506"/>
      <c r="K24" s="506"/>
      <c r="L24" s="505"/>
      <c r="M24" s="505"/>
      <c r="N24" s="330"/>
    </row>
    <row r="25" spans="2:14" x14ac:dyDescent="0.25">
      <c r="B25" s="12"/>
      <c r="C25" s="25" t="s">
        <v>298</v>
      </c>
      <c r="D25" s="438">
        <f>IF(1000*SQRT(2)/(PI()*0.6*D35*(6))&gt;C84,6,IF(1000*SQRT(2)/(PI()*0.6*D35*(3))&gt;C84,3,IF(1000*SQRT(2)/(PI()*0.6*D35*(1.5))&gt;C84,1.5,IF(1000*SQRT(2)/(PI()*0.6*D35*(0.75))&gt;C84,0.75,"Too Low"))))</f>
        <v>6</v>
      </c>
      <c r="E25" s="114" t="s">
        <v>27</v>
      </c>
      <c r="F25" s="105" t="str">
        <f>IF(AND(D25&gt;=C78,D25&lt;=C81),"in Range", "error")</f>
        <v>in Range</v>
      </c>
      <c r="G25" s="484"/>
      <c r="H25" s="505"/>
      <c r="I25" s="506"/>
      <c r="J25" s="506"/>
      <c r="K25" s="506"/>
      <c r="L25" s="505"/>
      <c r="M25" s="505"/>
      <c r="N25" s="330"/>
    </row>
    <row r="26" spans="2:14" x14ac:dyDescent="0.25">
      <c r="B26" s="12"/>
      <c r="C26" s="25" t="s">
        <v>300</v>
      </c>
      <c r="D26" s="439">
        <f>(1000*SQRT(2)/(PI()*0.6*D8*(D25)))</f>
        <v>28.710990711821864</v>
      </c>
      <c r="E26" s="116" t="s">
        <v>243</v>
      </c>
      <c r="F26" s="105" t="str">
        <f>IF(D26&lt;C84,"too small",IF(D26&gt;C85,"too large","In Range"))</f>
        <v>In Range</v>
      </c>
      <c r="G26" s="484"/>
      <c r="H26" s="505"/>
      <c r="I26" s="506"/>
      <c r="J26" s="506"/>
      <c r="K26" s="506"/>
      <c r="L26" s="505"/>
      <c r="M26" s="505"/>
      <c r="N26" s="330"/>
    </row>
    <row r="27" spans="2:14" ht="14.45" hidden="1" x14ac:dyDescent="0.3">
      <c r="B27" s="12"/>
      <c r="C27" s="58" t="s">
        <v>349</v>
      </c>
      <c r="D27" s="440" t="str">
        <f>"0x"&amp;DEC2HEX(TEXT((((LOG(D25/0.75,2))*64)+FLOOR(-(D26-417)/12.77,1)),"0"),2)</f>
        <v>0xDE</v>
      </c>
      <c r="E27" s="116"/>
      <c r="F27" s="124" t="s">
        <v>350</v>
      </c>
      <c r="G27" s="484"/>
      <c r="H27" s="505"/>
      <c r="I27" s="506"/>
      <c r="J27" s="506"/>
      <c r="K27" s="506"/>
      <c r="L27" s="505"/>
      <c r="M27" s="505"/>
      <c r="N27" s="330"/>
    </row>
    <row r="28" spans="2:14" x14ac:dyDescent="0.25">
      <c r="B28" s="12"/>
      <c r="C28" s="25" t="s">
        <v>302</v>
      </c>
      <c r="D28" s="438">
        <f>IF(((2*D21*D6/24)&gt;C94),24,IF(((2*D21*D6/12)&gt;C94),12,IF(((2*D21*D6/6)&gt;C94),6,IF(((2*D21*D6/3)&gt;C94),3,"Too Low"))))</f>
        <v>24</v>
      </c>
      <c r="E28" s="114" t="s">
        <v>27</v>
      </c>
      <c r="F28" s="105" t="str">
        <f>IF(AND(D28&gt;=C88,D28&lt;=C91),"In Range", "error")</f>
        <v>In Range</v>
      </c>
      <c r="G28" s="484"/>
      <c r="H28" s="505"/>
      <c r="I28" s="506"/>
      <c r="J28" s="506"/>
      <c r="K28" s="506"/>
      <c r="L28" s="505"/>
      <c r="M28" s="505"/>
      <c r="N28" s="330"/>
    </row>
    <row r="29" spans="2:14" x14ac:dyDescent="0.25">
      <c r="B29" s="12"/>
      <c r="C29" s="25" t="s">
        <v>304</v>
      </c>
      <c r="D29" s="439">
        <f>2*D21*D6/(D28)</f>
        <v>55</v>
      </c>
      <c r="E29" s="116" t="s">
        <v>243</v>
      </c>
      <c r="F29" s="105" t="str">
        <f>IF(D29&lt;C94,"too small",IF(D29&gt;C95,"too large","In Range"))</f>
        <v>In Range</v>
      </c>
      <c r="G29" s="484"/>
      <c r="H29" s="505"/>
      <c r="I29" s="506"/>
      <c r="J29" s="506"/>
      <c r="K29" s="506"/>
      <c r="L29" s="505"/>
      <c r="M29" s="505"/>
      <c r="N29" s="330"/>
    </row>
    <row r="30" spans="2:14" ht="14.45" hidden="1" x14ac:dyDescent="0.3">
      <c r="B30" s="12"/>
      <c r="C30" s="58" t="s">
        <v>352</v>
      </c>
      <c r="D30" s="441" t="str">
        <f>"0x"&amp;DEC2HEX(TEXT((((LOG(D28/3,2))*64)+FLOOR(-(D29-835)/12.77,1)),"0"),2)</f>
        <v>0xFD</v>
      </c>
      <c r="E30" s="116"/>
      <c r="F30" s="124" t="s">
        <v>351</v>
      </c>
      <c r="G30" s="484"/>
      <c r="H30" s="505"/>
      <c r="I30" s="506"/>
      <c r="J30" s="506"/>
      <c r="K30" s="506"/>
      <c r="L30" s="505"/>
      <c r="M30" s="505"/>
      <c r="N30" s="330"/>
    </row>
    <row r="31" spans="2:14" ht="14.45" hidden="1" x14ac:dyDescent="0.3">
      <c r="B31" s="12"/>
      <c r="C31" s="12"/>
      <c r="D31" s="102"/>
      <c r="E31" s="102"/>
      <c r="F31" s="102"/>
      <c r="G31" s="484"/>
      <c r="H31" s="505"/>
      <c r="I31" s="506"/>
      <c r="J31" s="506"/>
      <c r="K31" s="506"/>
      <c r="L31" s="505"/>
      <c r="M31" s="505"/>
      <c r="N31" s="330"/>
    </row>
    <row r="32" spans="2:14" ht="14.45" hidden="1" x14ac:dyDescent="0.3">
      <c r="B32" s="12"/>
      <c r="C32" s="442" t="s">
        <v>331</v>
      </c>
      <c r="D32" s="443"/>
      <c r="E32" s="443"/>
      <c r="F32" s="443"/>
      <c r="G32" s="484"/>
      <c r="H32" s="505"/>
      <c r="I32" s="506"/>
      <c r="J32" s="506"/>
      <c r="K32" s="506"/>
      <c r="L32" s="505"/>
      <c r="M32" s="505"/>
      <c r="N32" s="330"/>
    </row>
    <row r="33" spans="2:14" ht="14.45" hidden="1" x14ac:dyDescent="0.3">
      <c r="B33" s="12"/>
      <c r="C33" s="444" t="s">
        <v>355</v>
      </c>
      <c r="D33" s="445">
        <v>0.94216</v>
      </c>
      <c r="E33" s="446"/>
      <c r="F33" s="447" t="s">
        <v>356</v>
      </c>
      <c r="G33" s="484"/>
      <c r="H33" s="505"/>
      <c r="I33" s="506"/>
      <c r="J33" s="506"/>
      <c r="K33" s="506"/>
      <c r="L33" s="505"/>
      <c r="M33" s="505"/>
      <c r="N33" s="330"/>
    </row>
    <row r="34" spans="2:14" ht="14.45" hidden="1" x14ac:dyDescent="0.3">
      <c r="B34" s="12"/>
      <c r="C34" s="444" t="s">
        <v>295</v>
      </c>
      <c r="D34" s="107">
        <f>D7*D33</f>
        <v>5.7189112</v>
      </c>
      <c r="E34" s="448" t="s">
        <v>70</v>
      </c>
      <c r="F34" s="105" t="str">
        <f>IF(D34&lt;C55,"too small",IF(D34&gt;D55,"too large","In Range"))</f>
        <v>In Range</v>
      </c>
      <c r="G34" s="484"/>
      <c r="H34" s="505"/>
      <c r="I34" s="506"/>
      <c r="J34" s="506"/>
      <c r="K34" s="506"/>
      <c r="L34" s="505"/>
      <c r="M34" s="505"/>
      <c r="N34" s="330"/>
    </row>
    <row r="35" spans="2:14" ht="14.45" hidden="1" x14ac:dyDescent="0.3">
      <c r="B35" s="12"/>
      <c r="C35" s="444" t="s">
        <v>296</v>
      </c>
      <c r="D35" s="109">
        <f>0.001/(2*PI()*SQRT(pico*D6*D34))</f>
        <v>4.48695913973103</v>
      </c>
      <c r="E35" s="448" t="s">
        <v>0</v>
      </c>
      <c r="F35" s="105" t="str">
        <f>IF(D35&lt;C56,"too low",IF(D35&gt;D56,"too high","In Range"))</f>
        <v>In Range</v>
      </c>
      <c r="G35" s="484"/>
      <c r="H35" s="505"/>
      <c r="I35" s="506"/>
      <c r="J35" s="506"/>
      <c r="K35" s="506"/>
      <c r="L35" s="505"/>
      <c r="M35" s="505"/>
      <c r="N35" s="330"/>
    </row>
    <row r="36" spans="2:14" ht="15.6" hidden="1" x14ac:dyDescent="0.35">
      <c r="B36" s="12"/>
      <c r="C36" s="444" t="s">
        <v>461</v>
      </c>
      <c r="D36" s="449">
        <v>0.99399999999999999</v>
      </c>
      <c r="E36" s="447"/>
      <c r="F36" s="447" t="s">
        <v>362</v>
      </c>
      <c r="G36" s="484"/>
      <c r="H36" s="505"/>
      <c r="I36" s="506"/>
      <c r="J36" s="506"/>
      <c r="K36" s="506"/>
      <c r="L36" s="505"/>
      <c r="M36" s="505"/>
      <c r="N36" s="330"/>
    </row>
    <row r="37" spans="2:14" ht="15.6" hidden="1" x14ac:dyDescent="0.35">
      <c r="B37" s="12"/>
      <c r="C37" s="444" t="s">
        <v>462</v>
      </c>
      <c r="D37" s="107">
        <f>D59</f>
        <v>6.5250203544536278</v>
      </c>
      <c r="E37" s="447" t="s">
        <v>325</v>
      </c>
      <c r="F37" s="446"/>
      <c r="G37" s="484"/>
      <c r="H37" s="505"/>
      <c r="I37" s="506"/>
      <c r="J37" s="506"/>
      <c r="K37" s="506"/>
      <c r="L37" s="505"/>
      <c r="M37" s="505"/>
      <c r="N37" s="330"/>
    </row>
    <row r="38" spans="2:14" ht="14.45" hidden="1" x14ac:dyDescent="0.3">
      <c r="B38" s="12"/>
      <c r="C38" s="444"/>
      <c r="D38" s="443"/>
      <c r="E38" s="447"/>
      <c r="F38" s="446"/>
      <c r="G38" s="484"/>
      <c r="H38" s="505"/>
      <c r="I38" s="506"/>
      <c r="J38" s="506"/>
      <c r="K38" s="506"/>
      <c r="L38" s="505"/>
      <c r="M38" s="505"/>
      <c r="N38" s="330"/>
    </row>
    <row r="39" spans="2:14" ht="14.45" hidden="1" x14ac:dyDescent="0.3">
      <c r="B39" s="12"/>
      <c r="C39" s="444" t="s">
        <v>326</v>
      </c>
      <c r="D39" s="105">
        <f>D21</f>
        <v>3</v>
      </c>
      <c r="E39" s="447" t="s">
        <v>243</v>
      </c>
      <c r="F39" s="105" t="str">
        <f>IF(D65&lt;C63,"too large",IF(D65&gt;D63,"too small","In Range"))</f>
        <v>In Range</v>
      </c>
      <c r="G39" s="484"/>
      <c r="H39" s="505"/>
      <c r="I39" s="506"/>
      <c r="J39" s="506"/>
      <c r="K39" s="506"/>
      <c r="L39" s="505"/>
      <c r="M39" s="505"/>
      <c r="N39" s="330"/>
    </row>
    <row r="40" spans="2:14" ht="14.45" hidden="1" x14ac:dyDescent="0.3">
      <c r="B40" s="12"/>
      <c r="C40" s="444" t="s">
        <v>327</v>
      </c>
      <c r="D40" s="111">
        <f>D22</f>
        <v>6</v>
      </c>
      <c r="E40" s="447" t="s">
        <v>243</v>
      </c>
      <c r="F40" s="105" t="str">
        <f>IF(D22&gt;2.05*D37/D33,"too large",IF(D22&lt;D37,"too small","In Range"))</f>
        <v>too small</v>
      </c>
      <c r="G40" s="484"/>
      <c r="H40" s="505"/>
      <c r="I40" s="506"/>
      <c r="J40" s="506"/>
      <c r="K40" s="506"/>
      <c r="L40" s="505"/>
      <c r="M40" s="505"/>
      <c r="N40" s="330"/>
    </row>
    <row r="41" spans="2:14" ht="15.6" hidden="1" x14ac:dyDescent="0.35">
      <c r="B41" s="12"/>
      <c r="C41" s="444" t="s">
        <v>463</v>
      </c>
      <c r="D41" s="111">
        <f>1000*D21*SQRT(pico*D6/(micro*D34))</f>
        <v>18.606981188844291</v>
      </c>
      <c r="E41" s="448"/>
      <c r="F41" s="105" t="str">
        <f>IF(D41&lt;E57,"too small",IF(D41&gt;D57,"too large","In Range"))</f>
        <v>In Range</v>
      </c>
      <c r="G41" s="484"/>
      <c r="H41" s="505"/>
      <c r="I41" s="506"/>
      <c r="J41" s="506"/>
      <c r="K41" s="506"/>
      <c r="L41" s="505"/>
      <c r="M41" s="505"/>
      <c r="N41" s="330"/>
    </row>
    <row r="42" spans="2:14" ht="14.45" hidden="1" x14ac:dyDescent="0.3">
      <c r="B42" s="12"/>
      <c r="C42" s="444" t="s">
        <v>299</v>
      </c>
      <c r="D42" s="111">
        <f>D25</f>
        <v>6</v>
      </c>
      <c r="E42" s="450" t="s">
        <v>27</v>
      </c>
      <c r="F42" s="105" t="str">
        <f>IF(AND(D42&gt;=C78,D42&lt;=C81),"In Range", "error")</f>
        <v>In Range</v>
      </c>
      <c r="G42" s="484"/>
      <c r="H42" s="505"/>
      <c r="I42" s="506"/>
      <c r="J42" s="506"/>
      <c r="K42" s="506"/>
      <c r="L42" s="505"/>
      <c r="M42" s="505"/>
      <c r="N42" s="330"/>
    </row>
    <row r="43" spans="2:14" ht="14.45" hidden="1" x14ac:dyDescent="0.3">
      <c r="B43" s="12"/>
      <c r="C43" s="444" t="s">
        <v>301</v>
      </c>
      <c r="D43" s="107">
        <f>D26</f>
        <v>28.710990711821864</v>
      </c>
      <c r="E43" s="447" t="s">
        <v>243</v>
      </c>
      <c r="F43" s="105" t="str">
        <f>IF(D43&lt;C84,"too small",IF(D43&gt;C85,"too large","In Range"))</f>
        <v>In Range</v>
      </c>
      <c r="G43" s="484"/>
      <c r="H43" s="505"/>
      <c r="I43" s="506"/>
      <c r="J43" s="506"/>
      <c r="K43" s="506"/>
      <c r="L43" s="505"/>
      <c r="M43" s="505"/>
      <c r="N43" s="330"/>
    </row>
    <row r="44" spans="2:14" ht="14.45" hidden="1" x14ac:dyDescent="0.3">
      <c r="B44" s="12"/>
      <c r="C44" s="444" t="s">
        <v>303</v>
      </c>
      <c r="D44" s="107">
        <f>D28</f>
        <v>24</v>
      </c>
      <c r="E44" s="450" t="s">
        <v>27</v>
      </c>
      <c r="F44" s="105" t="str">
        <f>IF(AND(D44&gt;=C88,D44&lt;=C91),"In Range", "error")</f>
        <v>In Range</v>
      </c>
      <c r="G44" s="484"/>
      <c r="H44" s="505"/>
      <c r="I44" s="506"/>
      <c r="J44" s="506"/>
      <c r="K44" s="506"/>
      <c r="L44" s="505"/>
      <c r="M44" s="505"/>
      <c r="N44" s="330"/>
    </row>
    <row r="45" spans="2:14" ht="14.45" hidden="1" x14ac:dyDescent="0.3">
      <c r="B45" s="12"/>
      <c r="C45" s="444" t="s">
        <v>305</v>
      </c>
      <c r="D45" s="107">
        <f>0.001*1.4142/(Mega*D35*PI()*pico*D28*0.6)</f>
        <v>6.9670087094902824</v>
      </c>
      <c r="E45" s="447" t="s">
        <v>243</v>
      </c>
      <c r="F45" s="105" t="str">
        <f>IF(D45&lt;C94,"too small",IF(D45&gt;C95,"too large","In Range"))</f>
        <v>too small</v>
      </c>
      <c r="G45" s="484"/>
      <c r="H45" s="505"/>
      <c r="I45" s="506"/>
      <c r="J45" s="506"/>
      <c r="K45" s="506"/>
      <c r="L45" s="505"/>
      <c r="M45" s="505"/>
      <c r="N45" s="330"/>
    </row>
    <row r="46" spans="2:14" ht="14.45" hidden="1" x14ac:dyDescent="0.3">
      <c r="B46" s="12"/>
      <c r="C46" s="12"/>
      <c r="D46" s="102"/>
      <c r="E46" s="102"/>
      <c r="F46" s="102"/>
      <c r="G46" s="484"/>
      <c r="H46" s="505"/>
      <c r="I46" s="506"/>
      <c r="J46" s="506"/>
      <c r="K46" s="506"/>
      <c r="L46" s="505"/>
      <c r="M46" s="505"/>
      <c r="N46" s="330"/>
    </row>
    <row r="47" spans="2:14" ht="15.6" hidden="1" x14ac:dyDescent="0.3">
      <c r="C47" s="451" t="s">
        <v>783</v>
      </c>
      <c r="G47" s="330"/>
      <c r="H47" s="505"/>
      <c r="I47" s="506"/>
      <c r="J47" s="506"/>
      <c r="K47" s="506"/>
      <c r="L47" s="505"/>
      <c r="M47" s="505"/>
      <c r="N47" s="330"/>
    </row>
    <row r="48" spans="2:14" ht="14.45" hidden="1" x14ac:dyDescent="0.3">
      <c r="C48" s="125" t="s">
        <v>306</v>
      </c>
      <c r="D48" s="126"/>
      <c r="E48" s="126"/>
      <c r="G48" s="330"/>
      <c r="H48" s="505"/>
      <c r="I48" s="506"/>
      <c r="J48" s="506"/>
      <c r="K48" s="506"/>
      <c r="L48" s="505"/>
      <c r="M48" s="505"/>
      <c r="N48" s="330"/>
    </row>
    <row r="49" spans="2:14" ht="14.45" hidden="1" x14ac:dyDescent="0.3">
      <c r="C49" s="127">
        <v>9.9999999999999998E-13</v>
      </c>
      <c r="D49" s="8" t="s">
        <v>307</v>
      </c>
      <c r="E49" s="126"/>
      <c r="G49" s="330"/>
      <c r="H49" s="505"/>
      <c r="I49" s="506"/>
      <c r="J49" s="506"/>
      <c r="K49" s="506"/>
      <c r="L49" s="505"/>
      <c r="M49" s="505"/>
      <c r="N49" s="330"/>
    </row>
    <row r="50" spans="2:14" ht="14.45" hidden="1" x14ac:dyDescent="0.3">
      <c r="C50" s="127">
        <v>9.9999999999999995E-7</v>
      </c>
      <c r="D50" s="8" t="s">
        <v>308</v>
      </c>
      <c r="E50" s="126"/>
      <c r="G50" s="330"/>
      <c r="H50" s="505"/>
      <c r="I50" s="506"/>
      <c r="J50" s="506"/>
      <c r="K50" s="506"/>
      <c r="L50" s="505"/>
      <c r="M50" s="505"/>
      <c r="N50" s="330"/>
    </row>
    <row r="51" spans="2:14" ht="14.45" hidden="1" x14ac:dyDescent="0.3">
      <c r="C51" s="127">
        <v>1000000</v>
      </c>
      <c r="D51" s="8" t="s">
        <v>309</v>
      </c>
      <c r="E51" s="126"/>
      <c r="G51" s="330"/>
      <c r="H51" s="505"/>
      <c r="I51" s="506"/>
      <c r="J51" s="506"/>
      <c r="K51" s="506"/>
      <c r="L51" s="505"/>
      <c r="M51" s="505"/>
      <c r="N51" s="330"/>
    </row>
    <row r="52" spans="2:14" ht="14.45" hidden="1" x14ac:dyDescent="0.3">
      <c r="C52" s="128"/>
      <c r="D52" s="126"/>
      <c r="E52" s="126"/>
      <c r="G52" s="330"/>
      <c r="H52" s="505"/>
      <c r="I52" s="506"/>
      <c r="J52" s="506"/>
      <c r="K52" s="506"/>
      <c r="L52" s="505"/>
      <c r="M52" s="505"/>
      <c r="N52" s="330"/>
    </row>
    <row r="53" spans="2:14" ht="14.45" hidden="1" x14ac:dyDescent="0.3">
      <c r="B53" s="9" t="s">
        <v>310</v>
      </c>
      <c r="C53" s="129" t="s">
        <v>311</v>
      </c>
      <c r="D53" s="130" t="s">
        <v>312</v>
      </c>
      <c r="E53" s="8"/>
      <c r="G53" s="330"/>
      <c r="H53" s="505"/>
      <c r="I53" s="506"/>
      <c r="J53" s="506"/>
      <c r="K53" s="506"/>
      <c r="L53" s="505"/>
      <c r="M53" s="505"/>
      <c r="N53" s="330"/>
    </row>
    <row r="54" spans="2:14" ht="14.45" hidden="1" x14ac:dyDescent="0.3">
      <c r="B54" s="8" t="s">
        <v>159</v>
      </c>
      <c r="C54" s="131">
        <v>100</v>
      </c>
      <c r="D54" s="131">
        <v>56000</v>
      </c>
      <c r="E54" s="8" t="s">
        <v>27</v>
      </c>
      <c r="G54" s="330"/>
      <c r="H54" s="505"/>
      <c r="I54" s="506"/>
      <c r="J54" s="506"/>
      <c r="K54" s="506"/>
      <c r="L54" s="505"/>
      <c r="M54" s="505"/>
      <c r="N54" s="330"/>
    </row>
    <row r="55" spans="2:14" ht="14.45" hidden="1" x14ac:dyDescent="0.3">
      <c r="B55" s="8" t="s">
        <v>313</v>
      </c>
      <c r="C55" s="131">
        <v>1</v>
      </c>
      <c r="D55" s="131">
        <v>500</v>
      </c>
      <c r="E55" s="23" t="s">
        <v>96</v>
      </c>
      <c r="G55" s="330"/>
      <c r="H55" s="505"/>
      <c r="I55" s="506"/>
      <c r="J55" s="506"/>
      <c r="K55" s="506"/>
      <c r="L55" s="505"/>
      <c r="M55" s="505"/>
      <c r="N55" s="330"/>
    </row>
    <row r="56" spans="2:14" ht="14.45" hidden="1" x14ac:dyDescent="0.3">
      <c r="B56" s="8" t="s">
        <v>314</v>
      </c>
      <c r="C56" s="132">
        <v>0.5</v>
      </c>
      <c r="D56" s="132">
        <v>10</v>
      </c>
      <c r="E56" s="8"/>
      <c r="G56" s="330"/>
      <c r="H56" s="505"/>
      <c r="I56" s="506"/>
      <c r="J56" s="506"/>
      <c r="K56" s="506"/>
      <c r="L56" s="505"/>
      <c r="M56" s="505"/>
      <c r="N56" s="330"/>
    </row>
    <row r="57" spans="2:14" ht="14.45" hidden="1" x14ac:dyDescent="0.3">
      <c r="B57" s="8" t="s">
        <v>315</v>
      </c>
      <c r="C57" s="131">
        <f>1/D63</f>
        <v>9.9906656960671203</v>
      </c>
      <c r="D57" s="131">
        <f>1/C63</f>
        <v>399.6266278426848</v>
      </c>
      <c r="E57" s="8"/>
      <c r="G57" s="330"/>
      <c r="H57" s="505"/>
      <c r="I57" s="506"/>
      <c r="J57" s="506"/>
      <c r="K57" s="506"/>
      <c r="L57" s="505"/>
      <c r="M57" s="505"/>
      <c r="N57" s="330"/>
    </row>
    <row r="58" spans="2:14" ht="14.45" hidden="1" x14ac:dyDescent="0.3">
      <c r="B58" s="8"/>
      <c r="C58" s="131"/>
      <c r="D58" s="131"/>
      <c r="E58" s="8"/>
      <c r="F58" s="502"/>
      <c r="G58" s="330"/>
      <c r="H58" s="505"/>
      <c r="I58" s="506"/>
      <c r="J58" s="506"/>
      <c r="K58" s="506"/>
      <c r="L58" s="505"/>
      <c r="M58" s="505"/>
      <c r="N58" s="330"/>
    </row>
    <row r="59" spans="2:14" ht="14.45" hidden="1" x14ac:dyDescent="0.3">
      <c r="B59" s="8" t="s">
        <v>316</v>
      </c>
      <c r="C59" s="527">
        <f>0.001*micro*D7/(pico*D6*D10)</f>
        <v>3.9600000000000009</v>
      </c>
      <c r="D59" s="133">
        <f>0.001*D34*micro/(D6*pico*D9)*D36</f>
        <v>6.5250203544536278</v>
      </c>
      <c r="E59" s="524" t="s">
        <v>850</v>
      </c>
      <c r="G59" s="330"/>
      <c r="H59" s="505"/>
      <c r="I59" s="506"/>
      <c r="J59" s="506"/>
      <c r="K59" s="506"/>
      <c r="L59" s="505"/>
      <c r="M59" s="505"/>
      <c r="N59" s="330"/>
    </row>
    <row r="60" spans="2:14" ht="14.45" hidden="1" x14ac:dyDescent="0.3">
      <c r="B60" s="8"/>
      <c r="C60" s="134"/>
      <c r="D60" s="135"/>
      <c r="E60" s="8"/>
      <c r="G60" s="330"/>
      <c r="H60" s="505"/>
      <c r="I60" s="506"/>
      <c r="J60" s="506"/>
      <c r="K60" s="506"/>
      <c r="L60" s="505"/>
      <c r="M60" s="505"/>
      <c r="N60" s="330"/>
    </row>
    <row r="61" spans="2:14" ht="14.45" hidden="1" x14ac:dyDescent="0.3">
      <c r="B61" s="8" t="s">
        <v>317</v>
      </c>
      <c r="C61" s="133">
        <v>1.131</v>
      </c>
      <c r="D61" s="135"/>
      <c r="E61" s="8"/>
      <c r="G61" s="330"/>
      <c r="H61" s="505"/>
      <c r="I61" s="506"/>
      <c r="J61" s="506"/>
      <c r="K61" s="506"/>
      <c r="L61" s="505"/>
      <c r="M61" s="505"/>
      <c r="N61" s="330"/>
    </row>
    <row r="62" spans="2:14" ht="14.45" hidden="1" x14ac:dyDescent="0.3">
      <c r="B62" s="8" t="s">
        <v>318</v>
      </c>
      <c r="C62" s="136">
        <v>0.28299999999999997</v>
      </c>
      <c r="D62" s="135"/>
      <c r="E62" s="8"/>
      <c r="G62" s="330"/>
      <c r="H62" s="505"/>
      <c r="I62" s="506"/>
      <c r="J62" s="506"/>
      <c r="K62" s="506"/>
      <c r="L62" s="505"/>
      <c r="M62" s="505"/>
      <c r="N62" s="330"/>
    </row>
    <row r="63" spans="2:14" ht="14.45" hidden="1" x14ac:dyDescent="0.3">
      <c r="B63" s="8" t="s">
        <v>319</v>
      </c>
      <c r="C63" s="136">
        <f>D63/40</f>
        <v>2.5023357562490942E-3</v>
      </c>
      <c r="D63" s="136">
        <f>1.2567*C62/(PI()*C61)</f>
        <v>0.10009343024996377</v>
      </c>
      <c r="E63" s="8"/>
      <c r="G63" s="330"/>
      <c r="H63" s="505"/>
      <c r="I63" s="506"/>
      <c r="J63" s="506"/>
      <c r="K63" s="506"/>
      <c r="L63" s="505"/>
      <c r="M63" s="505"/>
      <c r="N63" s="330"/>
    </row>
    <row r="64" spans="2:14" ht="14.45" hidden="1" x14ac:dyDescent="0.3">
      <c r="B64" s="8" t="s">
        <v>320</v>
      </c>
      <c r="C64" s="136">
        <f>1/(2*PI()*D6*pico*D21*1000)</f>
        <v>241143.85316953837</v>
      </c>
      <c r="D64" s="135"/>
      <c r="E64" s="8"/>
      <c r="G64" s="330"/>
      <c r="H64" s="505"/>
      <c r="I64" s="506"/>
      <c r="J64" s="506"/>
      <c r="K64" s="506"/>
      <c r="L64" s="505"/>
      <c r="M64" s="505"/>
      <c r="N64" s="330"/>
    </row>
    <row r="65" spans="2:14" ht="14.45" hidden="1" x14ac:dyDescent="0.3">
      <c r="B65" s="8" t="s">
        <v>321</v>
      </c>
      <c r="C65" s="136">
        <f>C64/(Mega*D8)</f>
        <v>5.5368371527945139E-2</v>
      </c>
      <c r="D65" s="136">
        <f>C64/(Mega*D35)</f>
        <v>5.3743269252056018E-2</v>
      </c>
      <c r="E65" s="8"/>
      <c r="F65"/>
      <c r="G65" s="486"/>
      <c r="H65" s="505"/>
      <c r="I65" s="506"/>
      <c r="J65" s="506"/>
      <c r="K65" s="506"/>
      <c r="L65" s="505"/>
      <c r="M65" s="505"/>
      <c r="N65" s="330"/>
    </row>
    <row r="66" spans="2:14" ht="14.45" hidden="1" x14ac:dyDescent="0.3">
      <c r="C66" s="137"/>
      <c r="D66" s="126"/>
      <c r="E66" s="126"/>
      <c r="G66" s="330"/>
      <c r="H66" s="505"/>
      <c r="I66" s="506"/>
      <c r="J66" s="506"/>
      <c r="K66" s="506"/>
      <c r="L66" s="505"/>
      <c r="M66" s="505"/>
      <c r="N66" s="330"/>
    </row>
    <row r="67" spans="2:14" ht="14.45" hidden="1" x14ac:dyDescent="0.3">
      <c r="C67" s="129" t="s">
        <v>322</v>
      </c>
      <c r="D67" s="126"/>
      <c r="E67" s="126"/>
      <c r="G67" s="330"/>
      <c r="H67" s="505"/>
      <c r="I67" s="506"/>
      <c r="J67" s="506"/>
      <c r="K67" s="506"/>
      <c r="L67" s="505"/>
      <c r="M67" s="505"/>
      <c r="N67" s="330"/>
    </row>
    <row r="68" spans="2:14" ht="14.45" hidden="1" x14ac:dyDescent="0.3">
      <c r="B68">
        <v>0</v>
      </c>
      <c r="C68" s="133">
        <v>0.75</v>
      </c>
      <c r="D68" s="8" t="s">
        <v>357</v>
      </c>
      <c r="E68" s="126"/>
      <c r="G68" s="330"/>
      <c r="H68" s="505"/>
      <c r="I68" s="506"/>
      <c r="J68" s="506"/>
      <c r="K68" s="506"/>
      <c r="L68" s="505"/>
      <c r="M68" s="505"/>
      <c r="N68" s="330"/>
    </row>
    <row r="69" spans="2:14" ht="14.45" hidden="1" x14ac:dyDescent="0.3">
      <c r="B69">
        <v>1</v>
      </c>
      <c r="C69" s="133">
        <v>1.5</v>
      </c>
      <c r="D69" s="8" t="s">
        <v>357</v>
      </c>
      <c r="E69" s="126"/>
      <c r="G69" s="330"/>
      <c r="H69" s="505"/>
      <c r="I69" s="506"/>
      <c r="J69" s="506"/>
      <c r="K69" s="506"/>
      <c r="L69" s="505"/>
      <c r="M69" s="505"/>
      <c r="N69" s="330"/>
    </row>
    <row r="70" spans="2:14" ht="14.45" hidden="1" x14ac:dyDescent="0.3">
      <c r="B70">
        <v>2</v>
      </c>
      <c r="C70" s="133">
        <v>3</v>
      </c>
      <c r="D70" s="8" t="s">
        <v>357</v>
      </c>
      <c r="E70" s="126"/>
      <c r="G70" s="330"/>
      <c r="H70" s="505"/>
      <c r="I70" s="506"/>
      <c r="J70" s="506"/>
      <c r="K70" s="506"/>
      <c r="L70" s="505"/>
      <c r="M70" s="505"/>
      <c r="N70" s="330"/>
    </row>
    <row r="71" spans="2:14" ht="14.45" hidden="1" x14ac:dyDescent="0.3">
      <c r="B71">
        <v>3</v>
      </c>
      <c r="C71" s="133">
        <v>6</v>
      </c>
      <c r="D71" s="8" t="s">
        <v>357</v>
      </c>
      <c r="E71" s="126"/>
      <c r="G71" s="330"/>
      <c r="H71" s="505"/>
      <c r="I71" s="506"/>
      <c r="J71" s="506"/>
      <c r="K71" s="506"/>
      <c r="L71" s="505"/>
      <c r="M71" s="505"/>
      <c r="N71" s="330"/>
    </row>
    <row r="72" spans="2:14" ht="14.45" hidden="1" x14ac:dyDescent="0.3">
      <c r="B72">
        <v>4</v>
      </c>
      <c r="C72" s="133">
        <v>12</v>
      </c>
      <c r="D72" s="8" t="s">
        <v>357</v>
      </c>
      <c r="E72" s="126"/>
      <c r="G72" s="330"/>
      <c r="H72" s="505"/>
      <c r="I72" s="506"/>
      <c r="J72" s="506"/>
      <c r="K72" s="506"/>
      <c r="L72" s="505"/>
      <c r="M72" s="505"/>
      <c r="N72" s="330"/>
    </row>
    <row r="73" spans="2:14" ht="14.45" hidden="1" x14ac:dyDescent="0.3">
      <c r="B73">
        <v>5</v>
      </c>
      <c r="C73" s="133">
        <v>24</v>
      </c>
      <c r="D73" s="8" t="s">
        <v>357</v>
      </c>
      <c r="E73" s="126"/>
      <c r="G73" s="330"/>
      <c r="H73" s="505"/>
      <c r="I73" s="506"/>
      <c r="J73" s="506"/>
      <c r="K73" s="506"/>
      <c r="L73" s="505"/>
      <c r="M73" s="505"/>
      <c r="N73" s="330"/>
    </row>
    <row r="74" spans="2:14" ht="14.45" hidden="1" x14ac:dyDescent="0.3">
      <c r="B74">
        <v>6</v>
      </c>
      <c r="C74" s="133">
        <v>48</v>
      </c>
      <c r="D74" s="8" t="s">
        <v>357</v>
      </c>
      <c r="E74" s="126"/>
      <c r="G74" s="330"/>
      <c r="H74" s="505"/>
      <c r="I74" s="506"/>
      <c r="J74" s="506"/>
      <c r="K74" s="506"/>
      <c r="L74" s="505"/>
      <c r="M74" s="505"/>
      <c r="N74" s="330"/>
    </row>
    <row r="75" spans="2:14" ht="14.45" hidden="1" x14ac:dyDescent="0.3">
      <c r="B75">
        <v>7</v>
      </c>
      <c r="C75" s="133">
        <v>96</v>
      </c>
      <c r="D75" s="8" t="s">
        <v>357</v>
      </c>
      <c r="E75" s="126"/>
      <c r="G75" s="330"/>
      <c r="H75" s="505"/>
      <c r="I75" s="506"/>
      <c r="J75" s="506"/>
      <c r="K75" s="506"/>
      <c r="L75" s="505"/>
      <c r="M75" s="505"/>
      <c r="N75" s="330"/>
    </row>
    <row r="76" spans="2:14" ht="14.45" hidden="1" x14ac:dyDescent="0.3">
      <c r="C76" s="137"/>
      <c r="D76" s="126"/>
      <c r="E76" s="126"/>
      <c r="G76" s="330"/>
      <c r="H76" s="505"/>
      <c r="I76" s="506"/>
      <c r="J76" s="506"/>
      <c r="K76" s="506"/>
      <c r="L76" s="505"/>
      <c r="M76" s="505"/>
      <c r="N76" s="330"/>
    </row>
    <row r="77" spans="2:14" ht="14.45" hidden="1" x14ac:dyDescent="0.3">
      <c r="C77" s="129" t="s">
        <v>323</v>
      </c>
      <c r="D77" s="126"/>
      <c r="E77" s="126"/>
      <c r="G77" s="330"/>
      <c r="H77" s="505"/>
      <c r="I77" s="506"/>
      <c r="J77" s="506"/>
      <c r="K77" s="506"/>
      <c r="L77" s="505"/>
      <c r="M77" s="505"/>
      <c r="N77" s="330"/>
    </row>
    <row r="78" spans="2:14" ht="14.45" hidden="1" x14ac:dyDescent="0.3">
      <c r="B78">
        <v>0</v>
      </c>
      <c r="C78" s="133">
        <v>0.75</v>
      </c>
      <c r="D78" s="138" t="s">
        <v>27</v>
      </c>
      <c r="E78" s="126"/>
      <c r="G78" s="330"/>
      <c r="H78" s="505"/>
      <c r="I78" s="506"/>
      <c r="J78" s="506"/>
      <c r="K78" s="506"/>
      <c r="L78" s="505"/>
      <c r="M78" s="505"/>
      <c r="N78" s="330"/>
    </row>
    <row r="79" spans="2:14" ht="14.45" hidden="1" x14ac:dyDescent="0.3">
      <c r="B79">
        <v>1</v>
      </c>
      <c r="C79" s="133">
        <v>1.5</v>
      </c>
      <c r="D79" s="138" t="s">
        <v>27</v>
      </c>
      <c r="E79" s="126"/>
      <c r="G79" s="330"/>
      <c r="H79" s="505"/>
      <c r="I79" s="506"/>
      <c r="J79" s="506"/>
      <c r="K79" s="506"/>
      <c r="L79" s="505"/>
      <c r="M79" s="505"/>
      <c r="N79" s="330"/>
    </row>
    <row r="80" spans="2:14" ht="14.45" hidden="1" x14ac:dyDescent="0.3">
      <c r="B80">
        <v>2</v>
      </c>
      <c r="C80" s="133">
        <v>3</v>
      </c>
      <c r="D80" s="138" t="s">
        <v>27</v>
      </c>
      <c r="E80" s="126"/>
      <c r="G80" s="330"/>
      <c r="H80" s="505"/>
      <c r="I80" s="506"/>
      <c r="J80" s="506"/>
      <c r="K80" s="506"/>
      <c r="L80" s="505"/>
      <c r="M80" s="505"/>
      <c r="N80" s="330"/>
    </row>
    <row r="81" spans="2:14" ht="14.45" hidden="1" x14ac:dyDescent="0.3">
      <c r="B81">
        <v>3</v>
      </c>
      <c r="C81" s="133">
        <v>6</v>
      </c>
      <c r="D81" s="138" t="s">
        <v>27</v>
      </c>
      <c r="E81" s="126"/>
      <c r="G81" s="330"/>
      <c r="H81" s="505"/>
      <c r="I81" s="506"/>
      <c r="J81" s="506"/>
      <c r="K81" s="506"/>
      <c r="L81" s="505"/>
      <c r="M81" s="505"/>
      <c r="N81" s="330"/>
    </row>
    <row r="82" spans="2:14" ht="14.45" hidden="1" x14ac:dyDescent="0.3">
      <c r="C82" s="137"/>
      <c r="D82" s="126"/>
      <c r="E82" s="126"/>
      <c r="G82" s="330"/>
      <c r="H82" s="505"/>
      <c r="I82" s="506"/>
      <c r="J82" s="506"/>
      <c r="K82" s="506"/>
      <c r="L82" s="505"/>
      <c r="M82" s="505"/>
      <c r="N82" s="330"/>
    </row>
    <row r="83" spans="2:14" ht="14.45" hidden="1" x14ac:dyDescent="0.3">
      <c r="C83" s="129" t="s">
        <v>358</v>
      </c>
      <c r="D83" s="126"/>
      <c r="E83" s="126"/>
      <c r="F83" s="106"/>
      <c r="G83" s="330"/>
      <c r="H83" s="505"/>
      <c r="I83" s="506"/>
      <c r="J83" s="506"/>
      <c r="K83" s="506"/>
      <c r="L83" s="505"/>
      <c r="M83" s="505"/>
      <c r="N83" s="330"/>
    </row>
    <row r="84" spans="2:14" ht="14.45" hidden="1" x14ac:dyDescent="0.3">
      <c r="B84">
        <v>0</v>
      </c>
      <c r="C84" s="133">
        <v>20.6</v>
      </c>
      <c r="D84" s="8" t="s">
        <v>357</v>
      </c>
      <c r="E84" s="126"/>
      <c r="F84" s="98"/>
      <c r="G84" s="330"/>
      <c r="H84" s="505"/>
      <c r="I84" s="506"/>
      <c r="J84" s="506"/>
      <c r="K84" s="506"/>
      <c r="L84" s="505"/>
      <c r="M84" s="505"/>
      <c r="N84" s="330"/>
    </row>
    <row r="85" spans="2:14" ht="14.45" hidden="1" x14ac:dyDescent="0.3">
      <c r="B85">
        <v>1</v>
      </c>
      <c r="C85" s="133">
        <v>417.4</v>
      </c>
      <c r="D85" s="8" t="s">
        <v>357</v>
      </c>
      <c r="E85" s="126"/>
      <c r="F85" s="98"/>
      <c r="G85" s="330"/>
      <c r="H85" s="505"/>
      <c r="I85" s="506"/>
      <c r="J85" s="506"/>
      <c r="K85" s="506"/>
      <c r="L85" s="505"/>
      <c r="M85" s="505"/>
      <c r="N85" s="330"/>
    </row>
    <row r="86" spans="2:14" ht="14.45" hidden="1" x14ac:dyDescent="0.3">
      <c r="C86" s="137"/>
      <c r="D86" s="126"/>
      <c r="E86" s="126"/>
      <c r="F86" s="106"/>
      <c r="G86" s="330"/>
      <c r="H86" s="505"/>
      <c r="I86" s="506"/>
      <c r="J86" s="506"/>
      <c r="K86" s="506"/>
      <c r="L86" s="505"/>
      <c r="M86" s="505"/>
      <c r="N86" s="330"/>
    </row>
    <row r="87" spans="2:14" ht="14.45" hidden="1" x14ac:dyDescent="0.3">
      <c r="C87" s="129" t="s">
        <v>324</v>
      </c>
      <c r="D87" s="126"/>
      <c r="E87" s="126"/>
      <c r="G87" s="330"/>
      <c r="H87" s="505"/>
      <c r="I87" s="506"/>
      <c r="J87" s="506"/>
      <c r="K87" s="506"/>
      <c r="L87" s="505"/>
      <c r="M87" s="505"/>
      <c r="N87" s="330"/>
    </row>
    <row r="88" spans="2:14" ht="14.45" hidden="1" x14ac:dyDescent="0.3">
      <c r="B88">
        <v>0</v>
      </c>
      <c r="C88" s="133">
        <v>3</v>
      </c>
      <c r="D88" s="138" t="s">
        <v>27</v>
      </c>
      <c r="E88" s="126"/>
      <c r="G88" s="330"/>
      <c r="H88" s="505"/>
      <c r="I88" s="506"/>
      <c r="J88" s="506"/>
      <c r="K88" s="506"/>
      <c r="L88" s="505"/>
      <c r="M88" s="505"/>
      <c r="N88" s="330"/>
    </row>
    <row r="89" spans="2:14" ht="14.45" hidden="1" x14ac:dyDescent="0.3">
      <c r="B89">
        <v>1</v>
      </c>
      <c r="C89" s="133">
        <v>6</v>
      </c>
      <c r="D89" s="138" t="s">
        <v>27</v>
      </c>
      <c r="E89" s="126"/>
      <c r="G89" s="330"/>
      <c r="H89" s="505"/>
      <c r="I89" s="506"/>
      <c r="J89" s="506"/>
      <c r="K89" s="506"/>
      <c r="L89" s="505"/>
      <c r="M89" s="505"/>
      <c r="N89" s="330"/>
    </row>
    <row r="90" spans="2:14" ht="14.45" hidden="1" x14ac:dyDescent="0.3">
      <c r="B90">
        <v>2</v>
      </c>
      <c r="C90" s="133">
        <v>12</v>
      </c>
      <c r="D90" s="138" t="s">
        <v>27</v>
      </c>
      <c r="E90" s="126"/>
      <c r="G90" s="330"/>
      <c r="H90" s="505"/>
      <c r="I90" s="506"/>
      <c r="J90" s="506"/>
      <c r="K90" s="506"/>
      <c r="L90" s="505"/>
      <c r="M90" s="505"/>
      <c r="N90" s="330"/>
    </row>
    <row r="91" spans="2:14" ht="14.45" hidden="1" x14ac:dyDescent="0.3">
      <c r="B91">
        <v>3</v>
      </c>
      <c r="C91" s="133">
        <v>24</v>
      </c>
      <c r="D91" s="138" t="s">
        <v>27</v>
      </c>
      <c r="E91" s="126"/>
      <c r="G91" s="330"/>
      <c r="H91" s="505"/>
      <c r="I91" s="506"/>
      <c r="J91" s="506"/>
      <c r="K91" s="506"/>
      <c r="L91" s="505"/>
      <c r="M91" s="505"/>
      <c r="N91" s="330"/>
    </row>
    <row r="92" spans="2:14" ht="14.45" hidden="1" x14ac:dyDescent="0.3">
      <c r="C92" s="137"/>
      <c r="D92" s="126"/>
      <c r="E92" s="126"/>
      <c r="G92" s="330"/>
      <c r="H92" s="505"/>
      <c r="I92" s="506"/>
      <c r="J92" s="506"/>
      <c r="K92" s="506"/>
      <c r="L92" s="505"/>
      <c r="M92" s="505"/>
      <c r="N92" s="330"/>
    </row>
    <row r="93" spans="2:14" ht="14.45" hidden="1" x14ac:dyDescent="0.3">
      <c r="C93" s="129" t="s">
        <v>359</v>
      </c>
      <c r="D93" s="126"/>
      <c r="E93" s="126"/>
      <c r="G93" s="330"/>
      <c r="H93" s="505"/>
      <c r="I93" s="506"/>
      <c r="J93" s="506"/>
      <c r="K93" s="506"/>
      <c r="L93" s="505"/>
      <c r="M93" s="505"/>
      <c r="N93" s="330"/>
    </row>
    <row r="94" spans="2:14" ht="14.45" hidden="1" x14ac:dyDescent="0.3">
      <c r="B94">
        <v>0</v>
      </c>
      <c r="C94" s="133">
        <v>24.6</v>
      </c>
      <c r="D94" s="8" t="s">
        <v>357</v>
      </c>
      <c r="E94" s="126"/>
      <c r="G94" s="330"/>
      <c r="H94" s="505"/>
      <c r="I94" s="506"/>
      <c r="J94" s="506"/>
      <c r="K94" s="506"/>
      <c r="L94" s="505"/>
      <c r="M94" s="505"/>
      <c r="N94" s="330"/>
    </row>
    <row r="95" spans="2:14" ht="14.45" hidden="1" x14ac:dyDescent="0.3">
      <c r="B95">
        <v>1</v>
      </c>
      <c r="C95" s="133">
        <v>834.8</v>
      </c>
      <c r="D95" s="8" t="s">
        <v>357</v>
      </c>
      <c r="E95" s="126"/>
      <c r="G95" s="330"/>
      <c r="H95" s="505"/>
      <c r="I95" s="506"/>
      <c r="J95" s="506"/>
      <c r="K95" s="506"/>
      <c r="L95" s="505"/>
      <c r="M95" s="505"/>
      <c r="N95" s="330"/>
    </row>
    <row r="96" spans="2:14" x14ac:dyDescent="0.25">
      <c r="C96" s="452"/>
      <c r="D96" s="8"/>
      <c r="E96" s="126"/>
      <c r="G96" s="330"/>
      <c r="H96" s="505"/>
      <c r="I96" s="506"/>
      <c r="J96" s="506"/>
      <c r="K96" s="506"/>
      <c r="L96" s="505"/>
      <c r="M96" s="505"/>
      <c r="N96" s="330"/>
    </row>
    <row r="97" spans="3:14" ht="15.75" x14ac:dyDescent="0.25">
      <c r="C97" s="451" t="s">
        <v>784</v>
      </c>
      <c r="D97" s="8"/>
      <c r="E97" s="126"/>
      <c r="G97" s="330"/>
      <c r="H97" s="330"/>
      <c r="I97" s="485"/>
      <c r="J97" s="485"/>
      <c r="K97" s="485"/>
      <c r="L97" s="330"/>
      <c r="M97" s="330"/>
      <c r="N97" s="330"/>
    </row>
    <row r="98" spans="3:14" x14ac:dyDescent="0.25">
      <c r="C98" s="25" t="s">
        <v>785</v>
      </c>
      <c r="D98" s="453">
        <v>1536</v>
      </c>
      <c r="E98" s="115"/>
      <c r="F98" s="116" t="s">
        <v>786</v>
      </c>
      <c r="N98" s="423"/>
    </row>
    <row r="99" spans="3:14" ht="14.45" hidden="1" x14ac:dyDescent="0.3">
      <c r="C99" s="25" t="s">
        <v>787</v>
      </c>
      <c r="D99" s="454">
        <f>LOG((D98/48),2)</f>
        <v>5</v>
      </c>
      <c r="E99" s="115"/>
      <c r="F99" s="116"/>
    </row>
    <row r="100" spans="3:14" ht="14.45" hidden="1" x14ac:dyDescent="0.3">
      <c r="C100" s="25" t="s">
        <v>788</v>
      </c>
      <c r="D100" s="454">
        <f>16-(8/MIN(16,D8))</f>
        <v>14.163142180895056</v>
      </c>
      <c r="E100" s="115"/>
      <c r="F100" s="116"/>
    </row>
    <row r="101" spans="3:14" x14ac:dyDescent="0.25">
      <c r="C101" s="7" t="s">
        <v>19</v>
      </c>
      <c r="D101" s="455">
        <v>16</v>
      </c>
      <c r="E101" s="456" t="s">
        <v>0</v>
      </c>
      <c r="F101" s="117" t="str">
        <f>IF(D101&lt;D102/2,"Reference Frequency too low for Sensor","[1MHz to 16 MHz] - Not needed for Rp-only Measurements")</f>
        <v>[1MHz to 16 MHz] - Not needed for Rp-only Measurements</v>
      </c>
    </row>
    <row r="102" spans="3:14" ht="14.45" hidden="1" x14ac:dyDescent="0.3">
      <c r="C102" s="97" t="s">
        <v>789</v>
      </c>
      <c r="D102" s="457">
        <f>D18</f>
        <v>4.3626718781453206</v>
      </c>
      <c r="E102" s="458"/>
      <c r="F102" s="117" t="s">
        <v>1059</v>
      </c>
    </row>
    <row r="103" spans="3:14" ht="14.45" hidden="1" x14ac:dyDescent="0.3">
      <c r="C103" s="97" t="s">
        <v>790</v>
      </c>
      <c r="D103" s="459">
        <f>D102/(D101/4)</f>
        <v>1.0906679695363302</v>
      </c>
      <c r="E103" s="458"/>
      <c r="F103" s="117" t="s">
        <v>1060</v>
      </c>
      <c r="H103" s="422"/>
    </row>
    <row r="104" spans="3:14" ht="14.45" hidden="1" x14ac:dyDescent="0.3">
      <c r="C104" s="97" t="s">
        <v>791</v>
      </c>
      <c r="D104" s="460">
        <f>MAX(MIN(2^(CEILING(LOG(D103,2),1)),8),1)</f>
        <v>2</v>
      </c>
      <c r="E104" s="458"/>
      <c r="F104" s="117" t="s">
        <v>1061</v>
      </c>
    </row>
    <row r="105" spans="3:14" ht="18" x14ac:dyDescent="0.35">
      <c r="C105" s="25" t="s">
        <v>792</v>
      </c>
      <c r="D105" s="433">
        <f>(1/D8)*D98/3</f>
        <v>117.55890042271641</v>
      </c>
      <c r="E105" s="461" t="s">
        <v>222</v>
      </c>
      <c r="F105" s="116" t="s">
        <v>793</v>
      </c>
    </row>
    <row r="106" spans="3:14" ht="18" x14ac:dyDescent="0.35">
      <c r="C106" s="25" t="s">
        <v>794</v>
      </c>
      <c r="D106" s="462">
        <f>1000/D105</f>
        <v>8.5063742209583122</v>
      </c>
      <c r="E106" s="116" t="s">
        <v>202</v>
      </c>
      <c r="F106" s="106"/>
      <c r="I106"/>
    </row>
    <row r="107" spans="3:14" x14ac:dyDescent="0.25">
      <c r="C107" s="463" t="str">
        <f>IF(E107="hex","RCOUNT Setting (range:0x0003 to 0xFFFF)","RCOUNT Setting (range:3 to 65535)")</f>
        <v>RCOUNT Setting (range:0x0003 to 0xFFFF)</v>
      </c>
      <c r="D107" s="278">
        <v>200</v>
      </c>
      <c r="E107" s="275" t="s">
        <v>369</v>
      </c>
      <c r="F107" s="464" t="str">
        <f>IF(D108&lt;3,"RCOUNT Below Minimum of 3",IF(D108&gt;65535,"RCOUNT exceeds maximum of decimal 65535","For LHR Measurements"))</f>
        <v>For LHR Measurements</v>
      </c>
      <c r="I107"/>
    </row>
    <row r="108" spans="3:14" ht="14.45" hidden="1" x14ac:dyDescent="0.3">
      <c r="C108" s="465" t="s">
        <v>378</v>
      </c>
      <c r="D108" s="466">
        <f>IF(E107="hex",HEX2DEC(D107),D107)</f>
        <v>512</v>
      </c>
      <c r="E108" s="396"/>
      <c r="F108" s="467"/>
      <c r="I108"/>
    </row>
    <row r="109" spans="3:14" ht="14.45" hidden="1" x14ac:dyDescent="0.3">
      <c r="C109" s="465" t="s">
        <v>795</v>
      </c>
      <c r="D109" s="466" t="b">
        <f>IF(D108&lt;3,FALSE,IF(D108&gt;65535,FALSE,TRUE))</f>
        <v>1</v>
      </c>
      <c r="E109" s="396"/>
      <c r="F109" s="467"/>
      <c r="I109"/>
    </row>
    <row r="110" spans="3:14" ht="14.45" hidden="1" x14ac:dyDescent="0.3">
      <c r="C110" s="465" t="s">
        <v>796</v>
      </c>
      <c r="D110" s="468">
        <f>IF(D109,D108,0)</f>
        <v>512</v>
      </c>
      <c r="E110" s="6"/>
      <c r="F110"/>
      <c r="I110"/>
    </row>
    <row r="111" spans="3:14" ht="14.45" hidden="1" x14ac:dyDescent="0.3">
      <c r="C111" s="469" t="s">
        <v>797</v>
      </c>
      <c r="D111" s="470">
        <f>MOD(D110,256)</f>
        <v>0</v>
      </c>
      <c r="E111" s="86"/>
      <c r="F111" s="6"/>
      <c r="I111"/>
    </row>
    <row r="112" spans="3:14" ht="14.45" hidden="1" x14ac:dyDescent="0.3">
      <c r="C112" s="469" t="s">
        <v>220</v>
      </c>
      <c r="D112" s="471">
        <f>D110*16</f>
        <v>8192</v>
      </c>
      <c r="E112" s="86"/>
      <c r="F112"/>
      <c r="I112"/>
    </row>
    <row r="113" spans="2:11" ht="14.45" hidden="1" x14ac:dyDescent="0.3">
      <c r="C113" s="469" t="s">
        <v>370</v>
      </c>
      <c r="D113" s="472">
        <v>55</v>
      </c>
      <c r="E113" s="6"/>
      <c r="F113"/>
      <c r="I113"/>
    </row>
    <row r="114" spans="2:11" ht="14.45" hidden="1" x14ac:dyDescent="0.3">
      <c r="C114" s="469" t="s">
        <v>282</v>
      </c>
      <c r="D114" s="472">
        <f>(D112+D113)/D101</f>
        <v>515.4375</v>
      </c>
      <c r="E114" s="21" t="s">
        <v>222</v>
      </c>
      <c r="F114"/>
      <c r="I114"/>
    </row>
    <row r="115" spans="2:11" ht="14.45" hidden="1" x14ac:dyDescent="0.3">
      <c r="C115" s="469" t="s">
        <v>798</v>
      </c>
      <c r="D115" s="473">
        <f>8000000/(3*9)</f>
        <v>296296.29629629629</v>
      </c>
      <c r="E115" s="21" t="s">
        <v>405</v>
      </c>
      <c r="F115"/>
      <c r="I115"/>
    </row>
    <row r="116" spans="2:11" ht="14.45" hidden="1" x14ac:dyDescent="0.3">
      <c r="C116" s="469" t="s">
        <v>529</v>
      </c>
      <c r="D116" s="474">
        <f>1000000/D115</f>
        <v>3.375</v>
      </c>
      <c r="E116" s="21" t="s">
        <v>222</v>
      </c>
      <c r="F116"/>
      <c r="I116"/>
    </row>
    <row r="117" spans="2:11" x14ac:dyDescent="0.25">
      <c r="C117" s="25" t="s">
        <v>799</v>
      </c>
      <c r="D117" s="35">
        <f>IF(D114&gt;1000,D114/1000,D114)</f>
        <v>515.4375</v>
      </c>
      <c r="E117" s="64" t="str">
        <f>IF(D114&gt;1000,"ms","µs")</f>
        <v>µs</v>
      </c>
      <c r="F117"/>
      <c r="I117"/>
    </row>
    <row r="118" spans="2:11" x14ac:dyDescent="0.25">
      <c r="C118" s="25" t="s">
        <v>800</v>
      </c>
      <c r="D118" s="35">
        <f>1000/D117</f>
        <v>1.9400994300957923</v>
      </c>
      <c r="E118" s="65" t="str">
        <f>IF(E117="µs","ksps","sps")</f>
        <v>ksps</v>
      </c>
      <c r="F118" s="71"/>
      <c r="I118"/>
    </row>
    <row r="119" spans="2:11" x14ac:dyDescent="0.25">
      <c r="B119" s="7"/>
      <c r="D119"/>
      <c r="E119"/>
      <c r="F119"/>
      <c r="I119"/>
    </row>
    <row r="120" spans="2:11" ht="15.75" x14ac:dyDescent="0.25">
      <c r="B120" s="7"/>
      <c r="C120" s="492" t="s">
        <v>822</v>
      </c>
      <c r="D120"/>
      <c r="E120"/>
      <c r="F120"/>
      <c r="I120"/>
      <c r="J120" s="489"/>
      <c r="K120" s="489"/>
    </row>
    <row r="121" spans="2:11" x14ac:dyDescent="0.25">
      <c r="B121" s="7"/>
      <c r="C121" s="521" t="s">
        <v>838</v>
      </c>
      <c r="D121"/>
      <c r="E121"/>
      <c r="F121"/>
      <c r="I121"/>
      <c r="J121" s="489"/>
      <c r="K121" s="489"/>
    </row>
    <row r="122" spans="2:11" x14ac:dyDescent="0.25">
      <c r="B122" s="7"/>
      <c r="C122" s="521" t="s">
        <v>833</v>
      </c>
      <c r="D122" s="489"/>
      <c r="E122" s="489"/>
      <c r="F122"/>
      <c r="I122"/>
      <c r="J122" s="489"/>
      <c r="K122" s="489"/>
    </row>
    <row r="123" spans="2:11" x14ac:dyDescent="0.25">
      <c r="B123" s="7"/>
      <c r="C123" s="498" t="s">
        <v>835</v>
      </c>
      <c r="D123" s="501" t="s">
        <v>828</v>
      </c>
      <c r="E123" s="489"/>
      <c r="F123"/>
      <c r="I123"/>
      <c r="J123" s="489"/>
      <c r="K123" s="489"/>
    </row>
    <row r="124" spans="2:11" x14ac:dyDescent="0.25">
      <c r="B124" s="7"/>
      <c r="C124" s="463" t="s">
        <v>837</v>
      </c>
      <c r="D124" s="150">
        <v>2</v>
      </c>
      <c r="E124" s="6" t="str">
        <f>IF(D145&gt;0,"sps","This Sample Rate is too high and cannot use Sleep Mode")</f>
        <v>sps</v>
      </c>
      <c r="F124"/>
      <c r="I124"/>
      <c r="J124" s="489"/>
      <c r="K124" s="489"/>
    </row>
    <row r="125" spans="2:11" x14ac:dyDescent="0.25">
      <c r="B125" s="7"/>
      <c r="C125" s="463" t="s">
        <v>844</v>
      </c>
      <c r="D125" s="277">
        <v>8000</v>
      </c>
      <c r="E125" s="6" t="s">
        <v>231</v>
      </c>
      <c r="F125"/>
      <c r="I125"/>
      <c r="J125" s="489"/>
      <c r="K125" s="489"/>
    </row>
    <row r="126" spans="2:11" ht="14.45" hidden="1" x14ac:dyDescent="0.3">
      <c r="B126" s="7"/>
      <c r="C126" s="463" t="s">
        <v>823</v>
      </c>
      <c r="D126" s="493">
        <f>5*D105/1000</f>
        <v>0.58779450211358197</v>
      </c>
      <c r="E126" s="461" t="s">
        <v>229</v>
      </c>
      <c r="F126" s="7" t="s">
        <v>829</v>
      </c>
      <c r="I126"/>
      <c r="J126" s="489"/>
      <c r="K126" s="489"/>
    </row>
    <row r="127" spans="2:11" ht="14.45" hidden="1" x14ac:dyDescent="0.3">
      <c r="B127" s="7"/>
      <c r="C127" s="463" t="s">
        <v>824</v>
      </c>
      <c r="D127" s="494">
        <f>2*D114/1000</f>
        <v>1.030875</v>
      </c>
      <c r="E127" s="461" t="s">
        <v>229</v>
      </c>
      <c r="F127" t="s">
        <v>834</v>
      </c>
      <c r="I127"/>
      <c r="J127" s="489"/>
      <c r="K127" s="489"/>
    </row>
    <row r="128" spans="2:11" ht="14.45" hidden="1" x14ac:dyDescent="0.3">
      <c r="B128" s="7"/>
      <c r="C128" s="13" t="s">
        <v>233</v>
      </c>
      <c r="D128" s="495">
        <v>0.8</v>
      </c>
      <c r="E128" t="s">
        <v>229</v>
      </c>
      <c r="F128" t="s">
        <v>831</v>
      </c>
      <c r="I128"/>
      <c r="J128" s="489"/>
      <c r="K128" s="489"/>
    </row>
    <row r="129" spans="2:11" ht="14.45" hidden="1" x14ac:dyDescent="0.3">
      <c r="B129" s="7"/>
      <c r="C129" s="13" t="s">
        <v>209</v>
      </c>
      <c r="D129" s="496">
        <f>12</f>
        <v>12</v>
      </c>
      <c r="E129"/>
      <c r="F129"/>
      <c r="I129"/>
      <c r="J129" s="489"/>
      <c r="K129" s="489"/>
    </row>
    <row r="130" spans="2:11" ht="14.45" hidden="1" x14ac:dyDescent="0.3">
      <c r="B130" s="7"/>
      <c r="C130" s="13" t="s">
        <v>826</v>
      </c>
      <c r="D130" s="496">
        <v>17</v>
      </c>
      <c r="E130"/>
      <c r="F130"/>
      <c r="I130"/>
      <c r="J130" s="489"/>
      <c r="K130" s="489"/>
    </row>
    <row r="131" spans="2:11" ht="14.45" hidden="1" x14ac:dyDescent="0.3">
      <c r="B131" s="7"/>
      <c r="C131" s="13" t="s">
        <v>830</v>
      </c>
      <c r="D131" s="496">
        <v>9</v>
      </c>
      <c r="E131"/>
      <c r="F131"/>
      <c r="I131"/>
      <c r="J131" s="489"/>
      <c r="K131" s="489"/>
    </row>
    <row r="132" spans="2:11" ht="14.45" hidden="1" x14ac:dyDescent="0.3">
      <c r="B132" s="7"/>
      <c r="C132" s="13" t="s">
        <v>827</v>
      </c>
      <c r="D132" s="113">
        <f>D129*D130/D125</f>
        <v>2.5499999999999998E-2</v>
      </c>
      <c r="E132" t="s">
        <v>229</v>
      </c>
      <c r="F132"/>
      <c r="I132"/>
      <c r="J132" s="489"/>
      <c r="K132" s="489"/>
    </row>
    <row r="133" spans="2:11" ht="28.9" hidden="1" x14ac:dyDescent="0.3">
      <c r="B133" s="7"/>
      <c r="C133" s="499" t="s">
        <v>383</v>
      </c>
      <c r="D133" s="113">
        <f>(D130+4*D131)/D125</f>
        <v>6.6249999999999998E-3</v>
      </c>
      <c r="E133" t="s">
        <v>229</v>
      </c>
      <c r="F133"/>
      <c r="I133"/>
      <c r="J133" s="489"/>
      <c r="K133" s="489"/>
    </row>
    <row r="134" spans="2:11" ht="14.45" hidden="1" x14ac:dyDescent="0.3">
      <c r="B134" s="7"/>
      <c r="C134" s="13" t="s">
        <v>825</v>
      </c>
      <c r="D134" s="113">
        <f>D132+D128</f>
        <v>0.82550000000000001</v>
      </c>
      <c r="E134" t="s">
        <v>229</v>
      </c>
      <c r="F134"/>
      <c r="I134"/>
      <c r="J134" s="489"/>
      <c r="K134" s="489"/>
    </row>
    <row r="135" spans="2:11" ht="14.45" hidden="1" x14ac:dyDescent="0.3">
      <c r="B135" s="7"/>
      <c r="C135" s="13" t="s">
        <v>236</v>
      </c>
      <c r="D135" s="113">
        <f>0.04+(0.008+0.002*D161)/D8</f>
        <v>4.2755286728657416E-2</v>
      </c>
      <c r="E135" t="s">
        <v>229</v>
      </c>
      <c r="F135" t="s">
        <v>847</v>
      </c>
      <c r="I135"/>
      <c r="J135" s="489"/>
      <c r="K135" s="489"/>
    </row>
    <row r="136" spans="2:11" ht="14.45" hidden="1" x14ac:dyDescent="0.3">
      <c r="B136" s="7"/>
      <c r="C136" s="13" t="s">
        <v>241</v>
      </c>
      <c r="D136" s="494">
        <f>IF(D123="LHR",D127,D126)</f>
        <v>1.030875</v>
      </c>
      <c r="E136" t="s">
        <v>229</v>
      </c>
      <c r="F136"/>
      <c r="I136"/>
      <c r="J136" s="489"/>
      <c r="K136" s="489"/>
    </row>
    <row r="137" spans="2:11" ht="14.45" hidden="1" x14ac:dyDescent="0.3">
      <c r="B137" s="7"/>
      <c r="C137" s="13" t="s">
        <v>832</v>
      </c>
      <c r="D137" s="113">
        <f>D136+D135+D133</f>
        <v>1.0802552867286574</v>
      </c>
      <c r="E137" t="s">
        <v>229</v>
      </c>
      <c r="F137"/>
      <c r="I137"/>
      <c r="J137" s="489"/>
      <c r="K137" s="489"/>
    </row>
    <row r="138" spans="2:11" ht="14.45" hidden="1" x14ac:dyDescent="0.3">
      <c r="B138" s="7"/>
      <c r="C138" s="13" t="s">
        <v>238</v>
      </c>
      <c r="D138" s="497">
        <f>D137*D124</f>
        <v>2.1605105734573149</v>
      </c>
      <c r="E138" t="s">
        <v>229</v>
      </c>
      <c r="F138"/>
      <c r="I138"/>
      <c r="J138" s="489"/>
      <c r="K138" s="489"/>
    </row>
    <row r="139" spans="2:11" ht="14.45" hidden="1" x14ac:dyDescent="0.3">
      <c r="B139" s="7"/>
      <c r="C139" s="13" t="s">
        <v>250</v>
      </c>
      <c r="D139" s="497">
        <f>(D134)*D124</f>
        <v>1.651</v>
      </c>
      <c r="E139" t="s">
        <v>229</v>
      </c>
      <c r="F139"/>
      <c r="I139"/>
      <c r="J139" s="489"/>
      <c r="K139" s="489"/>
    </row>
    <row r="140" spans="2:11" ht="14.45" hidden="1" x14ac:dyDescent="0.3">
      <c r="B140" s="7"/>
      <c r="C140" s="13" t="s">
        <v>245</v>
      </c>
      <c r="D140" s="113">
        <f>0.45/D21</f>
        <v>0.15</v>
      </c>
      <c r="E140" t="s">
        <v>244</v>
      </c>
      <c r="F140"/>
      <c r="I140"/>
      <c r="J140" s="489"/>
      <c r="K140" s="489"/>
    </row>
    <row r="141" spans="2:11" ht="14.45" hidden="1" x14ac:dyDescent="0.3">
      <c r="B141" s="7"/>
      <c r="C141" s="13" t="s">
        <v>385</v>
      </c>
      <c r="D141" s="495">
        <v>3.1</v>
      </c>
      <c r="E141" t="s">
        <v>244</v>
      </c>
      <c r="F141"/>
      <c r="I141"/>
      <c r="J141" s="489"/>
      <c r="K141" s="489"/>
    </row>
    <row r="142" spans="2:11" ht="14.45" hidden="1" x14ac:dyDescent="0.3">
      <c r="B142" s="7"/>
      <c r="C142" s="13" t="s">
        <v>386</v>
      </c>
      <c r="D142" s="495">
        <f>D141+D140</f>
        <v>3.25</v>
      </c>
      <c r="E142" t="s">
        <v>244</v>
      </c>
      <c r="F142"/>
      <c r="I142"/>
      <c r="J142" s="489"/>
      <c r="K142" s="489"/>
    </row>
    <row r="143" spans="2:11" ht="14.45" hidden="1" x14ac:dyDescent="0.3">
      <c r="B143" s="7"/>
      <c r="C143" s="13" t="s">
        <v>247</v>
      </c>
      <c r="D143" s="118">
        <v>0.13500000000000001</v>
      </c>
      <c r="E143" t="s">
        <v>244</v>
      </c>
      <c r="F143"/>
      <c r="I143"/>
      <c r="J143" s="489"/>
      <c r="K143" s="489"/>
    </row>
    <row r="144" spans="2:11" ht="14.45" hidden="1" x14ac:dyDescent="0.3">
      <c r="B144" s="7"/>
      <c r="C144" s="13" t="s">
        <v>246</v>
      </c>
      <c r="D144" s="118">
        <v>2E-3</v>
      </c>
      <c r="E144" t="s">
        <v>244</v>
      </c>
      <c r="F144"/>
      <c r="I144"/>
      <c r="J144" s="489"/>
      <c r="K144" s="489"/>
    </row>
    <row r="145" spans="2:11" ht="14.45" hidden="1" x14ac:dyDescent="0.3">
      <c r="B145" s="7"/>
      <c r="C145" s="13" t="s">
        <v>1096</v>
      </c>
      <c r="D145" s="113">
        <f>1000-D138-D139</f>
        <v>996.18848942654279</v>
      </c>
      <c r="E145" t="s">
        <v>229</v>
      </c>
      <c r="F145"/>
      <c r="I145"/>
      <c r="J145" s="489"/>
      <c r="K145" s="489"/>
    </row>
    <row r="146" spans="2:11" ht="14.45" hidden="1" x14ac:dyDescent="0.3">
      <c r="B146" s="7"/>
      <c r="C146" s="463" t="s">
        <v>211</v>
      </c>
      <c r="D146" s="494">
        <f>D144*D145/1000</f>
        <v>1.9923769788530855E-3</v>
      </c>
      <c r="E146"/>
      <c r="F146"/>
      <c r="I146"/>
      <c r="J146" s="489"/>
      <c r="K146" s="489"/>
    </row>
    <row r="147" spans="2:11" ht="14.45" hidden="1" x14ac:dyDescent="0.3">
      <c r="B147" s="7"/>
      <c r="C147" s="463" t="s">
        <v>212</v>
      </c>
      <c r="D147" s="494">
        <f>D143*D139/1000</f>
        <v>2.2288500000000003E-4</v>
      </c>
      <c r="E147"/>
      <c r="F147"/>
      <c r="I147"/>
      <c r="J147" s="489"/>
      <c r="K147" s="489"/>
    </row>
    <row r="148" spans="2:11" ht="14.45" hidden="1" x14ac:dyDescent="0.3">
      <c r="B148" s="7"/>
      <c r="C148" s="463" t="s">
        <v>213</v>
      </c>
      <c r="D148" s="494">
        <f>D142*D138/1000</f>
        <v>7.0216593637362733E-3</v>
      </c>
      <c r="E148"/>
      <c r="F148"/>
      <c r="I148"/>
      <c r="J148" s="489"/>
      <c r="K148" s="489"/>
    </row>
    <row r="149" spans="2:11" x14ac:dyDescent="0.25">
      <c r="B149" s="7"/>
      <c r="C149" s="268" t="s">
        <v>832</v>
      </c>
      <c r="D149" s="380">
        <f>INDEX(D126:D145,MATCH(C149,C126:C145,0))</f>
        <v>1.0802552867286574</v>
      </c>
      <c r="E149" t="str">
        <f>INDEX(E126:E145,MATCH(C149,C126:C145,0))</f>
        <v>ms</v>
      </c>
      <c r="F149"/>
      <c r="I149"/>
      <c r="J149" s="640"/>
      <c r="K149" s="640"/>
    </row>
    <row r="150" spans="2:11" ht="16.5" customHeight="1" x14ac:dyDescent="0.25">
      <c r="B150" s="7"/>
      <c r="C150" s="490" t="s">
        <v>839</v>
      </c>
      <c r="D150" s="518">
        <f>1000*SUM(D146:D148)</f>
        <v>9.2369213425893584</v>
      </c>
      <c r="E150" s="6" t="s">
        <v>253</v>
      </c>
      <c r="F150" s="392"/>
      <c r="I150"/>
      <c r="J150" s="489"/>
      <c r="K150" s="489"/>
    </row>
    <row r="151" spans="2:11" ht="15.75" x14ac:dyDescent="0.25">
      <c r="B151" s="7"/>
      <c r="C151" s="500" t="s">
        <v>1641</v>
      </c>
      <c r="D151" s="519">
        <f>1000*(D143*D145/1000+D147+D148)</f>
        <v>141.72999043631955</v>
      </c>
      <c r="E151" s="6" t="s">
        <v>253</v>
      </c>
      <c r="F151" s="392"/>
      <c r="I151"/>
      <c r="J151" s="489"/>
      <c r="K151" s="489"/>
    </row>
    <row r="152" spans="2:11" x14ac:dyDescent="0.25">
      <c r="B152" s="7"/>
      <c r="D152"/>
      <c r="E152"/>
      <c r="F152"/>
      <c r="I152"/>
      <c r="J152" s="489"/>
      <c r="K152" s="489"/>
    </row>
    <row r="153" spans="2:11" ht="15.75" x14ac:dyDescent="0.25">
      <c r="C153" s="22" t="s">
        <v>801</v>
      </c>
      <c r="D153"/>
      <c r="E153" s="8"/>
      <c r="F153"/>
    </row>
    <row r="154" spans="2:11" ht="14.45" hidden="1" x14ac:dyDescent="0.3">
      <c r="C154" s="72" t="s">
        <v>264</v>
      </c>
      <c r="D154" s="475">
        <f>D6</f>
        <v>220</v>
      </c>
      <c r="E154" s="8" t="s">
        <v>99</v>
      </c>
      <c r="F154"/>
    </row>
    <row r="155" spans="2:11" x14ac:dyDescent="0.25">
      <c r="C155" s="522" t="s">
        <v>261</v>
      </c>
      <c r="D155" s="28">
        <f>2^24-1</f>
        <v>16777215</v>
      </c>
      <c r="E155" s="8"/>
      <c r="F155"/>
    </row>
    <row r="156" spans="2:11" x14ac:dyDescent="0.25">
      <c r="C156" s="522" t="str">
        <f>IF(E156="dec","Output Code","Output Code                   0x")</f>
        <v>Output Code                   0x</v>
      </c>
      <c r="D156" s="52" t="s">
        <v>802</v>
      </c>
      <c r="E156" s="266" t="s">
        <v>347</v>
      </c>
      <c r="F156" s="6" t="s">
        <v>803</v>
      </c>
    </row>
    <row r="157" spans="2:11" ht="14.45" hidden="1" x14ac:dyDescent="0.3">
      <c r="C157" s="522"/>
      <c r="D157" s="151">
        <f>IF(E156="Hex",HEX2DEC(D156),D156)</f>
        <v>3256611</v>
      </c>
      <c r="E157" s="267" t="s">
        <v>360</v>
      </c>
      <c r="F157" s="6"/>
    </row>
    <row r="158" spans="2:11" x14ac:dyDescent="0.25">
      <c r="C158" s="522" t="str">
        <f>IF(E158="dec","Channel Offset","Channel Offset               0x")</f>
        <v>Channel Offset               0x</v>
      </c>
      <c r="D158" s="45">
        <v>0</v>
      </c>
      <c r="E158" s="266" t="s">
        <v>347</v>
      </c>
      <c r="F158" s="6" t="s">
        <v>263</v>
      </c>
    </row>
    <row r="159" spans="2:11" ht="14.45" hidden="1" x14ac:dyDescent="0.3">
      <c r="C159" s="522"/>
      <c r="D159" s="151">
        <f>IF(E158="Hex",HEX2DEC(D158),D158)</f>
        <v>0</v>
      </c>
      <c r="E159" s="8" t="s">
        <v>360</v>
      </c>
      <c r="F159" s="6"/>
    </row>
    <row r="160" spans="2:11" ht="14.45" hidden="1" x14ac:dyDescent="0.3">
      <c r="C160" s="522" t="s">
        <v>269</v>
      </c>
      <c r="D160" s="475">
        <f>D101</f>
        <v>16</v>
      </c>
      <c r="E160" s="8" t="s">
        <v>0</v>
      </c>
      <c r="F160" s="399"/>
    </row>
    <row r="161" spans="3:6" x14ac:dyDescent="0.25">
      <c r="C161" s="522" t="s">
        <v>267</v>
      </c>
      <c r="D161" s="520">
        <f>D104</f>
        <v>2</v>
      </c>
      <c r="E161" s="8"/>
      <c r="F161" s="6" t="s">
        <v>848</v>
      </c>
    </row>
    <row r="162" spans="3:6" x14ac:dyDescent="0.25">
      <c r="C162" s="522" t="s">
        <v>804</v>
      </c>
      <c r="D162" s="27">
        <f>D161*(D160)*(D157/D155+D159/65536)</f>
        <v>6.2114929086859769</v>
      </c>
      <c r="E162" s="74" t="s">
        <v>0</v>
      </c>
      <c r="F162" s="71" t="str">
        <f>IF(D162&gt;10,"Note: This sensor frequency is higher than specified max"," ")</f>
        <v xml:space="preserve"> </v>
      </c>
    </row>
    <row r="163" spans="3:6" ht="14.45" hidden="1" x14ac:dyDescent="0.3">
      <c r="C163" s="523"/>
      <c r="D163" s="78">
        <f>D154*0.000000000001</f>
        <v>2.1999999999999999E-10</v>
      </c>
      <c r="E163" s="24" t="s">
        <v>97</v>
      </c>
      <c r="F163" s="18"/>
    </row>
    <row r="164" spans="3:6" ht="14.45" hidden="1" x14ac:dyDescent="0.3">
      <c r="C164" s="523"/>
      <c r="D164" s="79">
        <f>1/(D163*(D162*1000000*2*PI())^2)</f>
        <v>2.9841839823873213E-6</v>
      </c>
      <c r="E164" s="24" t="s">
        <v>1</v>
      </c>
      <c r="F164" s="18"/>
    </row>
    <row r="165" spans="3:6" ht="15.75" x14ac:dyDescent="0.25">
      <c r="C165" s="522" t="s">
        <v>278</v>
      </c>
      <c r="D165" s="47">
        <f>D164*1000000</f>
        <v>2.9841839823873215</v>
      </c>
      <c r="E165" s="23" t="s">
        <v>96</v>
      </c>
      <c r="F165"/>
    </row>
    <row r="166" spans="3:6" x14ac:dyDescent="0.25">
      <c r="D166"/>
      <c r="E166"/>
      <c r="F166"/>
    </row>
    <row r="167" spans="3:6" ht="18.75" x14ac:dyDescent="0.35">
      <c r="C167" s="22" t="s">
        <v>805</v>
      </c>
      <c r="D167"/>
      <c r="E167"/>
      <c r="F167"/>
    </row>
    <row r="168" spans="3:6" ht="14.45" hidden="1" x14ac:dyDescent="0.3">
      <c r="C168" s="72" t="s">
        <v>98</v>
      </c>
      <c r="D168" s="476">
        <f>D98</f>
        <v>1536</v>
      </c>
      <c r="E168"/>
      <c r="F168" t="s">
        <v>361</v>
      </c>
    </row>
    <row r="169" spans="3:6" x14ac:dyDescent="0.25">
      <c r="C169" s="72" t="str">
        <f>IF(E169="decimal","Count Output","Count Output           0x")</f>
        <v>Count Output</v>
      </c>
      <c r="D169" s="45">
        <v>2638</v>
      </c>
      <c r="E169" s="266" t="s">
        <v>363</v>
      </c>
      <c r="F169" s="6" t="s">
        <v>806</v>
      </c>
    </row>
    <row r="170" spans="3:6" ht="14.45" hidden="1" x14ac:dyDescent="0.3">
      <c r="C170" s="72"/>
      <c r="D170" s="118">
        <f>IF(E169="Hex",HEX2DEC(D169),D169)</f>
        <v>2638</v>
      </c>
      <c r="E170" s="8" t="s">
        <v>360</v>
      </c>
      <c r="F170"/>
    </row>
    <row r="171" spans="3:6" ht="14.45" hidden="1" x14ac:dyDescent="0.3">
      <c r="C171" s="72" t="s">
        <v>19</v>
      </c>
      <c r="D171" s="475">
        <f>D101</f>
        <v>16</v>
      </c>
      <c r="E171" s="8" t="s">
        <v>0</v>
      </c>
      <c r="F171"/>
    </row>
    <row r="172" spans="3:6" x14ac:dyDescent="0.25">
      <c r="C172" s="72" t="s">
        <v>2</v>
      </c>
      <c r="D172" s="27">
        <f>D171*D168/(3*D170)</f>
        <v>3.1053828658074298</v>
      </c>
      <c r="E172" s="74" t="s">
        <v>0</v>
      </c>
      <c r="F172" s="71"/>
    </row>
    <row r="173" spans="3:6" ht="14.45" hidden="1" x14ac:dyDescent="0.3">
      <c r="C173" s="72" t="s">
        <v>264</v>
      </c>
      <c r="D173" s="475">
        <f>D6</f>
        <v>220</v>
      </c>
      <c r="E173" s="8" t="s">
        <v>99</v>
      </c>
      <c r="F173"/>
    </row>
    <row r="174" spans="3:6" ht="14.45" hidden="1" x14ac:dyDescent="0.3">
      <c r="C174" s="73"/>
      <c r="D174" s="78">
        <f>D173*0.000000000001</f>
        <v>2.1999999999999999E-10</v>
      </c>
      <c r="E174" s="24" t="s">
        <v>97</v>
      </c>
      <c r="F174" s="18"/>
    </row>
    <row r="175" spans="3:6" ht="14.45" hidden="1" x14ac:dyDescent="0.3">
      <c r="C175" s="73"/>
      <c r="D175" s="79">
        <f>1/(D174*(D172*1000000*2*PI())^2)</f>
        <v>1.1939531278527409E-5</v>
      </c>
      <c r="E175" s="24" t="s">
        <v>1</v>
      </c>
      <c r="F175" s="18"/>
    </row>
    <row r="176" spans="3:6" x14ac:dyDescent="0.25">
      <c r="C176" s="72" t="s">
        <v>100</v>
      </c>
      <c r="D176" s="35">
        <f>D175*1000000</f>
        <v>11.93953127852741</v>
      </c>
      <c r="E176" s="23" t="s">
        <v>96</v>
      </c>
      <c r="F176"/>
    </row>
    <row r="177" spans="3:13" ht="14.1" hidden="1" customHeight="1" x14ac:dyDescent="0.3">
      <c r="C177" s="121" t="s">
        <v>337</v>
      </c>
      <c r="D177" s="151">
        <f>D21</f>
        <v>3</v>
      </c>
      <c r="E177" s="19" t="s">
        <v>340</v>
      </c>
      <c r="F177"/>
    </row>
    <row r="178" spans="3:13" ht="14.45" hidden="1" x14ac:dyDescent="0.3">
      <c r="C178" s="121" t="s">
        <v>336</v>
      </c>
      <c r="D178" s="151">
        <f>D22</f>
        <v>6</v>
      </c>
      <c r="E178" s="19" t="s">
        <v>340</v>
      </c>
      <c r="F178"/>
    </row>
    <row r="179" spans="3:13" ht="14.45" hidden="1" x14ac:dyDescent="0.3">
      <c r="C179" s="121" t="s">
        <v>342</v>
      </c>
      <c r="D179" s="151">
        <v>65535</v>
      </c>
      <c r="E179" s="21" t="s">
        <v>360</v>
      </c>
      <c r="F179"/>
    </row>
    <row r="180" spans="3:13" x14ac:dyDescent="0.25">
      <c r="C180" s="121" t="str">
        <f>IF(E180="Hex","RP Data Output                0x","RP Data Output")</f>
        <v>RP Data Output                0x</v>
      </c>
      <c r="D180" s="52" t="s">
        <v>384</v>
      </c>
      <c r="E180" s="266" t="s">
        <v>347</v>
      </c>
      <c r="F180" s="6" t="s">
        <v>807</v>
      </c>
    </row>
    <row r="181" spans="3:13" ht="14.45" hidden="1" x14ac:dyDescent="0.3">
      <c r="C181" s="121" t="s">
        <v>344</v>
      </c>
      <c r="D181" s="118">
        <f>IF(E180="Decimal",D180,HEX2DEC(D180))</f>
        <v>13297</v>
      </c>
      <c r="E181" s="8" t="s">
        <v>360</v>
      </c>
      <c r="F181"/>
    </row>
    <row r="182" spans="3:13" ht="18" x14ac:dyDescent="0.35">
      <c r="C182" s="140" t="s">
        <v>364</v>
      </c>
      <c r="D182" s="95">
        <f>(D177*D178)/(D178*(1-D181/65535)+D177*(D181/65535))</f>
        <v>3.3387109099708758</v>
      </c>
      <c r="E182" s="19" t="s">
        <v>340</v>
      </c>
      <c r="F182"/>
    </row>
    <row r="184" spans="3:13" ht="14.45" hidden="1" x14ac:dyDescent="0.3"/>
    <row r="185" spans="3:13" ht="14.45" hidden="1" x14ac:dyDescent="0.3"/>
    <row r="186" spans="3:13" ht="14.45" hidden="1" x14ac:dyDescent="0.3"/>
    <row r="187" spans="3:13" ht="14.45" hidden="1" x14ac:dyDescent="0.3">
      <c r="D187" s="2"/>
      <c r="E187" s="2"/>
      <c r="F187" s="2"/>
      <c r="G187" s="2"/>
      <c r="H187" s="2"/>
      <c r="I187" s="2"/>
      <c r="J187" s="330"/>
      <c r="K187" s="330"/>
      <c r="L187" s="330"/>
      <c r="M187" s="330"/>
    </row>
    <row r="188" spans="3:13" ht="14.45" hidden="1" x14ac:dyDescent="0.3">
      <c r="D188" s="2"/>
      <c r="E188" s="2"/>
      <c r="F188" s="2"/>
      <c r="G188" s="2"/>
      <c r="H188" s="2"/>
      <c r="I188" s="2"/>
      <c r="J188" s="330"/>
      <c r="K188" s="330"/>
      <c r="L188" s="330"/>
      <c r="M188" s="330"/>
    </row>
    <row r="189" spans="3:13" ht="14.45" hidden="1" x14ac:dyDescent="0.3">
      <c r="D189" s="2"/>
      <c r="E189" s="2"/>
      <c r="F189" s="2"/>
      <c r="G189" s="2"/>
      <c r="H189" s="2"/>
      <c r="I189" s="2"/>
      <c r="J189" s="330"/>
      <c r="K189" s="330"/>
      <c r="L189" s="330"/>
      <c r="M189" s="330"/>
    </row>
    <row r="190" spans="3:13" ht="14.45" hidden="1" x14ac:dyDescent="0.3">
      <c r="D190" s="2"/>
      <c r="E190" s="2"/>
      <c r="F190" s="2"/>
      <c r="G190" s="2"/>
      <c r="H190" s="2"/>
      <c r="I190" s="2"/>
      <c r="J190" s="330"/>
      <c r="K190" s="330"/>
      <c r="L190" s="330"/>
      <c r="M190" s="330"/>
    </row>
    <row r="191" spans="3:13" ht="18" hidden="1" x14ac:dyDescent="0.35">
      <c r="C191" s="154"/>
      <c r="D191" s="2"/>
      <c r="E191" s="2"/>
      <c r="F191" s="2"/>
      <c r="G191" s="2"/>
      <c r="H191" s="2"/>
      <c r="I191" s="2"/>
      <c r="J191" s="330"/>
      <c r="K191" s="330"/>
      <c r="L191" s="330"/>
      <c r="M191" s="330"/>
    </row>
    <row r="192" spans="3:13" ht="15.75" x14ac:dyDescent="0.25">
      <c r="C192" s="504" t="s">
        <v>841</v>
      </c>
      <c r="D192" s="2"/>
      <c r="E192" s="2"/>
      <c r="F192" s="2"/>
      <c r="G192" s="2"/>
      <c r="H192" s="2"/>
      <c r="I192" s="2"/>
      <c r="J192" s="330"/>
      <c r="K192" s="330"/>
      <c r="L192" s="330"/>
      <c r="M192" s="330"/>
    </row>
    <row r="193" spans="3:13" x14ac:dyDescent="0.25">
      <c r="C193" s="2" t="s">
        <v>206</v>
      </c>
      <c r="D193" s="45">
        <v>0.7</v>
      </c>
      <c r="E193" s="2" t="s">
        <v>16</v>
      </c>
      <c r="F193" s="2"/>
      <c r="G193" s="2"/>
      <c r="H193" s="2"/>
      <c r="I193" s="2"/>
      <c r="J193" s="330"/>
      <c r="K193" s="330"/>
      <c r="L193" s="330"/>
      <c r="M193" s="330"/>
    </row>
    <row r="194" spans="3:13" ht="14.45" hidden="1" x14ac:dyDescent="0.3">
      <c r="C194" s="3"/>
      <c r="D194" s="346">
        <v>299790000</v>
      </c>
      <c r="E194" s="3"/>
      <c r="F194" s="2"/>
      <c r="G194" s="2"/>
      <c r="H194" s="2"/>
      <c r="I194" s="2"/>
      <c r="J194" s="330"/>
      <c r="K194" s="330"/>
      <c r="L194" s="330"/>
      <c r="M194" s="330"/>
    </row>
    <row r="195" spans="3:13" ht="14.45" hidden="1" x14ac:dyDescent="0.3">
      <c r="C195" s="2" t="s">
        <v>840</v>
      </c>
      <c r="D195" s="503">
        <f>D102</f>
        <v>4.3626718781453206</v>
      </c>
      <c r="E195" s="2" t="s">
        <v>0</v>
      </c>
      <c r="F195" s="2"/>
      <c r="G195" s="2"/>
      <c r="H195" s="2"/>
      <c r="I195" s="2"/>
      <c r="J195" s="330"/>
      <c r="K195" s="330"/>
      <c r="L195" s="330"/>
      <c r="M195" s="330"/>
    </row>
    <row r="196" spans="3:13" ht="14.45" hidden="1" x14ac:dyDescent="0.3">
      <c r="C196" s="3"/>
      <c r="D196" s="83">
        <v>5</v>
      </c>
      <c r="E196" s="123"/>
      <c r="F196" s="2"/>
      <c r="G196" s="2"/>
      <c r="H196" s="2"/>
      <c r="I196" s="2"/>
      <c r="J196" s="330"/>
      <c r="K196" s="330"/>
      <c r="L196" s="330"/>
      <c r="M196" s="330"/>
    </row>
    <row r="197" spans="3:13" ht="14.45" hidden="1" x14ac:dyDescent="0.3">
      <c r="C197" s="3"/>
      <c r="D197" s="83">
        <v>20</v>
      </c>
      <c r="E197" s="123"/>
      <c r="F197" s="2"/>
      <c r="G197" s="2"/>
      <c r="H197" s="2"/>
      <c r="I197" s="2"/>
      <c r="J197" s="330"/>
      <c r="K197" s="330"/>
      <c r="L197" s="330"/>
      <c r="M197" s="330"/>
    </row>
    <row r="198" spans="3:13" ht="14.45" hidden="1" x14ac:dyDescent="0.3">
      <c r="C198" s="3"/>
      <c r="D198" s="83">
        <f>D197/360/(D195*1000000)</f>
        <v>1.2734296116528844E-8</v>
      </c>
      <c r="E198" s="123"/>
      <c r="F198" s="2"/>
      <c r="G198" s="2"/>
      <c r="H198" s="2"/>
      <c r="I198" s="2"/>
      <c r="J198" s="330"/>
      <c r="K198" s="330"/>
      <c r="L198" s="330"/>
      <c r="M198" s="330"/>
    </row>
    <row r="199" spans="3:13" ht="14.45" hidden="1" x14ac:dyDescent="0.3">
      <c r="C199" s="3"/>
      <c r="D199" s="83">
        <f>(D198-(D196*0.000000001))/2</f>
        <v>3.8671480582644219E-9</v>
      </c>
      <c r="E199" s="3"/>
      <c r="F199" s="2"/>
      <c r="G199" s="2"/>
      <c r="H199" s="2"/>
      <c r="I199" s="2"/>
      <c r="J199" s="330"/>
      <c r="K199" s="330"/>
      <c r="L199" s="330"/>
      <c r="M199" s="330"/>
    </row>
    <row r="200" spans="3:13" ht="15.75" x14ac:dyDescent="0.25">
      <c r="C200" s="1" t="s">
        <v>5</v>
      </c>
      <c r="D200" s="48">
        <f>MAX(50*D199*D193*D194,1)</f>
        <v>40.576631073548178</v>
      </c>
      <c r="E200" s="2" t="s">
        <v>3</v>
      </c>
      <c r="F200" s="2"/>
      <c r="G200" s="2"/>
      <c r="H200" s="2"/>
      <c r="I200" s="2"/>
      <c r="J200" s="330"/>
      <c r="K200" s="330"/>
      <c r="L200" s="330"/>
      <c r="M200" s="330"/>
    </row>
    <row r="201" spans="3:13" x14ac:dyDescent="0.25">
      <c r="C201" s="165" t="s">
        <v>842</v>
      </c>
      <c r="D201" s="2"/>
      <c r="E201" s="2"/>
      <c r="F201" s="2"/>
      <c r="G201" s="2"/>
      <c r="H201" s="2"/>
      <c r="I201" s="2"/>
      <c r="J201" s="330"/>
      <c r="K201" s="330"/>
      <c r="L201" s="330"/>
      <c r="M201" s="330"/>
    </row>
    <row r="202" spans="3:13" x14ac:dyDescent="0.25">
      <c r="C202" s="165" t="s">
        <v>843</v>
      </c>
      <c r="D202" s="2"/>
      <c r="E202" s="2"/>
      <c r="F202" s="2"/>
      <c r="G202" s="2"/>
      <c r="H202" s="2"/>
      <c r="I202" s="2"/>
      <c r="J202" s="330"/>
      <c r="K202" s="330"/>
      <c r="L202" s="330"/>
      <c r="M202" s="330"/>
    </row>
    <row r="203" spans="3:13" x14ac:dyDescent="0.25">
      <c r="C203" s="165" t="s">
        <v>217</v>
      </c>
      <c r="D203" s="2"/>
      <c r="E203" s="2"/>
      <c r="F203" s="2"/>
      <c r="G203" s="2"/>
      <c r="H203" s="2"/>
      <c r="I203" s="2"/>
      <c r="J203" s="330"/>
      <c r="K203" s="330"/>
      <c r="L203" s="330"/>
      <c r="M203" s="330"/>
    </row>
    <row r="204" spans="3:13" x14ac:dyDescent="0.25">
      <c r="C204" s="162" t="s">
        <v>11</v>
      </c>
      <c r="D204" s="2"/>
      <c r="E204" s="2"/>
      <c r="F204" s="2"/>
      <c r="G204" s="2"/>
      <c r="H204" s="2"/>
      <c r="I204" s="2"/>
      <c r="J204" s="330"/>
      <c r="K204" s="330"/>
      <c r="L204" s="330"/>
      <c r="M204" s="330"/>
    </row>
    <row r="205" spans="3:13" x14ac:dyDescent="0.25">
      <c r="C205" s="162" t="s">
        <v>203</v>
      </c>
      <c r="D205" s="2"/>
      <c r="E205" s="2"/>
      <c r="F205" s="2"/>
      <c r="G205" s="2"/>
      <c r="H205" s="2"/>
      <c r="I205" s="2"/>
      <c r="J205" s="330"/>
      <c r="K205" s="330"/>
      <c r="L205" s="330"/>
      <c r="M205" s="330"/>
    </row>
    <row r="206" spans="3:13" x14ac:dyDescent="0.25">
      <c r="C206" s="162" t="s">
        <v>12</v>
      </c>
      <c r="D206" s="2"/>
      <c r="E206" s="2"/>
      <c r="F206" s="2"/>
      <c r="G206" s="2"/>
      <c r="H206" s="2"/>
      <c r="I206" s="2"/>
      <c r="J206" s="330"/>
      <c r="K206" s="330"/>
      <c r="L206" s="330"/>
      <c r="M206" s="330"/>
    </row>
    <row r="207" spans="3:13" x14ac:dyDescent="0.25">
      <c r="C207" s="162" t="s">
        <v>95</v>
      </c>
      <c r="D207" s="2"/>
      <c r="E207" s="2"/>
      <c r="F207" s="2"/>
      <c r="G207" s="2"/>
      <c r="H207" s="2"/>
      <c r="I207" s="2"/>
      <c r="J207" s="330"/>
      <c r="K207" s="330"/>
      <c r="L207" s="330"/>
      <c r="M207" s="330"/>
    </row>
    <row r="208" spans="3:13" x14ac:dyDescent="0.25">
      <c r="C208" s="2"/>
      <c r="D208" s="2"/>
      <c r="E208" s="2"/>
      <c r="F208" s="2"/>
      <c r="G208" s="2"/>
      <c r="H208" s="2"/>
      <c r="I208" s="2"/>
      <c r="J208" s="330"/>
      <c r="K208" s="330"/>
      <c r="L208" s="330"/>
      <c r="M208" s="330"/>
    </row>
    <row r="209" spans="3:13" x14ac:dyDescent="0.25">
      <c r="C209" s="2"/>
      <c r="D209" s="2"/>
      <c r="E209" s="2"/>
      <c r="F209" s="2"/>
      <c r="G209" s="2"/>
      <c r="H209" s="2"/>
      <c r="I209" s="2"/>
      <c r="J209" s="330"/>
      <c r="K209" s="330"/>
      <c r="L209" s="330"/>
      <c r="M209" s="330"/>
    </row>
    <row r="210" spans="3:13" x14ac:dyDescent="0.25">
      <c r="C210" s="2"/>
      <c r="D210" s="2"/>
      <c r="E210" s="2"/>
      <c r="F210" s="2"/>
      <c r="G210" s="2"/>
      <c r="H210" s="2"/>
      <c r="I210" s="2"/>
      <c r="J210" s="330"/>
      <c r="K210" s="330"/>
      <c r="L210" s="330"/>
      <c r="M210" s="330"/>
    </row>
    <row r="211" spans="3:13" x14ac:dyDescent="0.25">
      <c r="C211" s="2"/>
      <c r="D211" s="2"/>
      <c r="E211" s="2"/>
      <c r="F211" s="2"/>
      <c r="G211" s="2"/>
      <c r="H211" s="2"/>
      <c r="I211" s="2"/>
      <c r="J211" s="330"/>
      <c r="K211" s="330"/>
      <c r="L211" s="330"/>
      <c r="M211" s="330"/>
    </row>
    <row r="212" spans="3:13" x14ac:dyDescent="0.25">
      <c r="C212" s="2"/>
      <c r="D212" s="2"/>
      <c r="E212" s="2"/>
      <c r="F212" s="2"/>
      <c r="G212" s="2"/>
      <c r="H212" s="2"/>
      <c r="I212" s="2"/>
      <c r="J212" s="330"/>
      <c r="K212" s="330"/>
      <c r="L212" s="330"/>
      <c r="M212" s="330"/>
    </row>
    <row r="213" spans="3:13" x14ac:dyDescent="0.25">
      <c r="C213" s="2"/>
      <c r="D213" s="2"/>
      <c r="E213" s="2"/>
      <c r="F213" s="2"/>
      <c r="G213" s="2"/>
      <c r="H213" s="2"/>
      <c r="I213" s="2"/>
      <c r="J213" s="330"/>
      <c r="K213" s="330"/>
      <c r="L213" s="330"/>
      <c r="M213" s="330"/>
    </row>
    <row r="214" spans="3:13" x14ac:dyDescent="0.25">
      <c r="C214" s="1"/>
      <c r="D214" s="2"/>
      <c r="E214" s="2"/>
      <c r="F214" s="2"/>
      <c r="G214" s="2"/>
      <c r="H214" s="2"/>
      <c r="I214" s="2"/>
      <c r="J214" s="330"/>
      <c r="K214" s="330"/>
      <c r="L214" s="330"/>
      <c r="M214" s="330"/>
    </row>
    <row r="215" spans="3:13" x14ac:dyDescent="0.25">
      <c r="C215" s="292"/>
      <c r="D215" s="2"/>
      <c r="E215" s="2"/>
      <c r="F215" s="2"/>
      <c r="G215" s="2"/>
      <c r="H215" s="2"/>
      <c r="I215" s="2"/>
      <c r="J215" s="330"/>
      <c r="K215" s="330"/>
      <c r="L215" s="330"/>
      <c r="M215" s="330"/>
    </row>
    <row r="216" spans="3:13" x14ac:dyDescent="0.25">
      <c r="C216" s="330"/>
      <c r="D216" s="330"/>
      <c r="E216" s="330"/>
      <c r="F216" s="330"/>
      <c r="G216" s="330"/>
      <c r="H216" s="330"/>
      <c r="I216" s="345"/>
      <c r="J216" s="345"/>
      <c r="K216" s="330"/>
      <c r="L216" s="330"/>
      <c r="M216" s="330"/>
    </row>
  </sheetData>
  <sheetProtection algorithmName="SHA-512" hashValue="fin7xRbJFbr5IIPGBfE+KJ5ktZfcV9IzVtzZufBAQmCaFddllk4958Hswk3q1nwWkJgT6iDkbF7G0KDSA25cJw==" saltValue="VfCmlPYdcPWhUwM6iyrPIw==" spinCount="100000" sheet="1" objects="1" scenarios="1"/>
  <conditionalFormatting sqref="F6:F7 F39:F45 F21:F30 F98:F100 F105:F106 F9:F18">
    <cfRule type="cellIs" dxfId="19" priority="17" operator="equal">
      <formula>"in range"</formula>
    </cfRule>
  </conditionalFormatting>
  <conditionalFormatting sqref="F36:F37 F33:F34">
    <cfRule type="cellIs" dxfId="18" priority="16" operator="equal">
      <formula>"in range"</formula>
    </cfRule>
  </conditionalFormatting>
  <conditionalFormatting sqref="F6:F7 F39:F45 F36:F37 F21:F30 F33:F34 F98:F100 F105:F106 F9:F18">
    <cfRule type="cellIs" dxfId="17" priority="14" operator="equal">
      <formula>"too small"</formula>
    </cfRule>
    <cfRule type="cellIs" dxfId="16" priority="15" operator="equal">
      <formula>"too large"</formula>
    </cfRule>
  </conditionalFormatting>
  <conditionalFormatting sqref="F40">
    <cfRule type="cellIs" dxfId="15" priority="13" operator="equal">
      <formula>"in range"</formula>
    </cfRule>
  </conditionalFormatting>
  <conditionalFormatting sqref="F8">
    <cfRule type="cellIs" dxfId="14" priority="10" operator="equal">
      <formula>"In range"</formula>
    </cfRule>
    <cfRule type="cellIs" dxfId="13" priority="11" operator="equal">
      <formula>"too low"</formula>
    </cfRule>
    <cfRule type="cellIs" dxfId="12" priority="12" operator="equal">
      <formula>"too high"</formula>
    </cfRule>
  </conditionalFormatting>
  <conditionalFormatting sqref="F35">
    <cfRule type="cellIs" dxfId="11" priority="7" operator="equal">
      <formula>"In Range"</formula>
    </cfRule>
    <cfRule type="cellIs" dxfId="10" priority="8" operator="equal">
      <formula>"too high"</formula>
    </cfRule>
    <cfRule type="cellIs" dxfId="9" priority="9" operator="equal">
      <formula>"too low"</formula>
    </cfRule>
  </conditionalFormatting>
  <conditionalFormatting sqref="D22">
    <cfRule type="cellIs" dxfId="8" priority="6" operator="greaterThan">
      <formula>$D$21</formula>
    </cfRule>
  </conditionalFormatting>
  <conditionalFormatting sqref="F107">
    <cfRule type="expression" dxfId="7" priority="5">
      <formula>$D$109</formula>
    </cfRule>
  </conditionalFormatting>
  <conditionalFormatting sqref="D160">
    <cfRule type="cellIs" dxfId="6" priority="3" operator="greaterThan">
      <formula>42</formula>
    </cfRule>
    <cfRule type="cellIs" dxfId="5" priority="4" operator="greaterThan">
      <formula>40</formula>
    </cfRule>
  </conditionalFormatting>
  <conditionalFormatting sqref="E124">
    <cfRule type="expression" dxfId="4" priority="1">
      <formula>$D$39&lt;0</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workbookViewId="0">
      <selection activeCell="D9" sqref="D9"/>
    </sheetView>
  </sheetViews>
  <sheetFormatPr defaultRowHeight="15" x14ac:dyDescent="0.25"/>
  <cols>
    <col min="1" max="1" width="7.28515625" customWidth="1"/>
    <col min="2" max="2" width="4.7109375" customWidth="1"/>
    <col min="3" max="3" width="23.28515625" customWidth="1"/>
    <col min="4" max="4" width="14.28515625" customWidth="1"/>
    <col min="5" max="5" width="7.7109375" customWidth="1"/>
    <col min="6" max="6" width="43.5703125" customWidth="1"/>
    <col min="9" max="9" width="11.85546875" bestFit="1" customWidth="1"/>
  </cols>
  <sheetData>
    <row r="2" spans="2:6" ht="18" x14ac:dyDescent="0.35">
      <c r="B2" s="4" t="s">
        <v>1068</v>
      </c>
      <c r="F2" s="20" t="s">
        <v>198</v>
      </c>
    </row>
    <row r="3" spans="2:6" ht="14.45" x14ac:dyDescent="0.3">
      <c r="C3" t="s">
        <v>335</v>
      </c>
    </row>
    <row r="4" spans="2:6" ht="14.45" x14ac:dyDescent="0.3">
      <c r="E4" s="8"/>
    </row>
    <row r="5" spans="2:6" x14ac:dyDescent="0.25">
      <c r="E5" s="8"/>
    </row>
    <row r="6" spans="2:6" ht="15.75" x14ac:dyDescent="0.25">
      <c r="B6" s="22" t="s">
        <v>1072</v>
      </c>
      <c r="D6" s="5"/>
      <c r="E6" s="6"/>
    </row>
    <row r="7" spans="2:6" ht="15.6" hidden="1" x14ac:dyDescent="0.3">
      <c r="C7" s="7" t="s">
        <v>15</v>
      </c>
      <c r="D7" s="274" t="s">
        <v>1065</v>
      </c>
      <c r="E7" s="6"/>
      <c r="F7" t="s">
        <v>1066</v>
      </c>
    </row>
    <row r="8" spans="2:6" ht="15.75" x14ac:dyDescent="0.25">
      <c r="C8" s="7" t="s">
        <v>379</v>
      </c>
      <c r="D8" s="384">
        <f>IF(D7="LDC1101",16,8)</f>
        <v>8</v>
      </c>
      <c r="E8" s="6" t="s">
        <v>0</v>
      </c>
    </row>
    <row r="9" spans="2:6" ht="15.75" x14ac:dyDescent="0.25">
      <c r="C9" s="7" t="s">
        <v>17</v>
      </c>
      <c r="D9" s="271">
        <v>8</v>
      </c>
      <c r="E9" s="6" t="s">
        <v>0</v>
      </c>
    </row>
    <row r="10" spans="2:6" ht="14.45" hidden="1" x14ac:dyDescent="0.3">
      <c r="C10" s="7"/>
      <c r="D10" s="84">
        <f>D9*1000000</f>
        <v>8000000</v>
      </c>
      <c r="E10" s="87" t="s">
        <v>1</v>
      </c>
    </row>
    <row r="11" spans="2:6" ht="15.75" x14ac:dyDescent="0.25">
      <c r="C11" s="89" t="s">
        <v>278</v>
      </c>
      <c r="D11" s="272">
        <v>32.979999999999997</v>
      </c>
      <c r="E11" s="88" t="s">
        <v>96</v>
      </c>
    </row>
    <row r="12" spans="2:6" ht="15.75" x14ac:dyDescent="0.25">
      <c r="C12" s="90" t="s">
        <v>264</v>
      </c>
      <c r="D12" s="272">
        <v>10000</v>
      </c>
      <c r="E12" s="86" t="s">
        <v>27</v>
      </c>
    </row>
    <row r="13" spans="2:6" ht="15.75" x14ac:dyDescent="0.25">
      <c r="C13" s="91" t="s">
        <v>279</v>
      </c>
      <c r="D13" s="55">
        <f>1000/(2*PI()*SQRT(D12*D11))</f>
        <v>0.27713718796629278</v>
      </c>
      <c r="E13" s="86" t="s">
        <v>0</v>
      </c>
    </row>
    <row r="14" spans="2:6" ht="15.6" hidden="1" x14ac:dyDescent="0.3">
      <c r="C14" s="97" t="s">
        <v>380</v>
      </c>
      <c r="D14" s="148">
        <f>IF(D7="LDC1101",10,5)</f>
        <v>5</v>
      </c>
      <c r="E14" s="86" t="s">
        <v>0</v>
      </c>
    </row>
    <row r="15" spans="2:6" ht="45" x14ac:dyDescent="0.25">
      <c r="C15" s="94" t="s">
        <v>280</v>
      </c>
      <c r="D15" s="273">
        <f>D13</f>
        <v>0.27713718796629278</v>
      </c>
      <c r="E15" s="6" t="s">
        <v>0</v>
      </c>
    </row>
    <row r="16" spans="2:6" ht="15.75" x14ac:dyDescent="0.25">
      <c r="C16" s="7" t="s">
        <v>18</v>
      </c>
      <c r="D16" s="270">
        <v>6144</v>
      </c>
      <c r="E16" s="6" t="s">
        <v>166</v>
      </c>
    </row>
    <row r="17" spans="2:9" ht="15.75" x14ac:dyDescent="0.25">
      <c r="C17" s="7" t="s">
        <v>282</v>
      </c>
      <c r="D17" s="96">
        <f>IF((1/D15*D16/3)&gt;3000,0.001/D15*D16/3,1/D15*D16/3)</f>
        <v>7.3898418867160158</v>
      </c>
      <c r="E17" s="65" t="str">
        <f>IF((1/D15*D16/3)&gt;3000,"ms","µs")</f>
        <v>ms</v>
      </c>
    </row>
    <row r="18" spans="2:9" ht="15.75" x14ac:dyDescent="0.25">
      <c r="C18" s="7" t="s">
        <v>201</v>
      </c>
      <c r="D18" s="95">
        <f>1000/D17</f>
        <v>135.3208925616664</v>
      </c>
      <c r="E18" s="65" t="str">
        <f>IF(E17="µs","ksps","sps")</f>
        <v>sps</v>
      </c>
      <c r="I18" s="382"/>
    </row>
    <row r="19" spans="2:9" ht="15.75" x14ac:dyDescent="0.25">
      <c r="C19" s="7" t="s">
        <v>285</v>
      </c>
      <c r="D19" s="47">
        <f>LOG(D16/3*D9/D15,2)</f>
        <v>15.851327781416328</v>
      </c>
      <c r="E19" s="93" t="s">
        <v>281</v>
      </c>
    </row>
    <row r="20" spans="2:9" x14ac:dyDescent="0.25">
      <c r="C20" s="7" t="s">
        <v>1544</v>
      </c>
      <c r="D20" s="767">
        <f>CEILING(68.94*LOG(D15:D15/0.0025,10),1)</f>
        <v>141</v>
      </c>
      <c r="E20" s="8"/>
    </row>
    <row r="22" spans="2:9" x14ac:dyDescent="0.25">
      <c r="B22" s="9" t="s">
        <v>1075</v>
      </c>
    </row>
    <row r="23" spans="2:9" ht="15.75" x14ac:dyDescent="0.25">
      <c r="B23" s="22"/>
      <c r="C23" t="s">
        <v>1070</v>
      </c>
    </row>
    <row r="24" spans="2:9" ht="15.75" x14ac:dyDescent="0.25">
      <c r="B24" s="22"/>
    </row>
    <row r="25" spans="2:9" ht="15.6" hidden="1" x14ac:dyDescent="0.3">
      <c r="B25" s="22"/>
      <c r="C25" t="s">
        <v>15</v>
      </c>
      <c r="D25" s="621" t="s">
        <v>1067</v>
      </c>
      <c r="F25" t="s">
        <v>1066</v>
      </c>
    </row>
    <row r="26" spans="2:9" x14ac:dyDescent="0.25">
      <c r="C26" s="72" t="s">
        <v>98</v>
      </c>
      <c r="D26" s="45">
        <v>6144</v>
      </c>
      <c r="F26" t="s">
        <v>361</v>
      </c>
    </row>
    <row r="27" spans="2:9" x14ac:dyDescent="0.25">
      <c r="C27" s="72" t="str">
        <f>IF(E27="decimal","Count Output","Count Output           0x")</f>
        <v>Count Output</v>
      </c>
      <c r="D27" s="45">
        <v>7154</v>
      </c>
      <c r="E27" s="266" t="s">
        <v>363</v>
      </c>
      <c r="F27" t="s">
        <v>167</v>
      </c>
    </row>
    <row r="28" spans="2:9" ht="14.45" hidden="1" x14ac:dyDescent="0.3">
      <c r="C28" s="72"/>
      <c r="D28" s="118">
        <f>IF(E27="Hex",HEX2DEC(D27),D27)</f>
        <v>7154</v>
      </c>
      <c r="E28" s="8" t="s">
        <v>360</v>
      </c>
    </row>
    <row r="29" spans="2:9" x14ac:dyDescent="0.25">
      <c r="C29" s="72" t="s">
        <v>333</v>
      </c>
      <c r="D29" s="37">
        <f>IF(D25="LDC1101",16,8)</f>
        <v>8</v>
      </c>
      <c r="E29" s="8" t="s">
        <v>0</v>
      </c>
    </row>
    <row r="30" spans="2:9" x14ac:dyDescent="0.25">
      <c r="C30" s="72" t="s">
        <v>19</v>
      </c>
      <c r="D30" s="264">
        <v>8</v>
      </c>
      <c r="E30" s="8" t="s">
        <v>0</v>
      </c>
      <c r="F30" t="s">
        <v>1073</v>
      </c>
    </row>
    <row r="31" spans="2:9" x14ac:dyDescent="0.25">
      <c r="C31" s="72" t="s">
        <v>334</v>
      </c>
      <c r="D31" s="37">
        <f>IF(D25="LDC1101",10,5)</f>
        <v>5</v>
      </c>
      <c r="E31" s="8" t="s">
        <v>0</v>
      </c>
      <c r="F31" s="18"/>
    </row>
    <row r="32" spans="2:9" x14ac:dyDescent="0.25">
      <c r="C32" s="72" t="s">
        <v>2</v>
      </c>
      <c r="D32" s="27">
        <f>D30*D26/(3*D28)</f>
        <v>2.2901873077998323</v>
      </c>
      <c r="E32" s="74" t="s">
        <v>0</v>
      </c>
      <c r="F32" s="71" t="str">
        <f>IF(D32&gt;D31,"Note: This sensor frequency is higher than specified max"," ")</f>
        <v xml:space="preserve"> </v>
      </c>
    </row>
    <row r="33" spans="2:17" x14ac:dyDescent="0.25">
      <c r="C33" s="72" t="s">
        <v>264</v>
      </c>
      <c r="D33" s="45">
        <v>220</v>
      </c>
      <c r="E33" s="8" t="s">
        <v>99</v>
      </c>
      <c r="F33" t="s">
        <v>265</v>
      </c>
    </row>
    <row r="34" spans="2:17" ht="14.45" hidden="1" x14ac:dyDescent="0.3">
      <c r="C34" s="73"/>
      <c r="D34" s="78">
        <f>D33*0.000000000001</f>
        <v>2.1999999999999999E-10</v>
      </c>
      <c r="E34" s="24" t="s">
        <v>97</v>
      </c>
      <c r="F34" s="18"/>
    </row>
    <row r="35" spans="2:17" ht="14.45" hidden="1" x14ac:dyDescent="0.3">
      <c r="C35" s="73"/>
      <c r="D35" s="79">
        <f>1/(D34*(D32*1000000*2*PI())^2)</f>
        <v>2.1952074882992174E-5</v>
      </c>
      <c r="E35" s="24" t="s">
        <v>1</v>
      </c>
      <c r="F35" s="18"/>
    </row>
    <row r="36" spans="2:17" x14ac:dyDescent="0.25">
      <c r="C36" s="72" t="s">
        <v>100</v>
      </c>
      <c r="D36" s="35">
        <f>D35*1000000</f>
        <v>21.952074882992175</v>
      </c>
      <c r="E36" s="23" t="s">
        <v>96</v>
      </c>
    </row>
    <row r="37" spans="2:17" x14ac:dyDescent="0.25">
      <c r="C37" s="72" t="s">
        <v>257</v>
      </c>
      <c r="D37" s="62">
        <f>1/(D28/D32/1000)</f>
        <v>0.32012682524459496</v>
      </c>
      <c r="E37" s="8" t="s">
        <v>202</v>
      </c>
    </row>
    <row r="38" spans="2:17" x14ac:dyDescent="0.25">
      <c r="E38" s="8"/>
    </row>
    <row r="39" spans="2:17" ht="18" x14ac:dyDescent="0.35">
      <c r="B39" s="9" t="s">
        <v>1071</v>
      </c>
    </row>
    <row r="40" spans="2:17" x14ac:dyDescent="0.25">
      <c r="C40" s="61" t="s">
        <v>15</v>
      </c>
      <c r="D40" s="268" t="s">
        <v>10</v>
      </c>
    </row>
    <row r="41" spans="2:17" x14ac:dyDescent="0.25">
      <c r="C41" s="121" t="s">
        <v>337</v>
      </c>
      <c r="D41" s="45">
        <v>1.026</v>
      </c>
      <c r="E41" s="19" t="s">
        <v>340</v>
      </c>
      <c r="F41" t="str">
        <f>IF(D42&lt;D41,"RP Min must be less than Rpmax setting!","Register 0x01")</f>
        <v>Register 0x01</v>
      </c>
    </row>
    <row r="42" spans="2:17" x14ac:dyDescent="0.25">
      <c r="C42" s="121" t="s">
        <v>336</v>
      </c>
      <c r="D42" s="45">
        <v>27.704000000000001</v>
      </c>
      <c r="E42" s="19" t="s">
        <v>340</v>
      </c>
      <c r="F42" t="str">
        <f>IF(D42&lt;D41,"RP Min must be less than Rpmax setting!",IF(D40="LDC1101","Register 0x01", "Register 0x02"))</f>
        <v>Register 0x02</v>
      </c>
    </row>
    <row r="43" spans="2:17" ht="14.45" hidden="1" x14ac:dyDescent="0.3">
      <c r="C43" s="121" t="s">
        <v>342</v>
      </c>
      <c r="D43" s="151">
        <f>IF(D40="LDC1041/1051",255,IF(D40="LDC1000",32768,IF(D40="LDC1101",65535)))</f>
        <v>32768</v>
      </c>
      <c r="E43" s="21" t="s">
        <v>360</v>
      </c>
      <c r="O43" s="45" t="s">
        <v>228</v>
      </c>
      <c r="P43" s="27" t="e">
        <f>IF(O43="fsensor",0.000001/(2*PI()*SQRT(#REF!*0.000001*#REF!*0.000000000001)),IF(O43="C",1000000000000/((#REF!*0.000001)*(2*PI()*#REF!*1000000)^2),1000000/((#REF!*0.000000000001)*(2*PI()*#REF!*1000000)^2)))</f>
        <v>#REF!</v>
      </c>
      <c r="Q43" s="28" t="str">
        <f>IF(O43="fsensor","MHz",IF(O43="L","µH","pF"))</f>
        <v>MHz</v>
      </c>
    </row>
    <row r="44" spans="2:17" x14ac:dyDescent="0.25">
      <c r="C44" s="121" t="str">
        <f>IF(E44="Hex","RP Data Output                0x","RP Data Output")</f>
        <v>RP Data Output</v>
      </c>
      <c r="D44" s="45">
        <v>10000</v>
      </c>
      <c r="E44" s="266" t="s">
        <v>360</v>
      </c>
      <c r="F44" t="str">
        <f>IF(D45&gt;D43,"Output Code exceeds maximum for device!",IF(D40="LDC1041/1051","LDC output from Register 0x22","LDC output from Registers [0x21:0x22]"))</f>
        <v>LDC output from Registers [0x21:0x22]</v>
      </c>
    </row>
    <row r="45" spans="2:17" ht="14.45" hidden="1" x14ac:dyDescent="0.3">
      <c r="C45" s="121" t="s">
        <v>344</v>
      </c>
      <c r="D45" s="118">
        <f>IF(E44="Decimal",D44,HEX2DEC(D44))</f>
        <v>10000</v>
      </c>
      <c r="E45" s="8" t="s">
        <v>360</v>
      </c>
    </row>
    <row r="46" spans="2:17" ht="14.45" hidden="1" x14ac:dyDescent="0.3">
      <c r="C46" s="121" t="s">
        <v>343</v>
      </c>
      <c r="D46" s="113">
        <f>(D41*D42*1000)/(D41*1000*(1-D45/D43)+D42*1000*D45/D43)</f>
        <v>3.1005582313244457</v>
      </c>
      <c r="E46" s="19" t="s">
        <v>340</v>
      </c>
    </row>
    <row r="47" spans="2:17" ht="14.45" hidden="1" x14ac:dyDescent="0.3">
      <c r="C47" s="121" t="s">
        <v>341</v>
      </c>
      <c r="D47" s="113">
        <f>(D41*D42)/(D42*(1-D45/65535)+D41*(D45/65535))</f>
        <v>1.2027277829070482</v>
      </c>
      <c r="E47" s="19" t="s">
        <v>340</v>
      </c>
    </row>
    <row r="48" spans="2:17" ht="18" x14ac:dyDescent="0.35">
      <c r="C48" s="140" t="s">
        <v>364</v>
      </c>
      <c r="D48" s="477">
        <f>IF(D40="LDC1101",D47,(D41*D42*1000)/(D41*1000*(1-D45/D43)+D42*1000*D45/D43))</f>
        <v>3.1005582313244457</v>
      </c>
      <c r="E48" s="19" t="s">
        <v>340</v>
      </c>
    </row>
    <row r="49" spans="3:15" x14ac:dyDescent="0.25">
      <c r="F49" s="330"/>
      <c r="G49" s="330"/>
      <c r="H49" s="330"/>
      <c r="I49" s="330"/>
      <c r="J49" s="330"/>
      <c r="K49" s="330"/>
      <c r="L49" s="330"/>
      <c r="M49" s="330"/>
      <c r="N49" s="330"/>
      <c r="O49" s="330"/>
    </row>
    <row r="50" spans="3:15" x14ac:dyDescent="0.25">
      <c r="F50" s="330"/>
      <c r="G50" s="330"/>
      <c r="H50" s="330"/>
      <c r="I50" s="330"/>
      <c r="J50" s="330"/>
      <c r="K50" s="330"/>
      <c r="L50" s="330"/>
      <c r="M50" s="330"/>
      <c r="N50" s="330"/>
      <c r="O50" s="330"/>
    </row>
    <row r="51" spans="3:15" ht="18.75" x14ac:dyDescent="0.3">
      <c r="C51" s="154" t="s">
        <v>4</v>
      </c>
      <c r="D51" s="2"/>
      <c r="E51" s="2"/>
      <c r="F51" s="2"/>
      <c r="G51" s="155" t="s">
        <v>198</v>
      </c>
      <c r="H51" s="2"/>
      <c r="I51" s="2"/>
      <c r="J51" s="330"/>
      <c r="K51" s="330"/>
      <c r="L51" s="330"/>
      <c r="M51" s="330"/>
      <c r="N51" s="330"/>
      <c r="O51" s="330"/>
    </row>
    <row r="52" spans="3:15" ht="15.75" x14ac:dyDescent="0.25">
      <c r="C52" s="156" t="s">
        <v>216</v>
      </c>
      <c r="D52" s="2"/>
      <c r="E52" s="2"/>
      <c r="F52" s="2"/>
      <c r="G52" s="2"/>
      <c r="H52" s="2"/>
      <c r="I52" s="2"/>
      <c r="J52" s="330"/>
      <c r="K52" s="330"/>
      <c r="L52" s="330"/>
      <c r="M52" s="330"/>
      <c r="N52" s="330"/>
      <c r="O52" s="330"/>
    </row>
    <row r="53" spans="3:15" ht="15.75" x14ac:dyDescent="0.25">
      <c r="C53" s="156" t="s">
        <v>218</v>
      </c>
      <c r="D53" s="2"/>
      <c r="E53" s="2"/>
      <c r="F53" s="2"/>
      <c r="G53" s="2"/>
      <c r="H53" s="2"/>
      <c r="I53" s="2"/>
      <c r="J53" s="330"/>
      <c r="K53" s="330"/>
      <c r="L53" s="330"/>
      <c r="M53" s="330"/>
      <c r="N53" s="330"/>
      <c r="O53" s="330"/>
    </row>
    <row r="54" spans="3:15" ht="15.75" x14ac:dyDescent="0.25">
      <c r="C54" s="156" t="s">
        <v>217</v>
      </c>
      <c r="D54" s="2"/>
      <c r="E54" s="2"/>
      <c r="F54" s="2"/>
      <c r="G54" s="2"/>
      <c r="H54" s="2"/>
      <c r="I54" s="2"/>
      <c r="J54" s="330"/>
      <c r="K54" s="330"/>
      <c r="L54" s="330"/>
      <c r="M54" s="330"/>
      <c r="N54" s="330"/>
      <c r="O54" s="330"/>
    </row>
    <row r="55" spans="3:15" ht="15.75" x14ac:dyDescent="0.25">
      <c r="C55" s="157" t="s">
        <v>11</v>
      </c>
      <c r="D55" s="2"/>
      <c r="E55" s="2"/>
      <c r="F55" s="2"/>
      <c r="G55" s="2"/>
      <c r="H55" s="2"/>
      <c r="I55" s="2"/>
      <c r="J55" s="330"/>
      <c r="K55" s="330"/>
      <c r="L55" s="330"/>
      <c r="M55" s="330"/>
      <c r="N55" s="330"/>
      <c r="O55" s="330"/>
    </row>
    <row r="56" spans="3:15" ht="18.75" x14ac:dyDescent="0.3">
      <c r="C56" s="154"/>
      <c r="D56" s="2"/>
      <c r="E56" s="2"/>
      <c r="F56" s="2"/>
      <c r="G56" s="2"/>
      <c r="H56" s="2"/>
      <c r="I56" s="2"/>
      <c r="J56" s="330"/>
      <c r="K56" s="330"/>
      <c r="L56" s="330"/>
      <c r="M56" s="330"/>
      <c r="N56" s="330"/>
      <c r="O56" s="330"/>
    </row>
    <row r="57" spans="3:15" x14ac:dyDescent="0.25">
      <c r="C57" s="285" t="s">
        <v>6</v>
      </c>
      <c r="D57" s="2"/>
      <c r="E57" s="2"/>
      <c r="F57" s="2"/>
      <c r="G57" s="2"/>
      <c r="H57" s="2"/>
      <c r="I57" s="2"/>
      <c r="J57" s="330"/>
      <c r="K57" s="330"/>
      <c r="L57" s="330"/>
      <c r="M57" s="330"/>
      <c r="N57" s="330"/>
      <c r="O57" s="330"/>
    </row>
    <row r="58" spans="3:15" x14ac:dyDescent="0.25">
      <c r="C58" s="1" t="s">
        <v>7</v>
      </c>
      <c r="D58" s="52" t="s">
        <v>10</v>
      </c>
      <c r="E58" s="2"/>
      <c r="F58" s="2"/>
      <c r="G58" s="2"/>
      <c r="H58" s="2"/>
      <c r="I58" s="2"/>
      <c r="J58" s="330"/>
      <c r="K58" s="330"/>
      <c r="L58" s="330"/>
      <c r="M58" s="330"/>
      <c r="N58" s="330"/>
      <c r="O58" s="330"/>
    </row>
    <row r="59" spans="3:15" x14ac:dyDescent="0.25">
      <c r="C59" s="2" t="s">
        <v>204</v>
      </c>
      <c r="D59" s="49">
        <f>INDEX(D87:D92,MATCH(D58,C87:C92,0))</f>
        <v>5</v>
      </c>
      <c r="E59" s="2" t="s">
        <v>0</v>
      </c>
      <c r="F59" s="2"/>
      <c r="G59" s="2"/>
      <c r="H59" s="2"/>
      <c r="I59" s="2"/>
      <c r="J59" s="330"/>
      <c r="K59" s="330"/>
      <c r="L59" s="330"/>
      <c r="M59" s="330"/>
      <c r="N59" s="330"/>
      <c r="O59" s="330"/>
    </row>
    <row r="60" spans="3:15" x14ac:dyDescent="0.25">
      <c r="C60" s="2" t="s">
        <v>205</v>
      </c>
      <c r="D60" s="286">
        <f>INDEX(E87:E92,MATCH(D58,C87:C92,0))</f>
        <v>5.0000000000000001E-3</v>
      </c>
      <c r="E60" s="2" t="s">
        <v>0</v>
      </c>
      <c r="F60" s="2"/>
      <c r="G60" s="2"/>
      <c r="H60" s="2"/>
      <c r="I60" s="2"/>
      <c r="J60" s="330"/>
      <c r="K60" s="330"/>
      <c r="L60" s="330"/>
      <c r="M60" s="330"/>
      <c r="N60" s="330"/>
      <c r="O60" s="330"/>
    </row>
    <row r="61" spans="3:15" x14ac:dyDescent="0.25">
      <c r="C61" s="2" t="s">
        <v>206</v>
      </c>
      <c r="D61" s="45">
        <v>0.7</v>
      </c>
      <c r="E61" s="2" t="s">
        <v>16</v>
      </c>
      <c r="F61" s="2"/>
      <c r="G61" s="2"/>
      <c r="H61" s="2"/>
      <c r="I61" s="2"/>
      <c r="J61" s="330"/>
      <c r="K61" s="330"/>
      <c r="L61" s="330"/>
      <c r="M61" s="330"/>
      <c r="N61" s="330"/>
      <c r="O61" s="330"/>
    </row>
    <row r="62" spans="3:15" ht="14.45" hidden="1" x14ac:dyDescent="0.3">
      <c r="C62" s="3"/>
      <c r="D62" s="346">
        <v>299790000</v>
      </c>
      <c r="E62" s="3"/>
      <c r="F62" s="2"/>
      <c r="G62" s="2"/>
      <c r="H62" s="2"/>
      <c r="I62" s="2"/>
      <c r="J62" s="330"/>
      <c r="K62" s="330"/>
      <c r="L62" s="330"/>
      <c r="M62" s="330"/>
      <c r="N62" s="330"/>
      <c r="O62" s="330"/>
    </row>
    <row r="63" spans="3:15" x14ac:dyDescent="0.25">
      <c r="C63" s="2" t="s">
        <v>207</v>
      </c>
      <c r="D63" s="46">
        <v>3.5</v>
      </c>
      <c r="E63" s="2" t="s">
        <v>0</v>
      </c>
      <c r="F63" s="2"/>
      <c r="G63" s="2"/>
      <c r="H63" s="2"/>
      <c r="I63" s="2"/>
      <c r="J63" s="330"/>
      <c r="K63" s="330"/>
      <c r="L63" s="330"/>
      <c r="M63" s="330"/>
      <c r="N63" s="330"/>
      <c r="O63" s="330"/>
    </row>
    <row r="64" spans="3:15" ht="14.45" hidden="1" x14ac:dyDescent="0.3">
      <c r="C64" s="3"/>
      <c r="D64" s="83">
        <f>INDEX(F87:F92,MATCH(D58,C87:C92,0))</f>
        <v>5</v>
      </c>
      <c r="E64" s="123"/>
      <c r="F64" s="2"/>
      <c r="G64" s="2"/>
      <c r="H64" s="2"/>
      <c r="I64" s="2"/>
      <c r="J64" s="330"/>
      <c r="K64" s="330"/>
      <c r="L64" s="330"/>
      <c r="M64" s="330"/>
      <c r="N64" s="330"/>
      <c r="O64" s="330"/>
    </row>
    <row r="65" spans="3:15" ht="14.45" hidden="1" x14ac:dyDescent="0.3">
      <c r="C65" s="3"/>
      <c r="D65" s="83">
        <f>INDEX(G87:G92,MATCH(D58,C87:C92,0))</f>
        <v>10</v>
      </c>
      <c r="E65" s="123"/>
      <c r="F65" s="2"/>
      <c r="G65" s="2"/>
      <c r="H65" s="2"/>
      <c r="I65" s="2"/>
      <c r="J65" s="330"/>
      <c r="K65" s="330"/>
      <c r="L65" s="330"/>
      <c r="M65" s="330"/>
      <c r="N65" s="330"/>
      <c r="O65" s="330"/>
    </row>
    <row r="66" spans="3:15" ht="14.45" hidden="1" x14ac:dyDescent="0.3">
      <c r="C66" s="3"/>
      <c r="D66" s="83">
        <f>D65/360/(D63*1000000)</f>
        <v>7.9365079365079361E-9</v>
      </c>
      <c r="E66" s="123"/>
      <c r="F66" s="2"/>
      <c r="G66" s="2"/>
      <c r="H66" s="2"/>
      <c r="I66" s="2"/>
      <c r="J66" s="330"/>
      <c r="K66" s="330"/>
      <c r="L66" s="330"/>
      <c r="M66" s="330"/>
      <c r="N66" s="330"/>
      <c r="O66" s="330"/>
    </row>
    <row r="67" spans="3:15" ht="14.45" hidden="1" x14ac:dyDescent="0.3">
      <c r="C67" s="3"/>
      <c r="D67" s="83">
        <f>(D66-(D64*0.000000001))/2</f>
        <v>1.468253968253968E-9</v>
      </c>
      <c r="E67" s="3"/>
      <c r="F67" s="2"/>
      <c r="G67" s="2"/>
      <c r="H67" s="2"/>
      <c r="I67" s="2"/>
      <c r="J67" s="330"/>
      <c r="K67" s="330"/>
      <c r="L67" s="330"/>
      <c r="M67" s="330"/>
      <c r="N67" s="330"/>
      <c r="O67" s="330"/>
    </row>
    <row r="68" spans="3:15" ht="15.75" x14ac:dyDescent="0.25">
      <c r="C68" s="1" t="s">
        <v>5</v>
      </c>
      <c r="D68" s="48">
        <f>MAX(50*D67*D61*D62,1)</f>
        <v>15.405874999999995</v>
      </c>
      <c r="E68" s="2" t="s">
        <v>3</v>
      </c>
      <c r="F68" s="2"/>
      <c r="G68" s="2"/>
      <c r="H68" s="2"/>
      <c r="I68" s="2"/>
      <c r="J68" s="330"/>
      <c r="K68" s="330"/>
      <c r="L68" s="330"/>
      <c r="M68" s="330"/>
      <c r="N68" s="330"/>
      <c r="O68" s="330"/>
    </row>
    <row r="69" spans="3:15" x14ac:dyDescent="0.25">
      <c r="C69" s="2"/>
      <c r="D69" s="2"/>
      <c r="E69" s="2"/>
      <c r="F69" s="2"/>
      <c r="G69" s="2"/>
      <c r="H69" s="2"/>
      <c r="I69" s="2"/>
      <c r="J69" s="330"/>
      <c r="K69" s="330"/>
      <c r="L69" s="330"/>
      <c r="M69" s="330"/>
      <c r="N69" s="330"/>
      <c r="O69" s="330"/>
    </row>
    <row r="70" spans="3:15" x14ac:dyDescent="0.25">
      <c r="C70" s="287" t="s">
        <v>8</v>
      </c>
      <c r="D70" s="2"/>
      <c r="E70" s="2"/>
      <c r="F70" s="2"/>
      <c r="G70" s="2"/>
      <c r="H70" s="2"/>
      <c r="I70" s="2"/>
      <c r="J70" s="330"/>
      <c r="K70" s="330"/>
      <c r="L70" s="330"/>
      <c r="M70" s="330"/>
      <c r="N70" s="330"/>
      <c r="O70" s="330"/>
    </row>
    <row r="71" spans="3:15" x14ac:dyDescent="0.25">
      <c r="C71" s="175" t="s">
        <v>208</v>
      </c>
      <c r="D71" s="51">
        <v>15</v>
      </c>
      <c r="E71" s="175" t="s">
        <v>3</v>
      </c>
      <c r="F71" s="2"/>
      <c r="G71" s="2"/>
      <c r="H71" s="2"/>
      <c r="I71" s="2"/>
      <c r="J71" s="330"/>
      <c r="K71" s="330"/>
      <c r="L71" s="330"/>
      <c r="M71" s="330"/>
      <c r="N71" s="330"/>
      <c r="O71" s="330"/>
    </row>
    <row r="72" spans="3:15" ht="14.45" hidden="1" x14ac:dyDescent="0.3">
      <c r="C72" s="288"/>
      <c r="D72" s="289">
        <f>0.02*D71/D62</f>
        <v>1.0007004903432402E-9</v>
      </c>
      <c r="E72" s="288"/>
      <c r="F72" s="2"/>
      <c r="G72" s="2"/>
      <c r="H72" s="2"/>
      <c r="I72" s="2"/>
      <c r="J72" s="330"/>
      <c r="K72" s="330"/>
      <c r="L72" s="330"/>
      <c r="M72" s="330"/>
      <c r="N72" s="330"/>
      <c r="O72" s="330"/>
    </row>
    <row r="73" spans="3:15" ht="14.45" hidden="1" x14ac:dyDescent="0.3">
      <c r="C73" s="288"/>
      <c r="D73" s="289">
        <f>D72*2/D61</f>
        <v>2.8591442581235437E-9</v>
      </c>
      <c r="E73" s="288"/>
      <c r="F73" s="2"/>
      <c r="G73" s="2"/>
      <c r="H73" s="2"/>
      <c r="I73" s="2"/>
      <c r="J73" s="330"/>
      <c r="K73" s="330"/>
      <c r="L73" s="330"/>
      <c r="M73" s="330"/>
      <c r="N73" s="330"/>
      <c r="O73" s="330"/>
    </row>
    <row r="74" spans="3:15" ht="14.45" hidden="1" x14ac:dyDescent="0.3">
      <c r="C74" s="288"/>
      <c r="D74" s="289">
        <f>D73+(D64*0.000000001)</f>
        <v>7.8591442581235438E-9</v>
      </c>
      <c r="E74" s="288"/>
      <c r="F74" s="2"/>
      <c r="G74" s="2"/>
      <c r="H74" s="2"/>
      <c r="I74" s="2"/>
      <c r="J74" s="330"/>
      <c r="K74" s="330"/>
      <c r="L74" s="330"/>
      <c r="M74" s="330"/>
      <c r="N74" s="330"/>
      <c r="O74" s="330"/>
    </row>
    <row r="75" spans="3:15" ht="14.45" hidden="1" x14ac:dyDescent="0.3">
      <c r="C75" s="288"/>
      <c r="D75" s="289">
        <f>D65/(360*D74)</f>
        <v>3534453.226134066</v>
      </c>
      <c r="E75" s="288"/>
      <c r="F75" s="2"/>
      <c r="G75" s="2"/>
      <c r="H75" s="2"/>
      <c r="I75" s="2"/>
      <c r="J75" s="330"/>
      <c r="K75" s="330"/>
      <c r="L75" s="330"/>
      <c r="M75" s="330"/>
      <c r="N75" s="330"/>
      <c r="O75" s="330"/>
    </row>
    <row r="76" spans="3:15" ht="15.75" x14ac:dyDescent="0.25">
      <c r="C76" s="290" t="s">
        <v>9</v>
      </c>
      <c r="D76" s="291">
        <f>D75*0.000001</f>
        <v>3.5344532261340658</v>
      </c>
      <c r="E76" s="175" t="s">
        <v>0</v>
      </c>
      <c r="F76" s="2"/>
      <c r="G76" s="2"/>
      <c r="H76" s="2"/>
      <c r="I76" s="2"/>
      <c r="J76" s="330"/>
      <c r="K76" s="330"/>
      <c r="L76" s="330"/>
      <c r="M76" s="330"/>
      <c r="N76" s="330"/>
      <c r="O76" s="330"/>
    </row>
    <row r="77" spans="3:15" x14ac:dyDescent="0.25">
      <c r="C77" s="2"/>
      <c r="D77" s="2"/>
      <c r="E77" s="2"/>
      <c r="F77" s="2"/>
      <c r="G77" s="2"/>
      <c r="H77" s="2"/>
      <c r="I77" s="2"/>
      <c r="J77" s="330"/>
      <c r="K77" s="330"/>
      <c r="L77" s="330"/>
      <c r="M77" s="330"/>
      <c r="N77" s="330"/>
      <c r="O77" s="330"/>
    </row>
    <row r="78" spans="3:15" x14ac:dyDescent="0.25">
      <c r="C78" s="162" t="s">
        <v>203</v>
      </c>
      <c r="D78" s="2"/>
      <c r="E78" s="2"/>
      <c r="F78" s="2"/>
      <c r="G78" s="2"/>
      <c r="H78" s="2"/>
      <c r="I78" s="2"/>
      <c r="J78" s="330"/>
      <c r="K78" s="330"/>
      <c r="L78" s="330"/>
      <c r="M78" s="330"/>
      <c r="N78" s="330"/>
      <c r="O78" s="330"/>
    </row>
    <row r="79" spans="3:15" x14ac:dyDescent="0.25">
      <c r="C79" s="162" t="s">
        <v>12</v>
      </c>
      <c r="D79" s="2"/>
      <c r="E79" s="2"/>
      <c r="F79" s="2"/>
      <c r="G79" s="2"/>
      <c r="H79" s="2"/>
      <c r="I79" s="2"/>
      <c r="J79" s="330"/>
      <c r="K79" s="330"/>
      <c r="L79" s="330"/>
      <c r="M79" s="330"/>
      <c r="N79" s="330"/>
      <c r="O79" s="330"/>
    </row>
    <row r="80" spans="3:15" x14ac:dyDescent="0.25">
      <c r="C80" s="162" t="s">
        <v>95</v>
      </c>
      <c r="D80" s="2"/>
      <c r="E80" s="2"/>
      <c r="F80" s="2"/>
      <c r="G80" s="2"/>
      <c r="H80" s="2"/>
      <c r="I80" s="2"/>
      <c r="J80" s="330"/>
      <c r="K80" s="330"/>
      <c r="L80" s="330"/>
      <c r="M80" s="330"/>
      <c r="N80" s="330"/>
      <c r="O80" s="330"/>
    </row>
    <row r="81" spans="1:15" x14ac:dyDescent="0.25">
      <c r="C81" s="2" t="s">
        <v>330</v>
      </c>
      <c r="D81" s="2"/>
      <c r="E81" s="2"/>
      <c r="F81" s="2"/>
      <c r="G81" s="2"/>
      <c r="H81" s="2"/>
      <c r="I81" s="2"/>
      <c r="J81" s="330"/>
      <c r="K81" s="330"/>
      <c r="L81" s="330"/>
      <c r="M81" s="330"/>
      <c r="N81" s="330"/>
      <c r="O81" s="330"/>
    </row>
    <row r="82" spans="1:15" x14ac:dyDescent="0.25">
      <c r="C82" s="2"/>
      <c r="D82" s="2"/>
      <c r="E82" s="2"/>
      <c r="F82" s="2"/>
      <c r="G82" s="2"/>
      <c r="H82" s="2"/>
      <c r="I82" s="2"/>
      <c r="J82" s="330"/>
      <c r="K82" s="330"/>
      <c r="L82" s="330"/>
      <c r="M82" s="330"/>
      <c r="N82" s="330"/>
      <c r="O82" s="330"/>
    </row>
    <row r="83" spans="1:15" x14ac:dyDescent="0.25">
      <c r="C83" s="2"/>
      <c r="D83" s="2"/>
      <c r="E83" s="2"/>
      <c r="F83" s="2"/>
      <c r="G83" s="2"/>
      <c r="H83" s="2"/>
      <c r="I83" s="2"/>
      <c r="J83" s="330"/>
      <c r="K83" s="330"/>
      <c r="L83" s="330"/>
      <c r="M83" s="330"/>
      <c r="N83" s="330"/>
      <c r="O83" s="330"/>
    </row>
    <row r="84" spans="1:15" ht="15.75" x14ac:dyDescent="0.25">
      <c r="C84" s="63"/>
      <c r="D84" s="12"/>
      <c r="E84" s="12"/>
      <c r="F84" s="2"/>
      <c r="G84" s="2"/>
      <c r="H84" s="2"/>
      <c r="I84" s="2"/>
      <c r="J84" s="330"/>
      <c r="K84" s="330"/>
      <c r="L84" s="330"/>
      <c r="M84" s="330"/>
      <c r="N84" s="330"/>
      <c r="O84" s="330"/>
    </row>
    <row r="85" spans="1:15" x14ac:dyDescent="0.25">
      <c r="C85" s="1"/>
      <c r="D85" s="2"/>
      <c r="E85" s="2"/>
      <c r="F85" s="2"/>
      <c r="G85" s="2"/>
      <c r="H85" s="2"/>
      <c r="I85" s="2"/>
      <c r="J85" s="330"/>
      <c r="K85" s="330"/>
      <c r="L85" s="330"/>
      <c r="M85" s="330"/>
      <c r="N85" s="330"/>
      <c r="O85" s="330"/>
    </row>
    <row r="86" spans="1:15" x14ac:dyDescent="0.25">
      <c r="C86" s="292"/>
      <c r="D86" s="2"/>
      <c r="E86" s="2"/>
      <c r="F86" s="2"/>
      <c r="G86" s="2"/>
      <c r="H86" s="2"/>
      <c r="I86" s="2"/>
      <c r="J86" s="330"/>
      <c r="K86" s="330"/>
      <c r="L86" s="330"/>
      <c r="M86" s="330"/>
      <c r="N86" s="330"/>
      <c r="O86" s="330"/>
    </row>
    <row r="87" spans="1:15" ht="18" hidden="1" x14ac:dyDescent="0.35">
      <c r="C87" s="293" t="s">
        <v>15</v>
      </c>
      <c r="D87" s="294" t="s">
        <v>13</v>
      </c>
      <c r="E87" s="294" t="s">
        <v>14</v>
      </c>
      <c r="F87" s="295"/>
      <c r="G87" s="295"/>
      <c r="H87" s="2"/>
      <c r="I87" s="2"/>
      <c r="J87" s="330"/>
      <c r="K87" s="330"/>
      <c r="L87" s="330"/>
      <c r="M87" s="330"/>
      <c r="N87" s="330"/>
      <c r="O87" s="330"/>
    </row>
    <row r="88" spans="1:15" ht="14.45" hidden="1" x14ac:dyDescent="0.3">
      <c r="C88" s="296" t="s">
        <v>10</v>
      </c>
      <c r="D88" s="297">
        <v>5</v>
      </c>
      <c r="E88" s="297">
        <v>5.0000000000000001E-3</v>
      </c>
      <c r="F88" s="297">
        <v>5</v>
      </c>
      <c r="G88" s="297">
        <v>10</v>
      </c>
      <c r="H88" s="2"/>
      <c r="I88" s="2"/>
      <c r="J88" s="330"/>
      <c r="K88" s="330"/>
      <c r="L88" s="330"/>
      <c r="M88" s="330"/>
      <c r="N88" s="330"/>
      <c r="O88" s="330"/>
    </row>
    <row r="89" spans="1:15" ht="14.45" hidden="1" x14ac:dyDescent="0.3">
      <c r="C89" s="296" t="s">
        <v>183</v>
      </c>
      <c r="D89" s="297">
        <v>5</v>
      </c>
      <c r="E89" s="297">
        <v>5.0000000000000001E-3</v>
      </c>
      <c r="F89" s="297">
        <v>5</v>
      </c>
      <c r="G89" s="297">
        <v>10</v>
      </c>
      <c r="H89" s="2"/>
      <c r="I89" s="2"/>
      <c r="J89" s="330"/>
      <c r="K89" s="330"/>
      <c r="L89" s="330"/>
      <c r="M89" s="330"/>
      <c r="N89" s="330"/>
      <c r="O89" s="330"/>
    </row>
    <row r="90" spans="1:15" ht="14.45" hidden="1" x14ac:dyDescent="0.3">
      <c r="C90" s="296" t="s">
        <v>214</v>
      </c>
      <c r="D90" s="297">
        <v>10</v>
      </c>
      <c r="E90" s="297">
        <v>1E-3</v>
      </c>
      <c r="F90" s="297">
        <v>6</v>
      </c>
      <c r="G90" s="297">
        <v>14</v>
      </c>
      <c r="H90" s="2"/>
      <c r="I90" s="2"/>
      <c r="J90" s="330"/>
      <c r="K90" s="330"/>
      <c r="L90" s="330"/>
      <c r="M90" s="330"/>
      <c r="N90" s="330"/>
      <c r="O90" s="330"/>
    </row>
    <row r="91" spans="1:15" ht="14.45" hidden="1" x14ac:dyDescent="0.3">
      <c r="C91" s="296" t="s">
        <v>215</v>
      </c>
      <c r="D91" s="297">
        <v>10</v>
      </c>
      <c r="E91" s="297">
        <v>1E-3</v>
      </c>
      <c r="F91" s="297">
        <v>6</v>
      </c>
      <c r="G91" s="297">
        <v>14</v>
      </c>
      <c r="H91" s="2"/>
      <c r="I91" s="298"/>
      <c r="J91" s="344"/>
      <c r="K91" s="330"/>
      <c r="L91" s="330"/>
      <c r="M91" s="330"/>
      <c r="N91" s="330"/>
      <c r="O91" s="330"/>
    </row>
    <row r="92" spans="1:15" ht="14.45" hidden="1" x14ac:dyDescent="0.3">
      <c r="C92" s="297" t="s">
        <v>332</v>
      </c>
      <c r="D92" s="297">
        <v>10</v>
      </c>
      <c r="E92" s="297">
        <v>0.5</v>
      </c>
      <c r="F92" s="297">
        <v>5</v>
      </c>
      <c r="G92" s="297">
        <v>20</v>
      </c>
      <c r="H92" s="2"/>
      <c r="I92" s="198"/>
      <c r="J92" s="345"/>
      <c r="K92" s="330"/>
      <c r="L92" s="330"/>
      <c r="M92" s="330"/>
      <c r="N92" s="330"/>
      <c r="O92" s="330"/>
    </row>
    <row r="93" spans="1:15" x14ac:dyDescent="0.25">
      <c r="C93" s="2"/>
      <c r="D93" s="2"/>
      <c r="E93" s="2"/>
      <c r="F93" s="2"/>
      <c r="G93" s="2"/>
      <c r="H93" s="2"/>
      <c r="I93" s="198"/>
      <c r="J93" s="345"/>
      <c r="K93" s="330"/>
      <c r="L93" s="330"/>
      <c r="M93" s="330"/>
      <c r="N93" s="330"/>
      <c r="O93" s="330"/>
    </row>
    <row r="94" spans="1:15" x14ac:dyDescent="0.25">
      <c r="C94" s="330"/>
      <c r="D94" s="330"/>
      <c r="E94" s="330"/>
      <c r="F94" s="330"/>
      <c r="G94" s="330"/>
      <c r="H94" s="330"/>
      <c r="I94" s="345"/>
      <c r="J94" s="345"/>
      <c r="K94" s="330"/>
      <c r="L94" s="330"/>
      <c r="M94" s="330"/>
      <c r="N94" s="330"/>
      <c r="O94" s="330"/>
    </row>
    <row r="95" spans="1:15" x14ac:dyDescent="0.25">
      <c r="F95" s="330"/>
      <c r="G95" s="330"/>
      <c r="H95" s="330"/>
      <c r="I95" s="330"/>
      <c r="J95" s="330"/>
      <c r="K95" s="330"/>
      <c r="L95" s="330"/>
      <c r="M95" s="330"/>
      <c r="N95" s="330"/>
      <c r="O95" s="330"/>
    </row>
    <row r="96" spans="1:15" x14ac:dyDescent="0.25">
      <c r="A96" s="620"/>
      <c r="B96" s="620"/>
      <c r="F96" s="330"/>
      <c r="G96" s="330"/>
      <c r="H96" s="330"/>
      <c r="I96" s="330"/>
      <c r="J96" s="330"/>
      <c r="K96" s="330"/>
      <c r="L96" s="330"/>
      <c r="M96" s="330"/>
      <c r="N96" s="330"/>
      <c r="O96" s="330"/>
    </row>
    <row r="97" spans="1:15" x14ac:dyDescent="0.25">
      <c r="A97" s="620"/>
      <c r="B97" s="620"/>
      <c r="F97" s="330"/>
      <c r="G97" s="330"/>
      <c r="H97" s="330"/>
      <c r="I97" s="330"/>
      <c r="J97" s="330"/>
      <c r="K97" s="330"/>
      <c r="L97" s="330"/>
      <c r="M97" s="330"/>
      <c r="N97" s="330"/>
      <c r="O97" s="330"/>
    </row>
    <row r="98" spans="1:15" x14ac:dyDescent="0.25">
      <c r="A98" s="620"/>
      <c r="B98" s="620"/>
      <c r="F98" s="330"/>
      <c r="G98" s="330"/>
      <c r="H98" s="330"/>
      <c r="I98" s="330"/>
      <c r="J98" s="330"/>
      <c r="K98" s="330"/>
      <c r="L98" s="330"/>
      <c r="M98" s="330"/>
      <c r="N98" s="330"/>
      <c r="O98" s="330"/>
    </row>
    <row r="99" spans="1:15" x14ac:dyDescent="0.25">
      <c r="A99" s="620"/>
      <c r="B99" s="620"/>
      <c r="F99" s="330"/>
      <c r="G99" s="330"/>
      <c r="H99" s="330"/>
      <c r="I99" s="330"/>
      <c r="J99" s="330"/>
      <c r="K99" s="330"/>
      <c r="L99" s="330"/>
      <c r="M99" s="330"/>
      <c r="N99" s="330"/>
      <c r="O99" s="330"/>
    </row>
    <row r="100" spans="1:15" x14ac:dyDescent="0.25">
      <c r="A100" s="620"/>
      <c r="B100" s="620"/>
      <c r="F100" s="330"/>
      <c r="G100" s="330"/>
      <c r="H100" s="330"/>
      <c r="I100" s="330"/>
      <c r="J100" s="330"/>
      <c r="K100" s="330"/>
      <c r="L100" s="330"/>
      <c r="M100" s="330"/>
      <c r="N100" s="330"/>
      <c r="O100" s="330"/>
    </row>
    <row r="101" spans="1:15" x14ac:dyDescent="0.25">
      <c r="A101" s="620"/>
      <c r="B101" s="620"/>
    </row>
    <row r="102" spans="1:15" x14ac:dyDescent="0.25">
      <c r="A102" s="620"/>
      <c r="B102" s="620"/>
    </row>
    <row r="103" spans="1:15" x14ac:dyDescent="0.25">
      <c r="A103" s="620"/>
      <c r="B103" s="620"/>
    </row>
    <row r="104" spans="1:15" x14ac:dyDescent="0.25">
      <c r="A104" s="620"/>
      <c r="B104" s="620"/>
    </row>
    <row r="110" spans="1:15" x14ac:dyDescent="0.25">
      <c r="C110" s="120" t="s">
        <v>339</v>
      </c>
      <c r="D110" s="120" t="s">
        <v>338</v>
      </c>
      <c r="E110" s="120"/>
    </row>
    <row r="111" spans="1:15" x14ac:dyDescent="0.25">
      <c r="C111" s="119">
        <f>IF(D$40="LDC1101",E111,D111)</f>
        <v>3926.991</v>
      </c>
      <c r="D111" s="119">
        <v>3926.991</v>
      </c>
      <c r="E111" s="119"/>
    </row>
    <row r="112" spans="1:15" x14ac:dyDescent="0.25">
      <c r="C112" s="119">
        <f t="shared" ref="C112:C142" si="0">IF(D$40="LDC1101",E112,D112)</f>
        <v>3141.5929999999998</v>
      </c>
      <c r="D112" s="119">
        <v>3141.5929999999998</v>
      </c>
      <c r="E112" s="119"/>
    </row>
    <row r="113" spans="3:5" x14ac:dyDescent="0.25">
      <c r="C113" s="119">
        <f t="shared" si="0"/>
        <v>2243.9949999999999</v>
      </c>
      <c r="D113" s="119">
        <v>2243.9949999999999</v>
      </c>
      <c r="E113" s="119"/>
    </row>
    <row r="114" spans="3:5" x14ac:dyDescent="0.25">
      <c r="C114" s="119">
        <f t="shared" si="0"/>
        <v>1745.329</v>
      </c>
      <c r="D114" s="119">
        <v>1745.329</v>
      </c>
      <c r="E114" s="119"/>
    </row>
    <row r="115" spans="3:5" x14ac:dyDescent="0.25">
      <c r="C115" s="119">
        <f t="shared" si="0"/>
        <v>1308.9970000000001</v>
      </c>
      <c r="D115" s="119">
        <v>1308.9970000000001</v>
      </c>
      <c r="E115" s="119"/>
    </row>
    <row r="116" spans="3:5" x14ac:dyDescent="0.25">
      <c r="C116" s="119">
        <f t="shared" si="0"/>
        <v>981.74800000000005</v>
      </c>
      <c r="D116" s="119">
        <v>981.74800000000005</v>
      </c>
      <c r="E116" s="119"/>
    </row>
    <row r="117" spans="3:5" x14ac:dyDescent="0.25">
      <c r="C117" s="119">
        <f t="shared" si="0"/>
        <v>747.99800000000005</v>
      </c>
      <c r="D117" s="119">
        <v>747.99800000000005</v>
      </c>
      <c r="E117" s="119"/>
    </row>
    <row r="118" spans="3:5" x14ac:dyDescent="0.25">
      <c r="C118" s="119">
        <f t="shared" si="0"/>
        <v>581.77599999999995</v>
      </c>
      <c r="D118" s="119">
        <v>581.77599999999995</v>
      </c>
      <c r="E118" s="119"/>
    </row>
    <row r="119" spans="3:5" x14ac:dyDescent="0.25">
      <c r="C119" s="119">
        <f t="shared" si="0"/>
        <v>436.33199999999999</v>
      </c>
      <c r="D119" s="119">
        <v>436.33199999999999</v>
      </c>
      <c r="E119" s="119"/>
    </row>
    <row r="120" spans="3:5" x14ac:dyDescent="0.25">
      <c r="C120" s="119">
        <f t="shared" si="0"/>
        <v>349.06599999999997</v>
      </c>
      <c r="D120" s="119">
        <v>349.06599999999997</v>
      </c>
      <c r="E120" s="119"/>
    </row>
    <row r="121" spans="3:5" x14ac:dyDescent="0.25">
      <c r="C121" s="119">
        <f t="shared" si="0"/>
        <v>249.333</v>
      </c>
      <c r="D121" s="119">
        <v>249.333</v>
      </c>
      <c r="E121" s="119"/>
    </row>
    <row r="122" spans="3:5" x14ac:dyDescent="0.25">
      <c r="C122" s="119">
        <f t="shared" si="0"/>
        <v>193.92599999999999</v>
      </c>
      <c r="D122" s="119">
        <v>193.92599999999999</v>
      </c>
      <c r="E122" s="119"/>
    </row>
    <row r="123" spans="3:5" x14ac:dyDescent="0.25">
      <c r="C123" s="119">
        <f t="shared" si="0"/>
        <v>145.44399999999999</v>
      </c>
      <c r="D123" s="119">
        <v>145.44399999999999</v>
      </c>
      <c r="E123" s="119"/>
    </row>
    <row r="124" spans="3:5" x14ac:dyDescent="0.25">
      <c r="C124" s="119">
        <f t="shared" si="0"/>
        <v>109.083</v>
      </c>
      <c r="D124" s="119">
        <v>109.083</v>
      </c>
      <c r="E124" s="119"/>
    </row>
    <row r="125" spans="3:5" x14ac:dyDescent="0.25">
      <c r="C125" s="119">
        <f t="shared" si="0"/>
        <v>83.111000000000004</v>
      </c>
      <c r="D125" s="119">
        <v>83.111000000000004</v>
      </c>
      <c r="E125" s="119"/>
    </row>
    <row r="126" spans="3:5" x14ac:dyDescent="0.25">
      <c r="C126" s="119">
        <f t="shared" si="0"/>
        <v>64.641999999999996</v>
      </c>
      <c r="D126" s="119">
        <v>64.641999999999996</v>
      </c>
      <c r="E126" s="119"/>
    </row>
    <row r="127" spans="3:5" x14ac:dyDescent="0.25">
      <c r="C127" s="119">
        <f t="shared" si="0"/>
        <v>48.481000000000002</v>
      </c>
      <c r="D127" s="119">
        <v>48.481000000000002</v>
      </c>
      <c r="E127" s="119"/>
    </row>
    <row r="128" spans="3:5" x14ac:dyDescent="0.25">
      <c r="C128" s="119">
        <f t="shared" si="0"/>
        <v>38.784999999999997</v>
      </c>
      <c r="D128" s="119">
        <v>38.784999999999997</v>
      </c>
      <c r="E128" s="119"/>
    </row>
    <row r="129" spans="3:5" x14ac:dyDescent="0.25">
      <c r="C129" s="119">
        <f t="shared" si="0"/>
        <v>27.704000000000001</v>
      </c>
      <c r="D129" s="119">
        <v>27.704000000000001</v>
      </c>
      <c r="E129" s="119"/>
    </row>
    <row r="130" spans="3:5" x14ac:dyDescent="0.25">
      <c r="C130" s="119">
        <f t="shared" si="0"/>
        <v>21.547000000000001</v>
      </c>
      <c r="D130" s="119">
        <v>21.547000000000001</v>
      </c>
      <c r="E130" s="119"/>
    </row>
    <row r="131" spans="3:5" x14ac:dyDescent="0.25">
      <c r="C131" s="119">
        <f t="shared" si="0"/>
        <v>16.16</v>
      </c>
      <c r="D131" s="119">
        <v>16.16</v>
      </c>
      <c r="E131" s="119"/>
    </row>
    <row r="132" spans="3:5" x14ac:dyDescent="0.25">
      <c r="C132" s="119">
        <f t="shared" si="0"/>
        <v>12.12</v>
      </c>
      <c r="D132" s="119">
        <v>12.12</v>
      </c>
      <c r="E132" s="119"/>
    </row>
    <row r="133" spans="3:5" x14ac:dyDescent="0.25">
      <c r="C133" s="119">
        <f t="shared" si="0"/>
        <v>9.2349999999999994</v>
      </c>
      <c r="D133" s="119">
        <v>9.2349999999999994</v>
      </c>
      <c r="E133" s="119"/>
    </row>
    <row r="134" spans="3:5" x14ac:dyDescent="0.25">
      <c r="C134" s="119">
        <f t="shared" si="0"/>
        <v>7.1820000000000004</v>
      </c>
      <c r="D134" s="119">
        <v>7.1820000000000004</v>
      </c>
      <c r="E134" s="119"/>
    </row>
    <row r="135" spans="3:5" x14ac:dyDescent="0.25">
      <c r="C135" s="119">
        <f t="shared" si="0"/>
        <v>5.3869999999999996</v>
      </c>
      <c r="D135" s="119">
        <v>5.3869999999999996</v>
      </c>
      <c r="E135" s="119"/>
    </row>
    <row r="136" spans="3:5" x14ac:dyDescent="0.25">
      <c r="C136" s="119">
        <f t="shared" si="0"/>
        <v>4.3090000000000002</v>
      </c>
      <c r="D136" s="119">
        <v>4.3090000000000002</v>
      </c>
      <c r="E136" s="119"/>
    </row>
    <row r="137" spans="3:5" x14ac:dyDescent="0.25">
      <c r="C137" s="119">
        <f t="shared" si="0"/>
        <v>3.0779999999999998</v>
      </c>
      <c r="D137" s="119">
        <v>3.0779999999999998</v>
      </c>
      <c r="E137" s="119"/>
    </row>
    <row r="138" spans="3:5" x14ac:dyDescent="0.25">
      <c r="C138" s="119">
        <f t="shared" si="0"/>
        <v>2.3940000000000001</v>
      </c>
      <c r="D138" s="119">
        <v>2.3940000000000001</v>
      </c>
      <c r="E138" s="119"/>
    </row>
    <row r="139" spans="3:5" x14ac:dyDescent="0.25">
      <c r="C139" s="119">
        <f t="shared" si="0"/>
        <v>1.796</v>
      </c>
      <c r="D139" s="119">
        <v>1.796</v>
      </c>
      <c r="E139" s="119"/>
    </row>
    <row r="140" spans="3:5" x14ac:dyDescent="0.25">
      <c r="C140" s="119">
        <f t="shared" si="0"/>
        <v>1.347</v>
      </c>
      <c r="D140" s="119">
        <v>1.347</v>
      </c>
      <c r="E140" s="119"/>
    </row>
    <row r="141" spans="3:5" x14ac:dyDescent="0.25">
      <c r="C141" s="119">
        <f t="shared" si="0"/>
        <v>1.026</v>
      </c>
      <c r="D141" s="119">
        <v>1.026</v>
      </c>
      <c r="E141" s="119"/>
    </row>
    <row r="142" spans="3:5" x14ac:dyDescent="0.25">
      <c r="C142" s="119">
        <f t="shared" si="0"/>
        <v>0.79800000000000004</v>
      </c>
      <c r="D142" s="119">
        <v>0.79800000000000004</v>
      </c>
      <c r="E142" s="119"/>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5" x14ac:dyDescent="0.25"/>
  <cols>
    <col min="2" max="2" width="21.5703125" customWidth="1"/>
    <col min="3" max="3" width="10.85546875" customWidth="1"/>
    <col min="4" max="4" width="9.140625" customWidth="1"/>
    <col min="9" max="9" width="3.140625" customWidth="1"/>
    <col min="11" max="11" width="8.7109375" customWidth="1"/>
    <col min="12" max="12" width="1.85546875" customWidth="1"/>
    <col min="13" max="13" width="8" customWidth="1"/>
    <col min="14" max="14" width="7.42578125" customWidth="1"/>
    <col min="15" max="15" width="3.42578125" customWidth="1"/>
    <col min="16" max="17" width="10.85546875" bestFit="1" customWidth="1"/>
    <col min="18" max="18" width="2.7109375" customWidth="1"/>
    <col min="19" max="19" width="13.140625" customWidth="1"/>
    <col min="20" max="20" width="2.85546875" customWidth="1"/>
    <col min="21" max="21" width="12.42578125" customWidth="1"/>
  </cols>
  <sheetData>
    <row r="1" spans="2:19" ht="14.45" x14ac:dyDescent="0.3">
      <c r="G1" s="330"/>
      <c r="H1" s="330"/>
      <c r="I1" s="330"/>
      <c r="J1" s="330"/>
      <c r="K1" s="330"/>
      <c r="L1" s="330"/>
      <c r="M1" s="330"/>
      <c r="N1" s="330"/>
      <c r="O1" s="330"/>
      <c r="P1" s="330"/>
      <c r="Q1" s="330"/>
      <c r="R1" s="330"/>
      <c r="S1" s="330"/>
    </row>
    <row r="2" spans="2:19" ht="17.45" x14ac:dyDescent="0.35">
      <c r="B2" s="791" t="s">
        <v>1492</v>
      </c>
      <c r="E2" s="20" t="s">
        <v>199</v>
      </c>
      <c r="G2" s="330"/>
      <c r="H2" s="330"/>
      <c r="I2" s="330"/>
      <c r="J2" s="330"/>
      <c r="K2" s="330"/>
      <c r="L2" s="330"/>
      <c r="M2" s="330"/>
      <c r="N2" s="330"/>
      <c r="O2" s="330"/>
      <c r="P2" s="330"/>
      <c r="Q2" s="330"/>
      <c r="R2" s="330"/>
      <c r="S2" s="330"/>
    </row>
    <row r="3" spans="2:19" ht="14.45" x14ac:dyDescent="0.3">
      <c r="G3" s="330"/>
      <c r="H3" s="330"/>
      <c r="I3" s="330"/>
      <c r="J3" s="330"/>
      <c r="K3" s="330"/>
      <c r="L3" s="330"/>
      <c r="M3" s="330"/>
      <c r="N3" s="330"/>
      <c r="O3" s="330"/>
      <c r="P3" s="330"/>
      <c r="Q3" s="330"/>
      <c r="R3" s="330"/>
      <c r="S3" s="330"/>
    </row>
    <row r="4" spans="2:19" ht="14.45" x14ac:dyDescent="0.3">
      <c r="B4" s="9" t="s">
        <v>1457</v>
      </c>
      <c r="C4" s="309" t="s">
        <v>1442</v>
      </c>
      <c r="D4" s="309" t="s">
        <v>1443</v>
      </c>
      <c r="E4" s="309" t="s">
        <v>1444</v>
      </c>
      <c r="F4" s="309" t="s">
        <v>1445</v>
      </c>
      <c r="G4" s="330"/>
      <c r="H4" s="330"/>
      <c r="I4" s="330"/>
      <c r="J4" s="330"/>
      <c r="K4" s="330"/>
      <c r="L4" s="330"/>
      <c r="M4" s="330"/>
      <c r="N4" s="330"/>
      <c r="O4" s="330"/>
      <c r="P4" s="330"/>
      <c r="Q4" s="330"/>
      <c r="R4" s="330"/>
      <c r="S4" s="330"/>
    </row>
    <row r="5" spans="2:19" x14ac:dyDescent="0.25">
      <c r="B5" s="309" t="s">
        <v>1446</v>
      </c>
      <c r="C5" s="152">
        <v>1670</v>
      </c>
      <c r="D5" s="152">
        <v>0</v>
      </c>
      <c r="E5" s="152">
        <v>-35</v>
      </c>
      <c r="F5" s="152">
        <v>0</v>
      </c>
      <c r="G5" s="330"/>
      <c r="H5" s="330"/>
      <c r="I5" s="330"/>
      <c r="J5" s="330"/>
      <c r="K5" s="330"/>
      <c r="L5" s="330"/>
      <c r="M5" s="330"/>
      <c r="N5" s="330"/>
      <c r="O5" s="330"/>
      <c r="P5" s="330"/>
      <c r="Q5" s="330"/>
      <c r="R5" s="330"/>
      <c r="S5" s="330"/>
    </row>
    <row r="6" spans="2:19" x14ac:dyDescent="0.25">
      <c r="B6" s="309" t="s">
        <v>1447</v>
      </c>
      <c r="C6" s="152">
        <v>-30</v>
      </c>
      <c r="D6" s="152">
        <v>0</v>
      </c>
      <c r="E6" s="152">
        <v>1615</v>
      </c>
      <c r="F6" s="152">
        <v>0</v>
      </c>
      <c r="G6" s="330"/>
      <c r="H6" s="330"/>
      <c r="I6" s="330"/>
      <c r="J6" s="330"/>
      <c r="K6" s="330"/>
      <c r="L6" s="330"/>
      <c r="M6" s="330"/>
      <c r="N6" s="330"/>
      <c r="O6" s="330"/>
      <c r="P6" s="330"/>
      <c r="Q6" s="330"/>
      <c r="R6" s="330"/>
      <c r="S6" s="330"/>
    </row>
    <row r="7" spans="2:19" x14ac:dyDescent="0.25">
      <c r="B7" s="309" t="s">
        <v>1448</v>
      </c>
      <c r="C7" s="152">
        <v>-1730</v>
      </c>
      <c r="D7" s="152">
        <v>0</v>
      </c>
      <c r="E7" s="152">
        <v>-35</v>
      </c>
      <c r="F7" s="152">
        <v>0</v>
      </c>
      <c r="G7" s="330"/>
      <c r="H7" s="330"/>
      <c r="I7" s="330"/>
      <c r="J7" s="330"/>
      <c r="K7" s="330"/>
      <c r="L7" s="330"/>
      <c r="M7" s="330"/>
      <c r="N7" s="330"/>
      <c r="O7" s="330"/>
      <c r="P7" s="330"/>
      <c r="Q7" s="330"/>
      <c r="R7" s="330"/>
      <c r="S7" s="330"/>
    </row>
    <row r="8" spans="2:19" x14ac:dyDescent="0.25">
      <c r="B8" s="309" t="s">
        <v>1521</v>
      </c>
      <c r="C8" s="152">
        <v>-30</v>
      </c>
      <c r="D8" s="152">
        <v>0</v>
      </c>
      <c r="E8" s="152">
        <v>-1685</v>
      </c>
      <c r="F8" s="152">
        <v>0</v>
      </c>
      <c r="G8" s="330"/>
      <c r="H8" s="330"/>
      <c r="I8" s="330"/>
      <c r="J8" s="330"/>
      <c r="K8" s="330"/>
      <c r="L8" s="330"/>
      <c r="M8" s="330"/>
      <c r="N8" s="330"/>
      <c r="O8" s="330"/>
      <c r="P8" s="330"/>
      <c r="Q8" s="330"/>
      <c r="R8" s="330"/>
      <c r="S8" s="330"/>
    </row>
    <row r="9" spans="2:19" x14ac:dyDescent="0.25">
      <c r="B9" s="12"/>
      <c r="G9" s="330"/>
      <c r="H9" s="330"/>
      <c r="I9" s="330"/>
      <c r="J9" s="330"/>
      <c r="K9" s="330"/>
      <c r="L9" s="330"/>
      <c r="M9" s="330"/>
      <c r="N9" s="330"/>
      <c r="O9" s="330"/>
      <c r="P9" s="330"/>
      <c r="Q9" s="330"/>
      <c r="R9" s="330"/>
      <c r="S9" s="330"/>
    </row>
    <row r="10" spans="2:19" x14ac:dyDescent="0.25">
      <c r="B10" s="58" t="s">
        <v>1516</v>
      </c>
      <c r="C10" s="309" t="s">
        <v>1450</v>
      </c>
      <c r="D10" s="309" t="s">
        <v>83</v>
      </c>
      <c r="G10" s="330"/>
      <c r="H10" s="330"/>
      <c r="I10" s="330"/>
      <c r="J10" s="330"/>
      <c r="K10" s="330"/>
      <c r="L10" s="330"/>
      <c r="M10" s="330"/>
      <c r="N10" s="330"/>
      <c r="O10" s="330"/>
      <c r="P10" s="330"/>
      <c r="Q10" s="330"/>
      <c r="R10" s="330"/>
      <c r="S10" s="330"/>
    </row>
    <row r="11" spans="2:19" x14ac:dyDescent="0.25">
      <c r="B11" s="309" t="s">
        <v>1446</v>
      </c>
      <c r="C11" s="54">
        <f>C5-D5</f>
        <v>1670</v>
      </c>
      <c r="D11" s="54">
        <f>E5-F5</f>
        <v>-35</v>
      </c>
      <c r="G11" s="330"/>
      <c r="H11" s="330"/>
      <c r="I11" s="330"/>
      <c r="J11" s="330"/>
      <c r="K11" s="330"/>
      <c r="L11" s="330"/>
      <c r="M11" s="330"/>
      <c r="N11" s="330"/>
      <c r="O11" s="330"/>
      <c r="P11" s="330"/>
      <c r="Q11" s="330"/>
      <c r="R11" s="330"/>
      <c r="S11" s="330"/>
    </row>
    <row r="12" spans="2:19" x14ac:dyDescent="0.25">
      <c r="B12" s="309" t="s">
        <v>1447</v>
      </c>
      <c r="C12" s="54">
        <f>C6-D6</f>
        <v>-30</v>
      </c>
      <c r="D12" s="54">
        <f>E6-F6</f>
        <v>1615</v>
      </c>
      <c r="G12" s="330"/>
      <c r="H12" s="330"/>
      <c r="I12" s="330"/>
      <c r="J12" s="330"/>
      <c r="K12" s="330"/>
      <c r="L12" s="330"/>
      <c r="M12" s="330"/>
      <c r="N12" s="330"/>
      <c r="O12" s="330"/>
      <c r="P12" s="330"/>
      <c r="Q12" s="330"/>
      <c r="R12" s="330"/>
      <c r="S12" s="330"/>
    </row>
    <row r="13" spans="2:19" x14ac:dyDescent="0.25">
      <c r="B13" s="309" t="s">
        <v>1448</v>
      </c>
      <c r="C13" s="54">
        <f>C7-D7</f>
        <v>-1730</v>
      </c>
      <c r="D13" s="54">
        <f>E7-F7</f>
        <v>-35</v>
      </c>
      <c r="G13" s="330"/>
      <c r="H13" s="330"/>
      <c r="I13" s="330"/>
      <c r="J13" s="330"/>
      <c r="K13" s="330"/>
      <c r="L13" s="330"/>
      <c r="M13" s="330"/>
      <c r="N13" s="330"/>
      <c r="O13" s="330"/>
      <c r="P13" s="330"/>
      <c r="Q13" s="330"/>
      <c r="R13" s="330"/>
      <c r="S13" s="330"/>
    </row>
    <row r="14" spans="2:19" x14ac:dyDescent="0.25">
      <c r="B14" s="309" t="s">
        <v>1449</v>
      </c>
      <c r="C14" s="54">
        <f>C8-D8</f>
        <v>-30</v>
      </c>
      <c r="D14" s="54">
        <f>E8-F8</f>
        <v>-1685</v>
      </c>
      <c r="G14" s="330"/>
      <c r="H14" s="330"/>
      <c r="I14" s="330"/>
      <c r="J14" s="330"/>
      <c r="K14" s="330"/>
      <c r="L14" s="330"/>
      <c r="M14" s="330"/>
      <c r="N14" s="330"/>
      <c r="O14" s="330"/>
      <c r="P14" s="330"/>
      <c r="Q14" s="330"/>
      <c r="R14" s="330"/>
      <c r="S14" s="330"/>
    </row>
    <row r="15" spans="2:19" x14ac:dyDescent="0.25">
      <c r="B15" s="12"/>
      <c r="G15" s="330"/>
      <c r="H15" s="330"/>
      <c r="I15" s="330"/>
      <c r="J15" s="330"/>
      <c r="K15" s="330"/>
      <c r="L15" s="330"/>
      <c r="M15" s="330"/>
      <c r="N15" s="330"/>
      <c r="O15" s="330"/>
      <c r="P15" s="330"/>
      <c r="Q15" s="330"/>
      <c r="R15" s="330"/>
      <c r="S15" s="330"/>
    </row>
    <row r="16" spans="2:19" x14ac:dyDescent="0.25">
      <c r="B16" s="58" t="s">
        <v>1453</v>
      </c>
      <c r="C16" s="309" t="s">
        <v>1450</v>
      </c>
      <c r="D16" s="309" t="s">
        <v>83</v>
      </c>
      <c r="G16" s="330"/>
      <c r="H16" s="330"/>
      <c r="I16" s="330"/>
      <c r="J16" s="330"/>
      <c r="K16" s="330"/>
      <c r="L16" s="330"/>
      <c r="M16" s="330"/>
      <c r="N16" s="330"/>
      <c r="O16" s="330"/>
      <c r="P16" s="330"/>
      <c r="Q16" s="330"/>
      <c r="R16" s="330"/>
      <c r="S16" s="330"/>
    </row>
    <row r="17" spans="2:19" x14ac:dyDescent="0.25">
      <c r="B17" s="309" t="s">
        <v>1453</v>
      </c>
      <c r="C17" s="54">
        <f>AVERAGE(C12,C14)</f>
        <v>-30</v>
      </c>
      <c r="D17" s="54">
        <f>AVERAGE(D11,D13)</f>
        <v>-35</v>
      </c>
      <c r="F17" t="s">
        <v>1454</v>
      </c>
      <c r="G17" s="330"/>
      <c r="H17" s="330"/>
      <c r="I17" s="330"/>
      <c r="J17" s="330"/>
      <c r="K17" s="330"/>
      <c r="L17" s="330"/>
      <c r="M17" s="330"/>
      <c r="N17" s="330"/>
      <c r="O17" s="330"/>
      <c r="P17" s="330"/>
      <c r="Q17" s="330"/>
      <c r="R17" s="330"/>
      <c r="S17" s="330"/>
    </row>
    <row r="18" spans="2:19" x14ac:dyDescent="0.25">
      <c r="B18" s="309" t="s">
        <v>1452</v>
      </c>
      <c r="C18" s="54">
        <f>(C11-C13)/2</f>
        <v>1700</v>
      </c>
      <c r="D18" s="54">
        <f>(D12-D14)/2</f>
        <v>1650</v>
      </c>
      <c r="G18" s="330"/>
      <c r="H18" s="330"/>
      <c r="I18" s="330"/>
      <c r="J18" s="330"/>
      <c r="K18" s="330"/>
      <c r="L18" s="330"/>
      <c r="M18" s="330"/>
      <c r="N18" s="330"/>
      <c r="O18" s="330"/>
      <c r="P18" s="330"/>
      <c r="Q18" s="330"/>
      <c r="R18" s="330"/>
      <c r="S18" s="330"/>
    </row>
    <row r="19" spans="2:19" x14ac:dyDescent="0.25">
      <c r="B19" s="12"/>
      <c r="G19" s="330"/>
      <c r="H19" s="330"/>
      <c r="I19" s="330"/>
      <c r="J19" s="330"/>
      <c r="K19" s="330"/>
      <c r="L19" s="330"/>
      <c r="M19" s="330"/>
      <c r="N19" s="330"/>
      <c r="O19" s="330"/>
      <c r="P19" s="330"/>
      <c r="Q19" s="330"/>
      <c r="R19" s="330"/>
      <c r="S19" s="330"/>
    </row>
    <row r="20" spans="2:19" x14ac:dyDescent="0.25">
      <c r="B20" s="58" t="s">
        <v>1456</v>
      </c>
      <c r="C20" s="309" t="s">
        <v>1450</v>
      </c>
      <c r="D20" s="309" t="s">
        <v>83</v>
      </c>
      <c r="G20" s="330"/>
      <c r="H20" s="330"/>
      <c r="I20" s="330"/>
      <c r="J20" s="330"/>
      <c r="K20" s="330"/>
      <c r="L20" s="330"/>
      <c r="M20" s="330"/>
      <c r="N20" s="330"/>
      <c r="O20" s="330"/>
      <c r="P20" s="330"/>
      <c r="Q20" s="330"/>
      <c r="R20" s="330"/>
      <c r="S20" s="330"/>
    </row>
    <row r="21" spans="2:19" x14ac:dyDescent="0.25">
      <c r="B21" s="309" t="s">
        <v>1446</v>
      </c>
      <c r="C21" s="54">
        <f>(C11-C$17)/C$18</f>
        <v>1</v>
      </c>
      <c r="D21" s="54">
        <f>(D11-D$17)/D$18</f>
        <v>0</v>
      </c>
      <c r="G21" s="330"/>
      <c r="H21" s="330"/>
      <c r="I21" s="330"/>
      <c r="J21" s="330"/>
      <c r="K21" s="330"/>
      <c r="L21" s="330"/>
      <c r="M21" s="330"/>
      <c r="N21" s="330"/>
      <c r="O21" s="330"/>
      <c r="P21" s="330"/>
      <c r="Q21" s="330"/>
      <c r="R21" s="330"/>
      <c r="S21" s="330"/>
    </row>
    <row r="22" spans="2:19" x14ac:dyDescent="0.25">
      <c r="B22" s="309" t="s">
        <v>1447</v>
      </c>
      <c r="C22" s="54">
        <f t="shared" ref="C22:D24" si="0">(C12-C$17)/C$18</f>
        <v>0</v>
      </c>
      <c r="D22" s="54">
        <f t="shared" si="0"/>
        <v>1</v>
      </c>
      <c r="G22" s="330"/>
      <c r="H22" s="330"/>
      <c r="I22" s="330"/>
      <c r="J22" s="330"/>
      <c r="K22" s="330"/>
      <c r="L22" s="330"/>
      <c r="M22" s="330"/>
      <c r="N22" s="330"/>
      <c r="O22" s="330"/>
      <c r="P22" s="330"/>
      <c r="Q22" s="330"/>
      <c r="R22" s="330"/>
      <c r="S22" s="330"/>
    </row>
    <row r="23" spans="2:19" x14ac:dyDescent="0.25">
      <c r="B23" s="309" t="s">
        <v>1448</v>
      </c>
      <c r="C23" s="54">
        <f t="shared" si="0"/>
        <v>-1</v>
      </c>
      <c r="D23" s="54">
        <f t="shared" si="0"/>
        <v>0</v>
      </c>
      <c r="G23" s="330"/>
      <c r="H23" s="330"/>
      <c r="I23" s="330"/>
      <c r="J23" s="330"/>
      <c r="K23" s="330"/>
      <c r="L23" s="330"/>
      <c r="M23" s="330"/>
      <c r="N23" s="330"/>
      <c r="O23" s="330"/>
      <c r="P23" s="330"/>
      <c r="Q23" s="330"/>
      <c r="R23" s="330"/>
      <c r="S23" s="330"/>
    </row>
    <row r="24" spans="2:19" x14ac:dyDescent="0.25">
      <c r="B24" s="309" t="s">
        <v>1449</v>
      </c>
      <c r="C24" s="54">
        <f t="shared" si="0"/>
        <v>0</v>
      </c>
      <c r="D24" s="54">
        <f t="shared" si="0"/>
        <v>-1</v>
      </c>
      <c r="G24" s="330"/>
      <c r="H24" s="330"/>
      <c r="I24" s="330"/>
      <c r="J24" s="330"/>
      <c r="K24" s="330"/>
      <c r="L24" s="330"/>
      <c r="M24" s="330"/>
      <c r="N24" s="330"/>
      <c r="O24" s="330"/>
      <c r="P24" s="330"/>
      <c r="Q24" s="330"/>
      <c r="R24" s="330"/>
      <c r="S24" s="330"/>
    </row>
    <row r="25" spans="2:19" x14ac:dyDescent="0.25">
      <c r="B25" s="12"/>
      <c r="G25" s="330"/>
      <c r="H25" s="330"/>
      <c r="I25" s="330"/>
      <c r="J25" s="330"/>
      <c r="K25" s="330"/>
      <c r="L25" s="330"/>
      <c r="M25" s="330"/>
      <c r="N25" s="330"/>
      <c r="O25" s="330"/>
      <c r="P25" s="330"/>
      <c r="Q25" s="330"/>
      <c r="R25" s="330"/>
      <c r="S25" s="330"/>
    </row>
    <row r="26" spans="2:19" x14ac:dyDescent="0.25">
      <c r="B26" s="57" t="s">
        <v>1451</v>
      </c>
      <c r="C26" s="309" t="s">
        <v>1442</v>
      </c>
      <c r="D26" s="309" t="s">
        <v>1443</v>
      </c>
      <c r="E26" s="309" t="s">
        <v>1444</v>
      </c>
      <c r="F26" s="309" t="s">
        <v>1445</v>
      </c>
      <c r="G26" s="330"/>
      <c r="H26" s="330"/>
      <c r="I26" s="330"/>
      <c r="J26" s="330"/>
      <c r="K26" s="330"/>
      <c r="L26" s="330"/>
      <c r="M26" s="330"/>
      <c r="N26" s="330"/>
      <c r="O26" s="330"/>
      <c r="P26" s="330"/>
      <c r="Q26" s="330"/>
      <c r="R26" s="330"/>
      <c r="S26" s="330"/>
    </row>
    <row r="27" spans="2:19" x14ac:dyDescent="0.25">
      <c r="B27" s="309" t="s">
        <v>1446</v>
      </c>
      <c r="C27" s="152">
        <v>1410.16</v>
      </c>
      <c r="D27" s="152">
        <f>D7</f>
        <v>0</v>
      </c>
      <c r="E27" s="152">
        <v>-1251.6400000000001</v>
      </c>
      <c r="F27" s="152">
        <f>F7</f>
        <v>0</v>
      </c>
      <c r="G27" s="330"/>
      <c r="H27" s="330"/>
      <c r="I27" s="330"/>
      <c r="J27" s="330"/>
      <c r="K27" s="330"/>
      <c r="L27" s="330"/>
      <c r="M27" s="330"/>
      <c r="N27" s="330"/>
      <c r="O27" s="330"/>
      <c r="P27" s="330"/>
      <c r="Q27" s="330"/>
      <c r="R27" s="330"/>
      <c r="S27" s="330"/>
    </row>
    <row r="28" spans="2:19" x14ac:dyDescent="0.25">
      <c r="B28" s="58"/>
      <c r="C28" s="98"/>
      <c r="D28" s="98"/>
      <c r="E28" s="98"/>
      <c r="F28" s="98"/>
      <c r="G28" s="330"/>
      <c r="H28" s="330"/>
      <c r="I28" s="330"/>
      <c r="J28" s="330"/>
      <c r="K28" s="330"/>
      <c r="L28" s="330"/>
      <c r="M28" s="330"/>
      <c r="N28" s="330"/>
      <c r="O28" s="330"/>
      <c r="P28" s="330"/>
      <c r="Q28" s="330"/>
      <c r="R28" s="330"/>
      <c r="S28" s="330"/>
    </row>
    <row r="29" spans="2:19" x14ac:dyDescent="0.25">
      <c r="B29" s="57" t="s">
        <v>1459</v>
      </c>
      <c r="D29" s="98"/>
      <c r="E29" s="98"/>
      <c r="F29" s="98"/>
      <c r="G29" s="330"/>
      <c r="H29" s="330"/>
      <c r="I29" s="330"/>
      <c r="J29" s="330"/>
      <c r="K29" s="330"/>
      <c r="L29" s="330"/>
      <c r="M29" s="330"/>
      <c r="N29" s="330"/>
      <c r="O29" s="330"/>
      <c r="P29" s="330"/>
      <c r="Q29" s="330"/>
      <c r="R29" s="330"/>
      <c r="S29" s="330"/>
    </row>
    <row r="30" spans="2:19" x14ac:dyDescent="0.25">
      <c r="B30" s="309" t="s">
        <v>1450</v>
      </c>
      <c r="C30" s="54">
        <f>C27-D27</f>
        <v>1410.16</v>
      </c>
      <c r="D30" s="98"/>
      <c r="E30" s="98"/>
      <c r="F30" s="98"/>
      <c r="G30" s="330"/>
      <c r="H30" s="330"/>
      <c r="I30" s="330"/>
      <c r="J30" s="330"/>
      <c r="K30" s="330"/>
      <c r="L30" s="330"/>
      <c r="M30" s="330"/>
      <c r="N30" s="330"/>
      <c r="O30" s="330"/>
      <c r="P30" s="330"/>
      <c r="Q30" s="330"/>
      <c r="R30" s="330"/>
      <c r="S30" s="330"/>
    </row>
    <row r="31" spans="2:19" x14ac:dyDescent="0.25">
      <c r="B31" s="309" t="s">
        <v>83</v>
      </c>
      <c r="C31" s="54">
        <f>E27-F27</f>
        <v>-1251.6400000000001</v>
      </c>
      <c r="D31" s="98"/>
      <c r="E31" s="98"/>
      <c r="F31" s="98"/>
      <c r="G31" s="330"/>
      <c r="H31" s="330"/>
      <c r="I31" s="330"/>
      <c r="J31" s="330"/>
      <c r="K31" s="330"/>
      <c r="L31" s="330"/>
      <c r="M31" s="330"/>
      <c r="N31" s="330"/>
      <c r="O31" s="330"/>
      <c r="P31" s="330"/>
      <c r="Q31" s="330"/>
      <c r="R31" s="330"/>
      <c r="S31" s="330"/>
    </row>
    <row r="32" spans="2:19" x14ac:dyDescent="0.25">
      <c r="B32" s="58"/>
      <c r="C32" s="98"/>
      <c r="D32" s="98"/>
      <c r="E32" s="98"/>
      <c r="F32" s="98"/>
      <c r="G32" s="330"/>
      <c r="H32" s="330"/>
      <c r="I32" s="330"/>
      <c r="J32" s="330"/>
      <c r="K32" s="330"/>
      <c r="L32" s="330"/>
      <c r="M32" s="330"/>
      <c r="N32" s="330"/>
      <c r="O32" s="330"/>
      <c r="P32" s="330"/>
      <c r="Q32" s="330"/>
      <c r="R32" s="330"/>
      <c r="S32" s="330"/>
    </row>
    <row r="33" spans="2:19" x14ac:dyDescent="0.25">
      <c r="B33" s="9" t="s">
        <v>1455</v>
      </c>
      <c r="G33" s="330"/>
      <c r="H33" s="330"/>
      <c r="I33" s="330"/>
      <c r="J33" s="330"/>
      <c r="K33" s="330"/>
      <c r="L33" s="330"/>
      <c r="M33" s="330"/>
      <c r="N33" s="330"/>
      <c r="O33" s="330"/>
      <c r="P33" s="330"/>
      <c r="Q33" s="330"/>
      <c r="R33" s="330"/>
      <c r="S33" s="330"/>
    </row>
    <row r="34" spans="2:19" x14ac:dyDescent="0.25">
      <c r="B34" s="309" t="s">
        <v>1450</v>
      </c>
      <c r="C34" s="728">
        <f>(C30-C17)/C18</f>
        <v>0.84715294117647066</v>
      </c>
      <c r="G34" s="330"/>
      <c r="H34" s="330"/>
      <c r="I34" s="330"/>
      <c r="J34" s="330"/>
      <c r="K34" s="330"/>
      <c r="L34" s="330"/>
      <c r="M34" s="330"/>
      <c r="N34" s="330"/>
      <c r="O34" s="330"/>
      <c r="P34" s="330"/>
      <c r="Q34" s="330"/>
      <c r="R34" s="330"/>
      <c r="S34" s="330"/>
    </row>
    <row r="35" spans="2:19" x14ac:dyDescent="0.25">
      <c r="B35" s="309" t="s">
        <v>83</v>
      </c>
      <c r="C35" s="728">
        <f>(C31-D17)/D18</f>
        <v>-0.73735757575757577</v>
      </c>
      <c r="G35" s="330"/>
      <c r="H35" s="330"/>
      <c r="I35" s="330"/>
      <c r="J35" s="330"/>
      <c r="K35" s="330"/>
      <c r="L35" s="330"/>
      <c r="M35" s="330"/>
      <c r="N35" s="330"/>
      <c r="O35" s="330"/>
      <c r="P35" s="330"/>
      <c r="Q35" s="330"/>
      <c r="R35" s="330"/>
      <c r="S35" s="330"/>
    </row>
    <row r="36" spans="2:19" x14ac:dyDescent="0.25">
      <c r="B36" s="12"/>
      <c r="G36" s="330"/>
      <c r="H36" s="330"/>
      <c r="I36" s="330"/>
      <c r="J36" s="330"/>
      <c r="K36" s="330"/>
      <c r="L36" s="330"/>
      <c r="M36" s="330"/>
      <c r="N36" s="330"/>
      <c r="O36" s="330"/>
      <c r="P36" s="330"/>
      <c r="Q36" s="330"/>
      <c r="R36" s="330"/>
      <c r="S36" s="330"/>
    </row>
    <row r="37" spans="2:19" x14ac:dyDescent="0.25">
      <c r="B37" s="57" t="s">
        <v>1458</v>
      </c>
      <c r="G37" s="330"/>
      <c r="H37" s="330"/>
      <c r="I37" s="330"/>
      <c r="J37" s="330"/>
      <c r="K37" s="330"/>
      <c r="L37" s="330"/>
      <c r="M37" s="330"/>
      <c r="N37" s="330"/>
      <c r="O37" s="330"/>
      <c r="P37" s="330"/>
      <c r="Q37" s="330"/>
      <c r="R37" s="330"/>
      <c r="S37" s="330"/>
    </row>
    <row r="38" spans="2:19" x14ac:dyDescent="0.25">
      <c r="B38" s="57" t="s">
        <v>1460</v>
      </c>
      <c r="C38" s="45">
        <v>1.5209999999999999</v>
      </c>
      <c r="E38" t="s">
        <v>1554</v>
      </c>
      <c r="G38" s="330"/>
      <c r="H38" s="330"/>
      <c r="I38" s="330"/>
      <c r="J38" s="330"/>
      <c r="K38" s="330"/>
      <c r="L38" s="330"/>
      <c r="M38" s="330"/>
      <c r="N38" s="330"/>
      <c r="O38" s="330"/>
      <c r="P38" s="330"/>
      <c r="Q38" s="330"/>
      <c r="R38" s="330"/>
      <c r="S38" s="330"/>
    </row>
    <row r="39" spans="2:19" x14ac:dyDescent="0.25">
      <c r="B39" s="309" t="s">
        <v>1450</v>
      </c>
      <c r="C39" s="728">
        <f>SIGN(C34)*(ABS(C34)^C38)</f>
        <v>0.77701594818808206</v>
      </c>
      <c r="G39" s="330"/>
      <c r="H39" s="330"/>
      <c r="I39" s="330"/>
      <c r="J39" s="330"/>
      <c r="K39" s="330"/>
      <c r="L39" s="330"/>
      <c r="M39" s="330"/>
      <c r="N39" s="330"/>
      <c r="O39" s="330"/>
      <c r="P39" s="330"/>
      <c r="Q39" s="330"/>
      <c r="R39" s="330"/>
      <c r="S39" s="330"/>
    </row>
    <row r="40" spans="2:19" x14ac:dyDescent="0.25">
      <c r="B40" s="309" t="s">
        <v>83</v>
      </c>
      <c r="C40" s="728">
        <f>SIGN(C35)*(ABS(C35)^C38)</f>
        <v>-0.62912719845973908</v>
      </c>
      <c r="G40" s="330"/>
      <c r="H40" s="330"/>
      <c r="I40" s="330"/>
      <c r="J40" s="330"/>
      <c r="K40" s="330"/>
      <c r="L40" s="330"/>
      <c r="M40" s="330"/>
      <c r="N40" s="330"/>
      <c r="O40" s="330"/>
      <c r="P40" s="330"/>
      <c r="Q40" s="330"/>
      <c r="R40" s="330"/>
      <c r="S40" s="330"/>
    </row>
    <row r="41" spans="2:19" x14ac:dyDescent="0.25">
      <c r="B41" s="12"/>
      <c r="G41" s="330"/>
      <c r="H41" s="330"/>
      <c r="I41" s="330"/>
      <c r="J41" s="330"/>
      <c r="K41" s="330"/>
      <c r="L41" s="330"/>
      <c r="M41" s="330"/>
      <c r="N41" s="330"/>
      <c r="O41" s="330"/>
      <c r="P41" s="330"/>
      <c r="Q41" s="330"/>
      <c r="R41" s="330"/>
      <c r="S41" s="330"/>
    </row>
    <row r="42" spans="2:19" x14ac:dyDescent="0.25">
      <c r="B42" s="309" t="s">
        <v>1484</v>
      </c>
      <c r="C42" s="54">
        <f>IF(C39&lt;0,180,IF(C40&lt;0,360,0))</f>
        <v>360</v>
      </c>
      <c r="D42" s="19" t="s">
        <v>537</v>
      </c>
      <c r="G42" s="330"/>
      <c r="H42" s="330"/>
      <c r="I42" s="330"/>
      <c r="J42" s="330"/>
      <c r="K42" s="330"/>
      <c r="L42" s="330"/>
      <c r="M42" s="330"/>
      <c r="N42" s="330"/>
      <c r="O42" s="330"/>
      <c r="P42" s="330"/>
      <c r="Q42" s="330"/>
      <c r="R42" s="330"/>
      <c r="S42" s="330"/>
    </row>
    <row r="43" spans="2:19" x14ac:dyDescent="0.25">
      <c r="B43" s="309" t="s">
        <v>1461</v>
      </c>
      <c r="C43" s="728">
        <f>ATAN2(C39,C40)</f>
        <v>-0.68061007422545483</v>
      </c>
      <c r="D43" s="19" t="s">
        <v>1462</v>
      </c>
      <c r="G43" s="330"/>
      <c r="H43" s="330"/>
      <c r="I43" s="330"/>
      <c r="J43" s="330"/>
      <c r="K43" s="330"/>
      <c r="L43" s="330"/>
      <c r="M43" s="330"/>
      <c r="N43" s="330"/>
      <c r="O43" s="330"/>
      <c r="P43" s="330"/>
      <c r="Q43" s="330"/>
      <c r="R43" s="330"/>
      <c r="S43" s="330"/>
    </row>
    <row r="44" spans="2:19" x14ac:dyDescent="0.25">
      <c r="B44" s="309" t="s">
        <v>1461</v>
      </c>
      <c r="C44" s="54">
        <f>DEGREES(C43)</f>
        <v>-38.996084747204257</v>
      </c>
      <c r="D44" s="19" t="s">
        <v>537</v>
      </c>
      <c r="G44" s="330"/>
      <c r="H44" s="330"/>
      <c r="I44" s="330"/>
      <c r="J44" s="330"/>
      <c r="K44" s="330"/>
      <c r="L44" s="330"/>
      <c r="M44" s="330"/>
      <c r="N44" s="330"/>
      <c r="O44" s="330"/>
      <c r="P44" s="330"/>
      <c r="Q44" s="330"/>
      <c r="R44" s="330"/>
      <c r="S44" s="330"/>
    </row>
    <row r="45" spans="2:19" x14ac:dyDescent="0.25">
      <c r="B45" s="12"/>
      <c r="G45" s="330"/>
      <c r="H45" s="330"/>
      <c r="I45" s="330"/>
      <c r="J45" s="330"/>
      <c r="K45" s="330"/>
      <c r="L45" s="330"/>
      <c r="M45" s="330"/>
      <c r="N45" s="330"/>
      <c r="O45" s="330"/>
      <c r="P45" s="330"/>
      <c r="Q45" s="330"/>
      <c r="R45" s="330"/>
      <c r="S45" s="330"/>
    </row>
    <row r="46" spans="2:19" x14ac:dyDescent="0.25">
      <c r="B46" s="58" t="s">
        <v>1485</v>
      </c>
    </row>
    <row r="47" spans="2:19" x14ac:dyDescent="0.25">
      <c r="B47" s="58" t="s">
        <v>1456</v>
      </c>
      <c r="C47" s="309" t="s">
        <v>1450</v>
      </c>
      <c r="D47" s="309" t="s">
        <v>83</v>
      </c>
    </row>
    <row r="48" spans="2:19" x14ac:dyDescent="0.25">
      <c r="B48" s="309" t="s">
        <v>1524</v>
      </c>
      <c r="C48" s="713">
        <f>SIGN(C21)*ABS(C21)^$C$38</f>
        <v>1</v>
      </c>
      <c r="D48" s="713">
        <f>SIGN(D21)*ABS(D21)^$C$38</f>
        <v>0</v>
      </c>
    </row>
    <row r="49" spans="2:4" x14ac:dyDescent="0.25">
      <c r="B49" s="309" t="s">
        <v>1525</v>
      </c>
      <c r="C49" s="713">
        <f t="shared" ref="C49:D51" si="1">SIGN(C22)*ABS(C22)^$C$38</f>
        <v>0</v>
      </c>
      <c r="D49" s="713">
        <f t="shared" si="1"/>
        <v>1</v>
      </c>
    </row>
    <row r="50" spans="2:4" x14ac:dyDescent="0.25">
      <c r="B50" s="309" t="s">
        <v>1526</v>
      </c>
      <c r="C50" s="713">
        <f t="shared" si="1"/>
        <v>-1</v>
      </c>
      <c r="D50" s="713">
        <f t="shared" si="1"/>
        <v>0</v>
      </c>
    </row>
    <row r="51" spans="2:4" x14ac:dyDescent="0.25">
      <c r="B51" s="739" t="s">
        <v>1527</v>
      </c>
      <c r="C51" s="740">
        <f t="shared" si="1"/>
        <v>0</v>
      </c>
      <c r="D51" s="713">
        <f t="shared" si="1"/>
        <v>-1</v>
      </c>
    </row>
    <row r="52" spans="2:4" x14ac:dyDescent="0.25">
      <c r="B52" s="743"/>
      <c r="C52" s="744"/>
      <c r="D52" s="738"/>
    </row>
    <row r="53" spans="2:4" x14ac:dyDescent="0.25">
      <c r="B53" s="741" t="s">
        <v>1517</v>
      </c>
      <c r="C53" s="742">
        <f>DEGREES(ATAN2(C48,D48))</f>
        <v>0</v>
      </c>
    </row>
    <row r="54" spans="2:4" x14ac:dyDescent="0.25">
      <c r="B54" s="309" t="s">
        <v>1518</v>
      </c>
      <c r="C54" s="713">
        <f>DEGREES(ATAN2(C49,D49))</f>
        <v>90</v>
      </c>
    </row>
    <row r="55" spans="2:4" x14ac:dyDescent="0.25">
      <c r="B55" s="309" t="s">
        <v>1519</v>
      </c>
      <c r="C55" s="713">
        <f>DEGREES(ATAN2(C50,D50))</f>
        <v>180</v>
      </c>
    </row>
    <row r="56" spans="2:4" x14ac:dyDescent="0.25">
      <c r="B56" s="309" t="s">
        <v>1520</v>
      </c>
      <c r="C56" s="713">
        <f>DEGREES(ATAN2(C51,D51))</f>
        <v>-90</v>
      </c>
    </row>
    <row r="57" spans="2:4" x14ac:dyDescent="0.25">
      <c r="B57" s="309" t="s">
        <v>1489</v>
      </c>
      <c r="C57" s="713">
        <f>-C53</f>
        <v>0</v>
      </c>
      <c r="D57" s="19" t="s">
        <v>537</v>
      </c>
    </row>
    <row r="58" spans="2:4" x14ac:dyDescent="0.25">
      <c r="B58" s="733" t="s">
        <v>1490</v>
      </c>
      <c r="C58" s="713">
        <f>180-C55</f>
        <v>0</v>
      </c>
      <c r="D58" s="19" t="s">
        <v>537</v>
      </c>
    </row>
    <row r="59" spans="2:4" x14ac:dyDescent="0.25">
      <c r="B59" s="309" t="s">
        <v>1486</v>
      </c>
      <c r="C59" s="713">
        <f>C54-90</f>
        <v>0</v>
      </c>
      <c r="D59" s="19" t="s">
        <v>537</v>
      </c>
    </row>
    <row r="60" spans="2:4" x14ac:dyDescent="0.25">
      <c r="B60" s="733" t="s">
        <v>1487</v>
      </c>
      <c r="C60" s="713">
        <f>90+C56</f>
        <v>0</v>
      </c>
      <c r="D60" s="19" t="s">
        <v>537</v>
      </c>
    </row>
    <row r="61" spans="2:4" x14ac:dyDescent="0.25">
      <c r="B61" s="733" t="s">
        <v>1491</v>
      </c>
      <c r="C61" s="713">
        <f>IF(C40&lt;0,C58,C57)</f>
        <v>0</v>
      </c>
      <c r="D61" s="19" t="s">
        <v>537</v>
      </c>
    </row>
    <row r="62" spans="2:4" x14ac:dyDescent="0.25">
      <c r="B62" s="733" t="s">
        <v>1488</v>
      </c>
      <c r="C62" s="713">
        <f>IF(C39&lt;0,C59,C60)</f>
        <v>0</v>
      </c>
      <c r="D62" s="19" t="s">
        <v>537</v>
      </c>
    </row>
    <row r="63" spans="2:4" x14ac:dyDescent="0.25">
      <c r="B63" s="733" t="s">
        <v>1522</v>
      </c>
      <c r="C63" s="713">
        <f>-C62*(C39^2)-C61*(C40^2)</f>
        <v>0</v>
      </c>
      <c r="D63" s="19" t="s">
        <v>537</v>
      </c>
    </row>
    <row r="64" spans="2:4" x14ac:dyDescent="0.25">
      <c r="B64" s="12"/>
    </row>
    <row r="65" spans="2:10" ht="15.75" x14ac:dyDescent="0.25">
      <c r="B65" s="736" t="s">
        <v>1523</v>
      </c>
      <c r="C65" s="47">
        <f>C44-C63</f>
        <v>-38.996084747204257</v>
      </c>
      <c r="D65" s="737" t="s">
        <v>537</v>
      </c>
    </row>
    <row r="68" spans="2:10" ht="18.75" x14ac:dyDescent="0.3">
      <c r="B68" s="768" t="s">
        <v>1555</v>
      </c>
    </row>
    <row r="69" spans="2:10" x14ac:dyDescent="0.25">
      <c r="B69" s="7" t="s">
        <v>1556</v>
      </c>
    </row>
    <row r="70" spans="2:10" x14ac:dyDescent="0.25">
      <c r="B70" s="9" t="s">
        <v>1483</v>
      </c>
      <c r="C70" t="s">
        <v>1557</v>
      </c>
    </row>
    <row r="71" spans="2:10" x14ac:dyDescent="0.25">
      <c r="B71" s="9" t="s">
        <v>1483</v>
      </c>
      <c r="C71" t="s">
        <v>1558</v>
      </c>
    </row>
    <row r="72" spans="2:10" x14ac:dyDescent="0.25">
      <c r="B72" s="9" t="s">
        <v>1550</v>
      </c>
      <c r="C72" t="s">
        <v>1559</v>
      </c>
    </row>
    <row r="73" spans="2:10" x14ac:dyDescent="0.25">
      <c r="B73" s="9" t="s">
        <v>1551</v>
      </c>
      <c r="C73" t="s">
        <v>1553</v>
      </c>
    </row>
    <row r="74" spans="2:10" x14ac:dyDescent="0.25">
      <c r="B74" s="9" t="s">
        <v>1552</v>
      </c>
      <c r="C74" t="s">
        <v>1560</v>
      </c>
    </row>
    <row r="75" spans="2:10" x14ac:dyDescent="0.25">
      <c r="D75" s="330"/>
      <c r="E75" s="330"/>
      <c r="F75" s="330"/>
      <c r="G75" s="330"/>
      <c r="H75" s="330"/>
      <c r="I75" s="330"/>
      <c r="J75" s="330"/>
    </row>
    <row r="76" spans="2:10" x14ac:dyDescent="0.25">
      <c r="B76" s="28" t="s">
        <v>1472</v>
      </c>
      <c r="C76" s="786">
        <v>1.52</v>
      </c>
      <c r="D76" s="330"/>
      <c r="E76" s="330"/>
      <c r="F76" s="330"/>
      <c r="G76" s="330"/>
      <c r="H76" s="330"/>
      <c r="I76" s="330"/>
      <c r="J76" s="330"/>
    </row>
    <row r="77" spans="2:10" x14ac:dyDescent="0.25">
      <c r="B77" s="65" t="s">
        <v>1561</v>
      </c>
      <c r="C77" s="730">
        <f>1/C76</f>
        <v>0.65789473684210531</v>
      </c>
      <c r="D77" s="330"/>
      <c r="E77" s="330"/>
      <c r="F77" s="330"/>
      <c r="G77" s="330"/>
      <c r="H77" s="330"/>
      <c r="I77" s="330"/>
      <c r="J77" s="330"/>
    </row>
    <row r="78" spans="2:10" x14ac:dyDescent="0.25">
      <c r="B78" s="65" t="s">
        <v>1562</v>
      </c>
      <c r="C78" s="787">
        <v>1700</v>
      </c>
      <c r="D78" s="330"/>
      <c r="E78" s="330"/>
      <c r="F78" s="330"/>
      <c r="G78" s="330"/>
      <c r="H78" s="330"/>
      <c r="I78" s="330"/>
      <c r="J78" s="330"/>
    </row>
    <row r="79" spans="2:10" x14ac:dyDescent="0.25">
      <c r="B79" s="65" t="s">
        <v>1563</v>
      </c>
      <c r="C79" s="787">
        <v>-30</v>
      </c>
      <c r="D79" s="330"/>
      <c r="E79" s="330"/>
      <c r="F79" s="330"/>
      <c r="G79" s="330"/>
      <c r="H79" s="330"/>
      <c r="I79" s="330"/>
      <c r="J79" s="330"/>
    </row>
    <row r="80" spans="2:10" x14ac:dyDescent="0.25">
      <c r="B80" s="65" t="s">
        <v>1564</v>
      </c>
      <c r="C80" s="787">
        <v>1650</v>
      </c>
      <c r="D80" s="330"/>
      <c r="E80" s="330"/>
      <c r="F80" s="330"/>
      <c r="G80" s="330"/>
      <c r="H80" s="330"/>
      <c r="I80" s="330"/>
      <c r="J80" s="330"/>
    </row>
    <row r="81" spans="1:21" x14ac:dyDescent="0.25">
      <c r="B81" s="65" t="s">
        <v>1565</v>
      </c>
      <c r="C81" s="787">
        <v>-35</v>
      </c>
      <c r="D81" s="330"/>
      <c r="E81" s="330"/>
      <c r="F81" s="330"/>
      <c r="G81" s="330"/>
      <c r="H81" s="330"/>
      <c r="I81" s="330"/>
      <c r="J81" s="330"/>
    </row>
    <row r="82" spans="1:21" x14ac:dyDescent="0.25">
      <c r="D82" s="330"/>
      <c r="E82" s="330"/>
      <c r="F82" s="330"/>
      <c r="G82" s="330"/>
      <c r="H82" s="330"/>
      <c r="I82" s="330"/>
      <c r="J82" s="330"/>
    </row>
    <row r="83" spans="1:21" x14ac:dyDescent="0.25">
      <c r="B83" s="9" t="s">
        <v>1549</v>
      </c>
      <c r="D83" s="330"/>
      <c r="E83" s="330"/>
      <c r="F83" s="330"/>
      <c r="G83" s="330"/>
      <c r="H83" s="330"/>
      <c r="I83" s="330"/>
      <c r="J83" s="776" t="s">
        <v>1481</v>
      </c>
      <c r="M83" s="9" t="s">
        <v>1475</v>
      </c>
    </row>
    <row r="84" spans="1:21" x14ac:dyDescent="0.25">
      <c r="A84" s="330"/>
      <c r="B84" s="330"/>
      <c r="C84" s="727" t="s">
        <v>1464</v>
      </c>
      <c r="D84" s="727" t="s">
        <v>1465</v>
      </c>
      <c r="E84" s="727" t="s">
        <v>1466</v>
      </c>
      <c r="F84" s="727" t="s">
        <v>1467</v>
      </c>
      <c r="G84" s="727" t="s">
        <v>1470</v>
      </c>
      <c r="H84" s="727" t="s">
        <v>1471</v>
      </c>
      <c r="I84" s="9"/>
      <c r="J84" s="727" t="s">
        <v>1468</v>
      </c>
      <c r="K84" s="727" t="s">
        <v>1469</v>
      </c>
      <c r="M84" s="727" t="s">
        <v>1450</v>
      </c>
      <c r="N84" s="727" t="s">
        <v>83</v>
      </c>
      <c r="P84" s="727" t="s">
        <v>1478</v>
      </c>
      <c r="Q84" s="727" t="s">
        <v>1479</v>
      </c>
      <c r="S84" s="535" t="s">
        <v>1566</v>
      </c>
      <c r="U84" s="769" t="s">
        <v>1480</v>
      </c>
    </row>
    <row r="85" spans="1:21" x14ac:dyDescent="0.25">
      <c r="A85" s="330"/>
      <c r="B85" s="330"/>
      <c r="C85" s="264">
        <f>0</f>
        <v>0</v>
      </c>
      <c r="D85" s="730">
        <f>RADIANS(C85)</f>
        <v>0</v>
      </c>
      <c r="E85" s="152">
        <f>(SIGN(COS(D85))*(ABS(COS(D85))^C$77))*C$78+C$79</f>
        <v>1670</v>
      </c>
      <c r="F85" s="152"/>
      <c r="G85" s="152">
        <f>(SIGN(SIN(D85))*(ABS(SIN(D85))^C$77))*C$80+C$81</f>
        <v>-35</v>
      </c>
      <c r="H85" s="152"/>
      <c r="J85" s="730">
        <f>((E85-F85)-C$79)/C$78</f>
        <v>1</v>
      </c>
      <c r="K85" s="730">
        <f>((G85-H85)-C$81)/C$80</f>
        <v>0</v>
      </c>
      <c r="M85" s="730">
        <f>(SIGN(COS(D85))*ABS(COS(D85))^U$85)</f>
        <v>1</v>
      </c>
      <c r="N85" s="730">
        <f>(SIGN(SIN(D85))*ABS(SIN(D85))^U$85)</f>
        <v>0</v>
      </c>
      <c r="P85" s="730">
        <f>(J85-M85)^2</f>
        <v>0</v>
      </c>
      <c r="Q85" s="730">
        <f>(K85-N85)^2</f>
        <v>0</v>
      </c>
      <c r="S85" s="770">
        <f>SUM(P85:Q96)</f>
        <v>4.9304591730170647E-32</v>
      </c>
      <c r="U85" s="732">
        <f>IF(U88&lt;0.2,0.2,U88)</f>
        <v>0.6578947368421052</v>
      </c>
    </row>
    <row r="86" spans="1:21" x14ac:dyDescent="0.25">
      <c r="A86" s="330"/>
      <c r="B86" s="330"/>
      <c r="C86" s="264">
        <v>30</v>
      </c>
      <c r="D86" s="730">
        <f t="shared" ref="D86:D96" si="2">RADIANS(C86)</f>
        <v>0.52359877559829882</v>
      </c>
      <c r="E86" s="152">
        <f t="shared" ref="E86:E96" si="3">(SIGN(COS(D86))*(ABS(COS(D86))^C$77))*C$78+C$79</f>
        <v>1516.502593860416</v>
      </c>
      <c r="F86" s="152"/>
      <c r="G86" s="152">
        <f t="shared" ref="G86:G96" si="4">(SIGN(SIN(D86))*(ABS(SIN(D86))^C$77))*C$80+C$81</f>
        <v>1010.7741305674799</v>
      </c>
      <c r="H86" s="152"/>
      <c r="J86" s="730">
        <f t="shared" ref="J86:J96" si="5">((E86-F86)-C$79)/C$78</f>
        <v>0.90970740815318585</v>
      </c>
      <c r="K86" s="730">
        <f t="shared" ref="K86:K96" si="6">((G86-H86)-C$81)/C$80</f>
        <v>0.63380250337423027</v>
      </c>
      <c r="M86" s="730">
        <f t="shared" ref="M86:M96" si="7">(SIGN(COS(D86))*ABS(COS(D86))^U$85)</f>
        <v>0.90970740815318585</v>
      </c>
      <c r="N86" s="730">
        <f t="shared" ref="N86:N96" si="8">(SIGN(SIN(D86))*ABS(SIN(D86))^U$85)</f>
        <v>0.63380250337423027</v>
      </c>
      <c r="P86" s="730">
        <f t="shared" ref="P86:Q96" si="9">(J86-M86)^2</f>
        <v>0</v>
      </c>
      <c r="Q86" s="730">
        <f t="shared" si="9"/>
        <v>0</v>
      </c>
    </row>
    <row r="87" spans="1:21" x14ac:dyDescent="0.25">
      <c r="A87" s="330"/>
      <c r="B87" s="330"/>
      <c r="C87" s="264">
        <v>60</v>
      </c>
      <c r="D87" s="730">
        <f t="shared" si="2"/>
        <v>1.0471975511965976</v>
      </c>
      <c r="E87" s="152">
        <f t="shared" si="3"/>
        <v>1047.4642557361917</v>
      </c>
      <c r="F87" s="152"/>
      <c r="G87" s="152">
        <f t="shared" si="4"/>
        <v>1466.0172234527568</v>
      </c>
      <c r="H87" s="152"/>
      <c r="J87" s="730">
        <f t="shared" si="5"/>
        <v>0.63380250337423039</v>
      </c>
      <c r="K87" s="730">
        <f t="shared" si="6"/>
        <v>0.90970740815318596</v>
      </c>
      <c r="M87" s="730">
        <f t="shared" si="7"/>
        <v>0.63380250337423039</v>
      </c>
      <c r="N87" s="730">
        <f t="shared" si="8"/>
        <v>0.90970740815318585</v>
      </c>
      <c r="P87" s="730">
        <f t="shared" si="9"/>
        <v>0</v>
      </c>
      <c r="Q87" s="730">
        <f t="shared" si="9"/>
        <v>1.2325951644078309E-32</v>
      </c>
      <c r="U87" s="28" t="s">
        <v>1482</v>
      </c>
    </row>
    <row r="88" spans="1:21" x14ac:dyDescent="0.25">
      <c r="A88" s="330"/>
      <c r="B88" s="330"/>
      <c r="C88" s="264">
        <v>90</v>
      </c>
      <c r="D88" s="730">
        <f t="shared" si="2"/>
        <v>1.5707963267948966</v>
      </c>
      <c r="E88" s="152">
        <f t="shared" si="3"/>
        <v>-29.9999999633473</v>
      </c>
      <c r="F88" s="152"/>
      <c r="G88" s="152">
        <f t="shared" si="4"/>
        <v>1615</v>
      </c>
      <c r="H88" s="152"/>
      <c r="J88" s="730">
        <f t="shared" si="5"/>
        <v>2.1560412017820721E-11</v>
      </c>
      <c r="K88" s="730">
        <f t="shared" si="6"/>
        <v>1</v>
      </c>
      <c r="M88" s="730">
        <f t="shared" si="7"/>
        <v>2.1560411886447721E-11</v>
      </c>
      <c r="N88" s="730">
        <f t="shared" si="8"/>
        <v>1</v>
      </c>
      <c r="P88" s="730">
        <f t="shared" si="9"/>
        <v>1.7258864963228903E-38</v>
      </c>
      <c r="Q88" s="730">
        <f t="shared" si="9"/>
        <v>0</v>
      </c>
      <c r="U88" s="771">
        <v>0.6578947368421052</v>
      </c>
    </row>
    <row r="89" spans="1:21" x14ac:dyDescent="0.25">
      <c r="A89" s="330"/>
      <c r="B89" s="330"/>
      <c r="C89" s="264">
        <f>C88+30</f>
        <v>120</v>
      </c>
      <c r="D89" s="730">
        <f t="shared" si="2"/>
        <v>2.0943951023931953</v>
      </c>
      <c r="E89" s="152">
        <f t="shared" si="3"/>
        <v>-1107.4642557361913</v>
      </c>
      <c r="F89" s="152"/>
      <c r="G89" s="152">
        <f t="shared" si="4"/>
        <v>1466.0172234527568</v>
      </c>
      <c r="H89" s="152"/>
      <c r="J89" s="730">
        <f t="shared" si="5"/>
        <v>-0.63380250337423016</v>
      </c>
      <c r="K89" s="730">
        <f t="shared" si="6"/>
        <v>0.90970740815318596</v>
      </c>
      <c r="M89" s="730">
        <f t="shared" si="7"/>
        <v>-0.63380250337423016</v>
      </c>
      <c r="N89" s="730">
        <f t="shared" si="8"/>
        <v>0.90970740815318585</v>
      </c>
      <c r="P89" s="730">
        <f t="shared" si="9"/>
        <v>0</v>
      </c>
      <c r="Q89" s="730">
        <f t="shared" si="9"/>
        <v>1.2325951644078309E-32</v>
      </c>
    </row>
    <row r="90" spans="1:21" x14ac:dyDescent="0.25">
      <c r="A90" s="330"/>
      <c r="B90" s="330"/>
      <c r="C90" s="264">
        <f t="shared" ref="C90:C96" si="10">C89+30</f>
        <v>150</v>
      </c>
      <c r="D90" s="730">
        <f t="shared" si="2"/>
        <v>2.6179938779914944</v>
      </c>
      <c r="E90" s="152">
        <f t="shared" si="3"/>
        <v>-1576.502593860416</v>
      </c>
      <c r="F90" s="152"/>
      <c r="G90" s="152">
        <f t="shared" si="4"/>
        <v>1010.7741305674799</v>
      </c>
      <c r="H90" s="152"/>
      <c r="J90" s="730">
        <f t="shared" si="5"/>
        <v>-0.90970740815318585</v>
      </c>
      <c r="K90" s="730">
        <f t="shared" si="6"/>
        <v>0.63380250337423027</v>
      </c>
      <c r="M90" s="730">
        <f t="shared" si="7"/>
        <v>-0.90970740815318585</v>
      </c>
      <c r="N90" s="730">
        <f t="shared" si="8"/>
        <v>0.63380250337423027</v>
      </c>
      <c r="P90" s="730">
        <f t="shared" si="9"/>
        <v>0</v>
      </c>
      <c r="Q90" s="730">
        <f t="shared" si="9"/>
        <v>0</v>
      </c>
      <c r="U90" s="727" t="s">
        <v>1567</v>
      </c>
    </row>
    <row r="91" spans="1:21" ht="15.75" x14ac:dyDescent="0.25">
      <c r="A91" s="330"/>
      <c r="B91" s="330"/>
      <c r="C91" s="264">
        <f t="shared" si="10"/>
        <v>180</v>
      </c>
      <c r="D91" s="730">
        <f t="shared" si="2"/>
        <v>3.1415926535897931</v>
      </c>
      <c r="E91" s="152">
        <f t="shared" si="3"/>
        <v>-1730</v>
      </c>
      <c r="F91" s="152"/>
      <c r="G91" s="152">
        <f t="shared" si="4"/>
        <v>-34.999999943871032</v>
      </c>
      <c r="H91" s="152"/>
      <c r="J91" s="730">
        <f t="shared" si="5"/>
        <v>-1</v>
      </c>
      <c r="K91" s="730">
        <f t="shared" si="6"/>
        <v>3.4017556448485599E-11</v>
      </c>
      <c r="M91" s="730">
        <f t="shared" si="7"/>
        <v>-1</v>
      </c>
      <c r="N91" s="730">
        <f t="shared" si="8"/>
        <v>3.4017555581848556E-11</v>
      </c>
      <c r="P91" s="730">
        <f t="shared" si="9"/>
        <v>0</v>
      </c>
      <c r="Q91" s="730">
        <f t="shared" si="9"/>
        <v>7.51059765619284E-37</v>
      </c>
      <c r="U91" s="772">
        <f>1/U88</f>
        <v>1.5200000000000002</v>
      </c>
    </row>
    <row r="92" spans="1:21" x14ac:dyDescent="0.25">
      <c r="A92" s="330"/>
      <c r="B92" s="330"/>
      <c r="C92" s="264">
        <f t="shared" si="10"/>
        <v>210</v>
      </c>
      <c r="D92" s="730">
        <f t="shared" si="2"/>
        <v>3.6651914291880923</v>
      </c>
      <c r="E92" s="152">
        <f t="shared" si="3"/>
        <v>-1576.502593860416</v>
      </c>
      <c r="F92" s="152"/>
      <c r="G92" s="152">
        <f t="shared" si="4"/>
        <v>-1080.7741305674801</v>
      </c>
      <c r="H92" s="152"/>
      <c r="J92" s="730">
        <f t="shared" si="5"/>
        <v>-0.90970740815318585</v>
      </c>
      <c r="K92" s="730">
        <f t="shared" si="6"/>
        <v>-0.63380250337423039</v>
      </c>
      <c r="M92" s="730">
        <f t="shared" si="7"/>
        <v>-0.90970740815318585</v>
      </c>
      <c r="N92" s="730">
        <f t="shared" si="8"/>
        <v>-0.63380250337423039</v>
      </c>
      <c r="P92" s="730">
        <f t="shared" si="9"/>
        <v>0</v>
      </c>
      <c r="Q92" s="730">
        <f t="shared" si="9"/>
        <v>0</v>
      </c>
    </row>
    <row r="93" spans="1:21" x14ac:dyDescent="0.25">
      <c r="A93" s="330"/>
      <c r="B93" s="330"/>
      <c r="C93" s="264">
        <f t="shared" si="10"/>
        <v>240</v>
      </c>
      <c r="D93" s="730">
        <f t="shared" si="2"/>
        <v>4.1887902047863905</v>
      </c>
      <c r="E93" s="152">
        <f t="shared" si="3"/>
        <v>-1107.4642557361919</v>
      </c>
      <c r="F93" s="152"/>
      <c r="G93" s="152">
        <f t="shared" si="4"/>
        <v>-1536.0172234527563</v>
      </c>
      <c r="H93" s="152"/>
      <c r="J93" s="730">
        <f t="shared" si="5"/>
        <v>-0.63380250337423061</v>
      </c>
      <c r="K93" s="730">
        <f t="shared" si="6"/>
        <v>-0.90970740815318563</v>
      </c>
      <c r="M93" s="730">
        <f t="shared" si="7"/>
        <v>-0.63380250337423072</v>
      </c>
      <c r="N93" s="730">
        <f t="shared" si="8"/>
        <v>-0.90970740815318563</v>
      </c>
      <c r="P93" s="730">
        <f t="shared" si="9"/>
        <v>1.2325951644078309E-32</v>
      </c>
      <c r="Q93" s="730">
        <f t="shared" si="9"/>
        <v>0</v>
      </c>
    </row>
    <row r="94" spans="1:21" x14ac:dyDescent="0.25">
      <c r="A94" s="330"/>
      <c r="B94" s="330"/>
      <c r="C94" s="264">
        <f t="shared" si="10"/>
        <v>270</v>
      </c>
      <c r="D94" s="730">
        <f t="shared" si="2"/>
        <v>4.7123889803846897</v>
      </c>
      <c r="E94" s="152">
        <f t="shared" si="3"/>
        <v>-30.00000007550949</v>
      </c>
      <c r="F94" s="152"/>
      <c r="G94" s="152">
        <f t="shared" si="4"/>
        <v>-1685</v>
      </c>
      <c r="H94" s="152"/>
      <c r="J94" s="730">
        <f t="shared" si="5"/>
        <v>-4.4417347185919745E-11</v>
      </c>
      <c r="K94" s="730">
        <f t="shared" si="6"/>
        <v>-1</v>
      </c>
      <c r="M94" s="730">
        <f t="shared" si="7"/>
        <v>-4.4417347056169112E-11</v>
      </c>
      <c r="N94" s="730">
        <f t="shared" si="8"/>
        <v>-1</v>
      </c>
      <c r="P94" s="730">
        <f t="shared" si="9"/>
        <v>1.6835226823994921E-38</v>
      </c>
      <c r="Q94" s="730">
        <f t="shared" si="9"/>
        <v>0</v>
      </c>
    </row>
    <row r="95" spans="1:21" x14ac:dyDescent="0.25">
      <c r="A95" s="330"/>
      <c r="B95" s="330"/>
      <c r="C95" s="264">
        <f t="shared" si="10"/>
        <v>300</v>
      </c>
      <c r="D95" s="730">
        <f t="shared" si="2"/>
        <v>5.2359877559829888</v>
      </c>
      <c r="E95" s="152">
        <f t="shared" si="3"/>
        <v>1047.4642557361917</v>
      </c>
      <c r="F95" s="152"/>
      <c r="G95" s="152">
        <f t="shared" si="4"/>
        <v>-1536.0172234527568</v>
      </c>
      <c r="H95" s="152"/>
      <c r="J95" s="730">
        <f t="shared" si="5"/>
        <v>0.63380250337423039</v>
      </c>
      <c r="K95" s="730">
        <f t="shared" si="6"/>
        <v>-0.90970740815318596</v>
      </c>
      <c r="M95" s="730">
        <f t="shared" si="7"/>
        <v>0.63380250337423039</v>
      </c>
      <c r="N95" s="730">
        <f t="shared" si="8"/>
        <v>-0.90970740815318585</v>
      </c>
      <c r="P95" s="730">
        <f t="shared" si="9"/>
        <v>0</v>
      </c>
      <c r="Q95" s="730">
        <f t="shared" si="9"/>
        <v>1.2325951644078309E-32</v>
      </c>
    </row>
    <row r="96" spans="1:21" x14ac:dyDescent="0.25">
      <c r="A96" s="330"/>
      <c r="B96" s="330"/>
      <c r="C96" s="264">
        <f t="shared" si="10"/>
        <v>330</v>
      </c>
      <c r="D96" s="730">
        <f t="shared" si="2"/>
        <v>5.7595865315812871</v>
      </c>
      <c r="E96" s="152">
        <f t="shared" si="3"/>
        <v>1516.5025938604156</v>
      </c>
      <c r="F96" s="152"/>
      <c r="G96" s="152">
        <f t="shared" si="4"/>
        <v>-1080.7741305674806</v>
      </c>
      <c r="H96" s="152"/>
      <c r="J96" s="730">
        <f t="shared" si="5"/>
        <v>0.90970740815318563</v>
      </c>
      <c r="K96" s="730">
        <f t="shared" si="6"/>
        <v>-0.63380250337423072</v>
      </c>
      <c r="M96" s="730">
        <f t="shared" si="7"/>
        <v>0.90970740815318563</v>
      </c>
      <c r="N96" s="730">
        <f t="shared" si="8"/>
        <v>-0.63380250337423072</v>
      </c>
      <c r="P96" s="730">
        <f t="shared" si="9"/>
        <v>0</v>
      </c>
      <c r="Q96" s="730">
        <f t="shared" si="9"/>
        <v>0</v>
      </c>
    </row>
    <row r="97" spans="1:9" x14ac:dyDescent="0.25">
      <c r="A97" s="330"/>
      <c r="B97" s="330"/>
      <c r="C97" s="788"/>
      <c r="D97" s="790"/>
      <c r="E97" s="789"/>
      <c r="F97" s="789"/>
      <c r="G97" s="789"/>
      <c r="H97" s="789"/>
      <c r="I97" s="330"/>
    </row>
    <row r="98" spans="1:9" x14ac:dyDescent="0.25">
      <c r="A98" s="330"/>
      <c r="B98" s="330"/>
      <c r="C98" s="330"/>
      <c r="D98" s="330"/>
      <c r="E98" s="330"/>
      <c r="F98" s="330"/>
      <c r="G98" s="330"/>
      <c r="H98" s="330"/>
      <c r="I98" s="330"/>
    </row>
    <row r="99" spans="1:9" x14ac:dyDescent="0.25">
      <c r="A99" s="330"/>
      <c r="B99" s="330"/>
      <c r="C99" s="330"/>
      <c r="D99" s="330"/>
      <c r="E99" s="330"/>
      <c r="F99" s="330"/>
      <c r="G99" s="330"/>
      <c r="H99" s="330"/>
      <c r="I99" s="330"/>
    </row>
    <row r="100" spans="1:9" x14ac:dyDescent="0.25">
      <c r="A100" s="330"/>
      <c r="B100" s="330"/>
      <c r="C100" s="330"/>
      <c r="D100" s="330"/>
      <c r="E100" s="330"/>
      <c r="F100" s="330"/>
      <c r="G100" s="330"/>
      <c r="H100" s="330"/>
      <c r="I100" s="330"/>
    </row>
    <row r="101" spans="1:9" x14ac:dyDescent="0.25">
      <c r="A101" s="330"/>
      <c r="B101" s="330"/>
      <c r="C101" s="330"/>
      <c r="D101" s="330"/>
      <c r="E101" s="330"/>
      <c r="F101" s="330"/>
      <c r="G101" s="330"/>
      <c r="H101" s="330"/>
      <c r="I101" s="330"/>
    </row>
    <row r="102" spans="1:9" x14ac:dyDescent="0.25">
      <c r="A102" s="330"/>
      <c r="B102" s="330"/>
      <c r="C102" s="330"/>
      <c r="D102" s="330"/>
      <c r="E102" s="330"/>
      <c r="F102" s="330"/>
      <c r="G102" s="330"/>
      <c r="H102" s="330"/>
      <c r="I102" s="330"/>
    </row>
    <row r="103" spans="1:9" x14ac:dyDescent="0.25">
      <c r="A103" s="330"/>
      <c r="B103" s="330"/>
      <c r="C103" s="330"/>
      <c r="D103" s="330"/>
      <c r="E103" s="330"/>
      <c r="F103" s="330"/>
      <c r="G103" s="330"/>
      <c r="H103" s="330"/>
      <c r="I103" s="330"/>
    </row>
    <row r="104" spans="1:9" x14ac:dyDescent="0.25">
      <c r="A104" s="330"/>
      <c r="B104" s="330"/>
      <c r="C104" s="330"/>
      <c r="D104" s="330"/>
      <c r="E104" s="330"/>
      <c r="F104" s="330"/>
      <c r="G104" s="330"/>
      <c r="H104" s="330"/>
      <c r="I104" s="330"/>
    </row>
    <row r="132" spans="1:21" ht="15.75" x14ac:dyDescent="0.25">
      <c r="B132" s="22" t="s">
        <v>1495</v>
      </c>
    </row>
    <row r="134" spans="1:21" x14ac:dyDescent="0.25">
      <c r="B134" s="118" t="s">
        <v>1494</v>
      </c>
      <c r="C134" s="152">
        <v>3</v>
      </c>
      <c r="D134" s="19" t="s">
        <v>537</v>
      </c>
    </row>
    <row r="136" spans="1:21" x14ac:dyDescent="0.25">
      <c r="B136" s="28" t="s">
        <v>1472</v>
      </c>
      <c r="C136" s="786">
        <v>1.2</v>
      </c>
    </row>
    <row r="137" spans="1:21" x14ac:dyDescent="0.25">
      <c r="B137" s="729" t="s">
        <v>1472</v>
      </c>
      <c r="C137" s="731">
        <f>1/C136</f>
        <v>0.83333333333333337</v>
      </c>
    </row>
    <row r="139" spans="1:21" x14ac:dyDescent="0.25">
      <c r="B139" s="9" t="s">
        <v>1463</v>
      </c>
      <c r="J139" s="9" t="s">
        <v>1481</v>
      </c>
      <c r="M139" s="9" t="s">
        <v>1475</v>
      </c>
    </row>
    <row r="140" spans="1:21" x14ac:dyDescent="0.25">
      <c r="A140" s="9" t="s">
        <v>1493</v>
      </c>
      <c r="C140" s="727" t="s">
        <v>1464</v>
      </c>
      <c r="D140" s="727" t="s">
        <v>1465</v>
      </c>
      <c r="E140" s="727" t="s">
        <v>1466</v>
      </c>
      <c r="F140" s="727" t="s">
        <v>1467</v>
      </c>
      <c r="G140" s="727" t="s">
        <v>1470</v>
      </c>
      <c r="H140" s="727" t="s">
        <v>1471</v>
      </c>
      <c r="I140" s="9"/>
      <c r="J140" s="727" t="s">
        <v>1468</v>
      </c>
      <c r="K140" s="727" t="s">
        <v>1469</v>
      </c>
      <c r="M140" s="727" t="s">
        <v>1473</v>
      </c>
      <c r="N140" s="727" t="s">
        <v>1474</v>
      </c>
      <c r="P140" s="727" t="s">
        <v>1478</v>
      </c>
      <c r="Q140" s="727" t="s">
        <v>1479</v>
      </c>
      <c r="S140" s="727" t="s">
        <v>1568</v>
      </c>
      <c r="U140" s="769" t="s">
        <v>1480</v>
      </c>
    </row>
    <row r="141" spans="1:21" x14ac:dyDescent="0.25">
      <c r="A141" s="422"/>
      <c r="B141" s="382"/>
      <c r="C141" s="264">
        <f>0</f>
        <v>0</v>
      </c>
      <c r="D141" s="730">
        <f>C141*PI()/180</f>
        <v>0</v>
      </c>
      <c r="E141" s="45">
        <f t="shared" ref="E141:E152" si="11">(SIGN(SIN(D141+B141))*ABS(SIN(D141+B141))^C$137)*C$18+C$17</f>
        <v>-30</v>
      </c>
      <c r="F141" s="45"/>
      <c r="G141" s="45">
        <f t="shared" ref="G141:G152" si="12">(SIGN(COS(D141+B141))*ABS(COS(D141+B141))^C$137)*D$18+D$17</f>
        <v>1615</v>
      </c>
      <c r="H141" s="45"/>
      <c r="J141" s="730">
        <f>((E141-F141)-C$17)/C$18</f>
        <v>0</v>
      </c>
      <c r="K141" s="730">
        <f>((G141-H141)-D$17)/D$18</f>
        <v>1</v>
      </c>
      <c r="M141" s="730">
        <f>(SIGN(SIN(D141))*ABS(SIN(D141))^U$141)</f>
        <v>0</v>
      </c>
      <c r="N141" s="730">
        <f>(SIGN(COS(D141))*ABS(COS(D141))^U$141)</f>
        <v>1</v>
      </c>
      <c r="P141" s="730">
        <f>(J141-M141)^2</f>
        <v>0</v>
      </c>
      <c r="Q141" s="730">
        <f>(K141-N141)^2</f>
        <v>0</v>
      </c>
      <c r="S141" s="770">
        <f>SUM(P141:Q152)</f>
        <v>1.2510050670666667E-4</v>
      </c>
      <c r="U141" s="732">
        <f>IF(U144&lt;0.2,0.2,U144)</f>
        <v>0.82370409709871439</v>
      </c>
    </row>
    <row r="142" spans="1:21" x14ac:dyDescent="0.25">
      <c r="A142" s="422"/>
      <c r="B142" s="382"/>
      <c r="C142" s="264">
        <v>30</v>
      </c>
      <c r="D142" s="730">
        <f t="shared" ref="D142:D152" si="13">C142*PI()/180</f>
        <v>0.52359877559829882</v>
      </c>
      <c r="E142" s="45">
        <f t="shared" si="11"/>
        <v>924.09274106296687</v>
      </c>
      <c r="F142" s="45"/>
      <c r="G142" s="45">
        <f t="shared" si="12"/>
        <v>1428.6125922265353</v>
      </c>
      <c r="H142" s="45"/>
      <c r="J142" s="730">
        <f t="shared" ref="J142:J152" si="14">((E142-F142)-C$17)/C$18</f>
        <v>0.5612310241546864</v>
      </c>
      <c r="K142" s="730">
        <f t="shared" ref="K142:K152" si="15">((G142-H142)-D$17)/D$18</f>
        <v>0.88703793468274872</v>
      </c>
      <c r="M142" s="730">
        <f t="shared" ref="M142:M152" si="16">(SIGN(SIN(D142))*ABS(SIN(D142))^U$141)</f>
        <v>0.56498947715155912</v>
      </c>
      <c r="N142" s="730">
        <f t="shared" ref="N142:N152" si="17">(SIGN(COS(D142))*ABS(COS(D142))^U$141)</f>
        <v>0.88826740384000002</v>
      </c>
      <c r="P142" s="730">
        <f t="shared" ref="P142:Q152" si="18">(J142-M142)^2</f>
        <v>1.4125968929701521E-5</v>
      </c>
      <c r="Q142" s="730">
        <f t="shared" si="18"/>
        <v>1.5115944086322369E-6</v>
      </c>
    </row>
    <row r="143" spans="1:21" x14ac:dyDescent="0.25">
      <c r="A143" s="422"/>
      <c r="B143" s="382"/>
      <c r="C143" s="264">
        <v>60</v>
      </c>
      <c r="D143" s="730">
        <f t="shared" si="13"/>
        <v>1.0471975511965976</v>
      </c>
      <c r="E143" s="45">
        <f t="shared" si="11"/>
        <v>1477.9644889606725</v>
      </c>
      <c r="F143" s="45"/>
      <c r="G143" s="45">
        <f t="shared" si="12"/>
        <v>891.03118985523292</v>
      </c>
      <c r="H143" s="45"/>
      <c r="J143" s="730">
        <f t="shared" si="14"/>
        <v>0.8870379346827485</v>
      </c>
      <c r="K143" s="730">
        <f t="shared" si="15"/>
        <v>0.56123102415468662</v>
      </c>
      <c r="M143" s="730">
        <f t="shared" si="16"/>
        <v>0.88826740383999991</v>
      </c>
      <c r="N143" s="730">
        <f t="shared" si="17"/>
        <v>0.56498947715155923</v>
      </c>
      <c r="P143" s="730">
        <f t="shared" si="18"/>
        <v>1.5115944086325099E-6</v>
      </c>
      <c r="Q143" s="730">
        <f t="shared" si="18"/>
        <v>1.4125968929700685E-5</v>
      </c>
      <c r="U143" s="28" t="s">
        <v>1482</v>
      </c>
    </row>
    <row r="144" spans="1:21" x14ac:dyDescent="0.25">
      <c r="A144" s="422"/>
      <c r="B144" s="382"/>
      <c r="C144" s="264">
        <v>90</v>
      </c>
      <c r="D144" s="730">
        <f t="shared" si="13"/>
        <v>1.5707963267948966</v>
      </c>
      <c r="E144" s="45">
        <f t="shared" si="11"/>
        <v>1670</v>
      </c>
      <c r="F144" s="45"/>
      <c r="G144" s="45">
        <f t="shared" si="12"/>
        <v>-34.99999999994909</v>
      </c>
      <c r="H144" s="45"/>
      <c r="J144" s="730">
        <f t="shared" si="14"/>
        <v>1</v>
      </c>
      <c r="K144" s="730">
        <f t="shared" si="15"/>
        <v>3.0854780010431019E-14</v>
      </c>
      <c r="M144" s="730">
        <f t="shared" si="16"/>
        <v>1</v>
      </c>
      <c r="N144" s="730">
        <f t="shared" si="17"/>
        <v>4.4199383610325401E-14</v>
      </c>
      <c r="P144" s="730">
        <f t="shared" si="18"/>
        <v>0</v>
      </c>
      <c r="Q144" s="730">
        <f t="shared" si="18"/>
        <v>1.7807844523831409E-28</v>
      </c>
      <c r="U144" s="771">
        <v>0.82370409709871439</v>
      </c>
    </row>
    <row r="145" spans="1:24" x14ac:dyDescent="0.25">
      <c r="A145" s="422"/>
      <c r="B145" s="382"/>
      <c r="C145" s="264">
        <f>C144+30</f>
        <v>120</v>
      </c>
      <c r="D145" s="730">
        <f t="shared" si="13"/>
        <v>2.0943951023931953</v>
      </c>
      <c r="E145" s="45">
        <f t="shared" si="11"/>
        <v>1477.9644889606727</v>
      </c>
      <c r="F145" s="45"/>
      <c r="G145" s="45">
        <f t="shared" si="12"/>
        <v>-961.03118985523236</v>
      </c>
      <c r="H145" s="45"/>
      <c r="J145" s="730">
        <f t="shared" si="14"/>
        <v>0.88703793468274861</v>
      </c>
      <c r="K145" s="730">
        <f t="shared" si="15"/>
        <v>-0.56123102415468629</v>
      </c>
      <c r="M145" s="730">
        <f t="shared" si="16"/>
        <v>0.88826740384000002</v>
      </c>
      <c r="N145" s="730">
        <f t="shared" si="17"/>
        <v>-0.56498947715155889</v>
      </c>
      <c r="P145" s="730">
        <f t="shared" si="18"/>
        <v>1.5115944086325099E-6</v>
      </c>
      <c r="Q145" s="730">
        <f t="shared" si="18"/>
        <v>1.4125968929700685E-5</v>
      </c>
    </row>
    <row r="146" spans="1:24" x14ac:dyDescent="0.25">
      <c r="A146" s="422"/>
      <c r="B146" s="382"/>
      <c r="C146" s="264">
        <f t="shared" ref="C146:C152" si="19">C145+30</f>
        <v>150</v>
      </c>
      <c r="D146" s="730">
        <f t="shared" si="13"/>
        <v>2.6179938779914944</v>
      </c>
      <c r="E146" s="45">
        <f t="shared" si="11"/>
        <v>924.09274106296687</v>
      </c>
      <c r="F146" s="45"/>
      <c r="G146" s="45">
        <f t="shared" si="12"/>
        <v>-1498.6125922265353</v>
      </c>
      <c r="H146" s="45"/>
      <c r="J146" s="730">
        <f t="shared" si="14"/>
        <v>0.5612310241546864</v>
      </c>
      <c r="K146" s="730">
        <f t="shared" si="15"/>
        <v>-0.88703793468274872</v>
      </c>
      <c r="M146" s="730">
        <f t="shared" si="16"/>
        <v>0.56498947715155912</v>
      </c>
      <c r="N146" s="730">
        <f t="shared" si="17"/>
        <v>-0.88826740384000002</v>
      </c>
      <c r="P146" s="730">
        <f t="shared" si="18"/>
        <v>1.4125968929701521E-5</v>
      </c>
      <c r="Q146" s="730">
        <f t="shared" si="18"/>
        <v>1.5115944086322369E-6</v>
      </c>
    </row>
    <row r="147" spans="1:24" x14ac:dyDescent="0.25">
      <c r="A147" s="422"/>
      <c r="B147" s="382"/>
      <c r="C147" s="264">
        <f t="shared" si="19"/>
        <v>180</v>
      </c>
      <c r="D147" s="730">
        <f t="shared" si="13"/>
        <v>3.1415926535897931</v>
      </c>
      <c r="E147" s="45">
        <f t="shared" si="11"/>
        <v>-29.999999999906546</v>
      </c>
      <c r="F147" s="45"/>
      <c r="G147" s="45">
        <f t="shared" si="12"/>
        <v>-1685</v>
      </c>
      <c r="H147" s="45"/>
      <c r="J147" s="730">
        <f t="shared" si="14"/>
        <v>5.4973019600498337E-14</v>
      </c>
      <c r="K147" s="730">
        <f t="shared" si="15"/>
        <v>-1</v>
      </c>
      <c r="M147" s="730">
        <f t="shared" si="16"/>
        <v>7.8230454544321653E-14</v>
      </c>
      <c r="N147" s="730">
        <f t="shared" si="17"/>
        <v>-1</v>
      </c>
      <c r="P147" s="730">
        <f t="shared" si="18"/>
        <v>5.4090828016617391E-28</v>
      </c>
      <c r="Q147" s="730">
        <f t="shared" si="18"/>
        <v>0</v>
      </c>
    </row>
    <row r="148" spans="1:24" x14ac:dyDescent="0.25">
      <c r="A148" s="422"/>
      <c r="B148" s="382"/>
      <c r="C148" s="264">
        <f t="shared" si="19"/>
        <v>210</v>
      </c>
      <c r="D148" s="730">
        <f t="shared" si="13"/>
        <v>3.6651914291880923</v>
      </c>
      <c r="E148" s="45">
        <f t="shared" si="11"/>
        <v>-984.09274106296721</v>
      </c>
      <c r="F148" s="45"/>
      <c r="G148" s="45">
        <f t="shared" si="12"/>
        <v>-1498.6125922265351</v>
      </c>
      <c r="H148" s="45"/>
      <c r="J148" s="730">
        <f t="shared" si="14"/>
        <v>-0.56123102415468662</v>
      </c>
      <c r="K148" s="730">
        <f t="shared" si="15"/>
        <v>-0.8870379346827485</v>
      </c>
      <c r="M148" s="730">
        <f t="shared" si="16"/>
        <v>-0.56498947715155923</v>
      </c>
      <c r="N148" s="730">
        <f t="shared" si="17"/>
        <v>-0.88826740383999991</v>
      </c>
      <c r="P148" s="730">
        <f t="shared" si="18"/>
        <v>1.4125968929700685E-5</v>
      </c>
      <c r="Q148" s="730">
        <f t="shared" si="18"/>
        <v>1.5115944086325099E-6</v>
      </c>
    </row>
    <row r="149" spans="1:24" x14ac:dyDescent="0.25">
      <c r="A149" s="422"/>
      <c r="B149" s="382"/>
      <c r="C149" s="264">
        <f t="shared" si="19"/>
        <v>240</v>
      </c>
      <c r="D149" s="730">
        <f t="shared" si="13"/>
        <v>4.1887902047863905</v>
      </c>
      <c r="E149" s="45">
        <f t="shared" si="11"/>
        <v>-1537.9644889606723</v>
      </c>
      <c r="F149" s="45"/>
      <c r="G149" s="45">
        <f t="shared" si="12"/>
        <v>-961.03118985523349</v>
      </c>
      <c r="H149" s="45"/>
      <c r="J149" s="730">
        <f t="shared" si="14"/>
        <v>-0.88703793468274839</v>
      </c>
      <c r="K149" s="730">
        <f t="shared" si="15"/>
        <v>-0.56123102415468695</v>
      </c>
      <c r="M149" s="730">
        <f t="shared" si="16"/>
        <v>-0.8882674038399998</v>
      </c>
      <c r="N149" s="730">
        <f t="shared" si="17"/>
        <v>-0.56498947715155956</v>
      </c>
      <c r="P149" s="730">
        <f t="shared" si="18"/>
        <v>1.5115944086325099E-6</v>
      </c>
      <c r="Q149" s="730">
        <f t="shared" si="18"/>
        <v>1.4125968929700685E-5</v>
      </c>
    </row>
    <row r="150" spans="1:24" x14ac:dyDescent="0.25">
      <c r="A150" s="422"/>
      <c r="B150" s="382"/>
      <c r="C150" s="264">
        <f t="shared" si="19"/>
        <v>270</v>
      </c>
      <c r="D150" s="730">
        <f t="shared" si="13"/>
        <v>4.7123889803846897</v>
      </c>
      <c r="E150" s="45">
        <f t="shared" si="11"/>
        <v>-1730</v>
      </c>
      <c r="F150" s="45"/>
      <c r="G150" s="45">
        <f t="shared" si="12"/>
        <v>-35.000000000127173</v>
      </c>
      <c r="H150" s="45"/>
      <c r="J150" s="730">
        <f t="shared" si="14"/>
        <v>-1</v>
      </c>
      <c r="K150" s="730">
        <f t="shared" si="15"/>
        <v>-7.707450839172287E-14</v>
      </c>
      <c r="M150" s="730">
        <f t="shared" si="16"/>
        <v>-1</v>
      </c>
      <c r="N150" s="730">
        <f t="shared" si="17"/>
        <v>-1.0925037722362623E-13</v>
      </c>
      <c r="P150" s="730">
        <f t="shared" si="18"/>
        <v>0</v>
      </c>
      <c r="Q150" s="730">
        <f t="shared" si="18"/>
        <v>1.03528653508785E-27</v>
      </c>
    </row>
    <row r="151" spans="1:24" x14ac:dyDescent="0.25">
      <c r="A151" s="422"/>
      <c r="B151" s="382"/>
      <c r="C151" s="264">
        <f t="shared" si="19"/>
        <v>300</v>
      </c>
      <c r="D151" s="730">
        <f t="shared" si="13"/>
        <v>5.2359877559829888</v>
      </c>
      <c r="E151" s="45">
        <f t="shared" si="11"/>
        <v>-1537.9644889606725</v>
      </c>
      <c r="F151" s="45"/>
      <c r="G151" s="45">
        <f t="shared" si="12"/>
        <v>891.03118985523292</v>
      </c>
      <c r="H151" s="45"/>
      <c r="J151" s="730">
        <f t="shared" si="14"/>
        <v>-0.8870379346827485</v>
      </c>
      <c r="K151" s="730">
        <f t="shared" si="15"/>
        <v>0.56123102415468662</v>
      </c>
      <c r="M151" s="730">
        <f t="shared" si="16"/>
        <v>-0.88826740383999991</v>
      </c>
      <c r="N151" s="730">
        <f t="shared" si="17"/>
        <v>0.56498947715155923</v>
      </c>
      <c r="P151" s="730">
        <f t="shared" si="18"/>
        <v>1.5115944086325099E-6</v>
      </c>
      <c r="Q151" s="730">
        <f t="shared" si="18"/>
        <v>1.4125968929700685E-5</v>
      </c>
    </row>
    <row r="152" spans="1:24" x14ac:dyDescent="0.25">
      <c r="A152" s="422"/>
      <c r="B152" s="382"/>
      <c r="C152" s="264">
        <f t="shared" si="19"/>
        <v>330</v>
      </c>
      <c r="D152" s="730">
        <f t="shared" si="13"/>
        <v>5.7595865315812871</v>
      </c>
      <c r="E152" s="45">
        <f t="shared" si="11"/>
        <v>-984.09274106296778</v>
      </c>
      <c r="F152" s="45"/>
      <c r="G152" s="45">
        <f t="shared" si="12"/>
        <v>1428.6125922265348</v>
      </c>
      <c r="H152" s="45"/>
      <c r="J152" s="730">
        <f t="shared" si="14"/>
        <v>-0.56123102415468695</v>
      </c>
      <c r="K152" s="730">
        <f t="shared" si="15"/>
        <v>0.88703793468274839</v>
      </c>
      <c r="M152" s="730">
        <f t="shared" si="16"/>
        <v>-0.56498947715155956</v>
      </c>
      <c r="N152" s="730">
        <f t="shared" si="17"/>
        <v>0.8882674038399998</v>
      </c>
      <c r="P152" s="730">
        <f t="shared" si="18"/>
        <v>1.4125968929700685E-5</v>
      </c>
      <c r="Q152" s="730">
        <f t="shared" si="18"/>
        <v>1.5115944086325099E-6</v>
      </c>
    </row>
    <row r="153" spans="1:24" x14ac:dyDescent="0.25">
      <c r="E153" s="330"/>
      <c r="F153" s="330"/>
      <c r="G153" s="330"/>
      <c r="H153" s="330"/>
    </row>
    <row r="155" spans="1:24" x14ac:dyDescent="0.25">
      <c r="B155" t="s">
        <v>1496</v>
      </c>
    </row>
    <row r="156" spans="1:24" x14ac:dyDescent="0.25">
      <c r="C156" s="727" t="s">
        <v>1464</v>
      </c>
      <c r="D156" s="727" t="s">
        <v>1465</v>
      </c>
      <c r="E156" s="727" t="s">
        <v>1466</v>
      </c>
      <c r="F156" s="727" t="s">
        <v>1467</v>
      </c>
      <c r="G156" s="727" t="s">
        <v>1470</v>
      </c>
      <c r="H156" s="727" t="s">
        <v>1471</v>
      </c>
      <c r="I156" s="9"/>
      <c r="J156" s="727" t="s">
        <v>1468</v>
      </c>
      <c r="K156" s="727" t="s">
        <v>1469</v>
      </c>
      <c r="M156" s="727" t="s">
        <v>1473</v>
      </c>
      <c r="N156" s="727" t="s">
        <v>1474</v>
      </c>
      <c r="P156" s="727" t="s">
        <v>1476</v>
      </c>
      <c r="Q156" s="727" t="s">
        <v>1477</v>
      </c>
      <c r="S156" s="58" t="s">
        <v>1497</v>
      </c>
      <c r="T156" s="58"/>
      <c r="U156" s="9" t="s">
        <v>1498</v>
      </c>
      <c r="V156" s="9" t="s">
        <v>1499</v>
      </c>
      <c r="W156" s="58" t="s">
        <v>1497</v>
      </c>
      <c r="X156" s="58" t="s">
        <v>1500</v>
      </c>
    </row>
    <row r="157" spans="1:24" x14ac:dyDescent="0.25">
      <c r="C157" s="264">
        <f>0</f>
        <v>0</v>
      </c>
      <c r="D157" s="730">
        <f>C157*PI()/180</f>
        <v>0</v>
      </c>
      <c r="E157" s="45">
        <f>(SIGN(SIN(D157))*ABS(SIN(D157))^(1/C$137))</f>
        <v>0</v>
      </c>
      <c r="F157" s="45"/>
      <c r="G157" s="45">
        <f>(SIGN(COS(D157))*ABS(COS(D157))^(1/C$137))</f>
        <v>1</v>
      </c>
      <c r="H157" s="45"/>
      <c r="J157" s="730">
        <f>E157</f>
        <v>0</v>
      </c>
      <c r="K157" s="730">
        <f>G157</f>
        <v>1</v>
      </c>
      <c r="M157" s="730">
        <f>(SIGN(SIN(D157))*ABS(SIN(D157))^U$141)</f>
        <v>0</v>
      </c>
      <c r="N157" s="730">
        <f>(SIGN(COS(D157))*ABS(COS(D157))^U$141)</f>
        <v>1</v>
      </c>
      <c r="P157" s="730">
        <f>(J157-M157)</f>
        <v>0</v>
      </c>
      <c r="Q157" s="730">
        <f>(K157-N157)</f>
        <v>0</v>
      </c>
      <c r="S157" s="98">
        <f>IF(K157&lt;0,PI(),IF(J157&lt;0,2*PI(),0))</f>
        <v>0</v>
      </c>
      <c r="T157" s="25"/>
      <c r="U157" s="422">
        <f>SIGN(J157)*(ABS(J157)^U$144)+0.000000001</f>
        <v>1.0000000000000001E-9</v>
      </c>
      <c r="V157" s="422">
        <f>SIGN(K157)*(ABS(K157)^U$144)</f>
        <v>1</v>
      </c>
      <c r="W157" s="421">
        <f>DEGREES(ATAN(U157/V157)+S157)</f>
        <v>5.7295779513082324E-8</v>
      </c>
      <c r="X157" s="421">
        <f>W157-C157</f>
        <v>5.7295779513082324E-8</v>
      </c>
    </row>
    <row r="158" spans="1:24" x14ac:dyDescent="0.25">
      <c r="C158" s="264">
        <f>C157+15</f>
        <v>15</v>
      </c>
      <c r="D158" s="730">
        <f t="shared" ref="D158:D181" si="20">C158*PI()/180</f>
        <v>0.26179938779914941</v>
      </c>
      <c r="E158" s="45">
        <f t="shared" ref="E158:E181" si="21">(SIGN(SIN(D158))*ABS(SIN(D158))^(1/C$137))</f>
        <v>0.1975129050348936</v>
      </c>
      <c r="F158" s="45"/>
      <c r="G158" s="45">
        <f t="shared" ref="G158:G181" si="22">(SIGN(COS(D158))*ABS(COS(D158))^(1/C$137))</f>
        <v>0.95925160323234604</v>
      </c>
      <c r="H158" s="45"/>
      <c r="J158" s="730">
        <f t="shared" ref="J158:J181" si="23">E158</f>
        <v>0.1975129050348936</v>
      </c>
      <c r="K158" s="730">
        <f t="shared" ref="K158:K181" si="24">G158</f>
        <v>0.95925160323234604</v>
      </c>
      <c r="M158" s="730">
        <f t="shared" ref="M158:M181" si="25">(SIGN(SIN(D158))*ABS(SIN(D158))^U$141)</f>
        <v>0.32846007681081807</v>
      </c>
      <c r="N158" s="730">
        <f t="shared" ref="N158:N181" si="26">(SIGN(COS(D158))*ABS(COS(D158))^U$141)</f>
        <v>0.97184751459413465</v>
      </c>
      <c r="P158" s="730">
        <f t="shared" ref="P158:Q181" si="27">(J158-M158)</f>
        <v>-0.13094717177592446</v>
      </c>
      <c r="Q158" s="730">
        <f t="shared" si="27"/>
        <v>-1.2595911361788614E-2</v>
      </c>
      <c r="S158" s="98">
        <f t="shared" ref="S158:S181" si="28">IF(K158&lt;0,PI(),IF(J158&lt;0,2*PI(),0))</f>
        <v>0</v>
      </c>
      <c r="T158" s="25"/>
      <c r="U158" s="422">
        <f t="shared" ref="U158:U181" si="29">SIGN(J158)*(ABS(J158)^U$144)</f>
        <v>0.26289305190262524</v>
      </c>
      <c r="V158" s="422">
        <f t="shared" ref="V158:V181" si="30">SIGN(K158)*(ABS(K158)^U$144)</f>
        <v>0.96631284819901342</v>
      </c>
      <c r="W158" s="421">
        <f t="shared" ref="W158:W181" si="31">DEGREES(ATAN(U158/V158)+S158)</f>
        <v>15.219415987337387</v>
      </c>
      <c r="X158" s="421">
        <f t="shared" ref="X158:X181" si="32">W158-C158</f>
        <v>0.21941598733738665</v>
      </c>
    </row>
    <row r="159" spans="1:24" x14ac:dyDescent="0.25">
      <c r="C159" s="264">
        <f t="shared" ref="C159:C181" si="33">C158+15</f>
        <v>30</v>
      </c>
      <c r="D159" s="730">
        <f t="shared" si="20"/>
        <v>0.52359877559829882</v>
      </c>
      <c r="E159" s="45">
        <f t="shared" si="21"/>
        <v>0.43527528164806201</v>
      </c>
      <c r="F159" s="45"/>
      <c r="G159" s="45">
        <f t="shared" si="22"/>
        <v>0.84146635908464973</v>
      </c>
      <c r="H159" s="45"/>
      <c r="J159" s="730">
        <f t="shared" si="23"/>
        <v>0.43527528164806201</v>
      </c>
      <c r="K159" s="730">
        <f t="shared" si="24"/>
        <v>0.84146635908464973</v>
      </c>
      <c r="M159" s="730">
        <f t="shared" si="25"/>
        <v>0.56498947715155912</v>
      </c>
      <c r="N159" s="730">
        <f t="shared" si="26"/>
        <v>0.88826740384000002</v>
      </c>
      <c r="P159" s="730">
        <f t="shared" si="27"/>
        <v>-0.12971419550349711</v>
      </c>
      <c r="Q159" s="730">
        <f t="shared" si="27"/>
        <v>-4.6801044755350296E-2</v>
      </c>
      <c r="S159" s="98">
        <f t="shared" si="28"/>
        <v>0</v>
      </c>
      <c r="T159" s="25"/>
      <c r="U159" s="422">
        <f t="shared" si="29"/>
        <v>0.50402076718698485</v>
      </c>
      <c r="V159" s="422">
        <f t="shared" si="30"/>
        <v>0.86746601732202677</v>
      </c>
      <c r="W159" s="421">
        <f t="shared" si="31"/>
        <v>30.157724060710844</v>
      </c>
      <c r="X159" s="421">
        <f t="shared" si="32"/>
        <v>0.15772406071084433</v>
      </c>
    </row>
    <row r="160" spans="1:24" x14ac:dyDescent="0.25">
      <c r="C160" s="264">
        <f t="shared" si="33"/>
        <v>45</v>
      </c>
      <c r="D160" s="730">
        <f t="shared" si="20"/>
        <v>0.78539816339744828</v>
      </c>
      <c r="E160" s="45">
        <f t="shared" si="21"/>
        <v>0.6597539553864471</v>
      </c>
      <c r="F160" s="45"/>
      <c r="G160" s="45">
        <f t="shared" si="22"/>
        <v>0.65975395538644721</v>
      </c>
      <c r="H160" s="45"/>
      <c r="J160" s="730">
        <f t="shared" si="23"/>
        <v>0.6597539553864471</v>
      </c>
      <c r="K160" s="730">
        <f t="shared" si="24"/>
        <v>0.65975395538644721</v>
      </c>
      <c r="M160" s="730">
        <f t="shared" si="25"/>
        <v>0.75165781919139174</v>
      </c>
      <c r="N160" s="730">
        <f t="shared" si="26"/>
        <v>0.75165781919139185</v>
      </c>
      <c r="P160" s="730">
        <f t="shared" si="27"/>
        <v>-9.1903863804944641E-2</v>
      </c>
      <c r="Q160" s="730">
        <f t="shared" si="27"/>
        <v>-9.1903863804944641E-2</v>
      </c>
      <c r="S160" s="98">
        <f t="shared" si="28"/>
        <v>0</v>
      </c>
      <c r="T160" s="25"/>
      <c r="U160" s="422">
        <f t="shared" si="29"/>
        <v>0.70994420005165537</v>
      </c>
      <c r="V160" s="422">
        <f t="shared" si="30"/>
        <v>0.70994420005165548</v>
      </c>
      <c r="W160" s="421">
        <f t="shared" si="31"/>
        <v>45</v>
      </c>
      <c r="X160" s="421">
        <f t="shared" si="32"/>
        <v>0</v>
      </c>
    </row>
    <row r="161" spans="3:24" x14ac:dyDescent="0.25">
      <c r="C161" s="264">
        <f t="shared" si="33"/>
        <v>60</v>
      </c>
      <c r="D161" s="730">
        <f t="shared" si="20"/>
        <v>1.0471975511965976</v>
      </c>
      <c r="E161" s="45">
        <f t="shared" si="21"/>
        <v>0.84146635908464951</v>
      </c>
      <c r="F161" s="45"/>
      <c r="G161" s="45">
        <f t="shared" si="22"/>
        <v>0.43527528164806223</v>
      </c>
      <c r="H161" s="45"/>
      <c r="J161" s="730">
        <f t="shared" si="23"/>
        <v>0.84146635908464951</v>
      </c>
      <c r="K161" s="730">
        <f t="shared" si="24"/>
        <v>0.43527528164806223</v>
      </c>
      <c r="M161" s="730">
        <f t="shared" si="25"/>
        <v>0.88826740383999991</v>
      </c>
      <c r="N161" s="730">
        <f t="shared" si="26"/>
        <v>0.56498947715155923</v>
      </c>
      <c r="P161" s="730">
        <f t="shared" si="27"/>
        <v>-4.6801044755350407E-2</v>
      </c>
      <c r="Q161" s="730">
        <f t="shared" si="27"/>
        <v>-0.129714195503497</v>
      </c>
      <c r="S161" s="98">
        <f t="shared" si="28"/>
        <v>0</v>
      </c>
      <c r="U161" s="422">
        <f t="shared" si="29"/>
        <v>0.86746601732202666</v>
      </c>
      <c r="V161" s="422">
        <f t="shared" si="30"/>
        <v>0.50402076718698507</v>
      </c>
      <c r="W161" s="421">
        <f t="shared" si="31"/>
        <v>59.842275939289138</v>
      </c>
      <c r="X161" s="421">
        <f t="shared" si="32"/>
        <v>-0.15772406071086209</v>
      </c>
    </row>
    <row r="162" spans="3:24" x14ac:dyDescent="0.25">
      <c r="C162" s="264">
        <f t="shared" si="33"/>
        <v>75</v>
      </c>
      <c r="D162" s="730">
        <f t="shared" si="20"/>
        <v>1.3089969389957472</v>
      </c>
      <c r="E162" s="45">
        <f t="shared" si="21"/>
        <v>0.95925160323234604</v>
      </c>
      <c r="F162" s="45"/>
      <c r="G162" s="45">
        <f t="shared" si="22"/>
        <v>0.1975129050348936</v>
      </c>
      <c r="H162" s="45"/>
      <c r="J162" s="730">
        <f t="shared" si="23"/>
        <v>0.95925160323234604</v>
      </c>
      <c r="K162" s="730">
        <f t="shared" si="24"/>
        <v>0.1975129050348936</v>
      </c>
      <c r="M162" s="730">
        <f t="shared" si="25"/>
        <v>0.97184751459413465</v>
      </c>
      <c r="N162" s="730">
        <f t="shared" si="26"/>
        <v>0.32846007681081807</v>
      </c>
      <c r="P162" s="730">
        <f t="shared" si="27"/>
        <v>-1.2595911361788614E-2</v>
      </c>
      <c r="Q162" s="730">
        <f t="shared" si="27"/>
        <v>-0.13094717177592446</v>
      </c>
      <c r="S162" s="98">
        <f t="shared" si="28"/>
        <v>0</v>
      </c>
      <c r="U162" s="422">
        <f t="shared" si="29"/>
        <v>0.96631284819901342</v>
      </c>
      <c r="V162" s="422">
        <f t="shared" si="30"/>
        <v>0.26289305190262524</v>
      </c>
      <c r="W162" s="421">
        <f t="shared" si="31"/>
        <v>74.780584012662615</v>
      </c>
      <c r="X162" s="421">
        <f t="shared" si="32"/>
        <v>-0.21941598733738488</v>
      </c>
    </row>
    <row r="163" spans="3:24" x14ac:dyDescent="0.25">
      <c r="C163" s="264">
        <f t="shared" si="33"/>
        <v>90</v>
      </c>
      <c r="D163" s="730">
        <f t="shared" si="20"/>
        <v>1.5707963267948966</v>
      </c>
      <c r="E163" s="45">
        <f t="shared" si="21"/>
        <v>1</v>
      </c>
      <c r="F163" s="45"/>
      <c r="G163" s="45">
        <f t="shared" si="22"/>
        <v>3.5042127477909315E-20</v>
      </c>
      <c r="H163" s="45"/>
      <c r="J163" s="730">
        <f t="shared" si="23"/>
        <v>1</v>
      </c>
      <c r="K163" s="730">
        <f t="shared" si="24"/>
        <v>3.5042127477909315E-20</v>
      </c>
      <c r="M163" s="730">
        <f t="shared" si="25"/>
        <v>1</v>
      </c>
      <c r="N163" s="730">
        <f t="shared" si="26"/>
        <v>4.4199383610325401E-14</v>
      </c>
      <c r="P163" s="730">
        <f t="shared" si="27"/>
        <v>0</v>
      </c>
      <c r="Q163" s="730">
        <f t="shared" si="27"/>
        <v>-4.4199348568197925E-14</v>
      </c>
      <c r="S163" s="98">
        <f t="shared" si="28"/>
        <v>0</v>
      </c>
      <c r="U163" s="422">
        <f t="shared" si="29"/>
        <v>1</v>
      </c>
      <c r="V163" s="422">
        <f t="shared" si="30"/>
        <v>9.4297342907010488E-17</v>
      </c>
      <c r="W163" s="421">
        <f t="shared" si="31"/>
        <v>90</v>
      </c>
      <c r="X163" s="421">
        <f t="shared" si="32"/>
        <v>0</v>
      </c>
    </row>
    <row r="164" spans="3:24" x14ac:dyDescent="0.25">
      <c r="C164" s="264">
        <f t="shared" si="33"/>
        <v>105</v>
      </c>
      <c r="D164" s="730">
        <f t="shared" si="20"/>
        <v>1.8325957145940461</v>
      </c>
      <c r="E164" s="45">
        <f t="shared" si="21"/>
        <v>0.95925160323234604</v>
      </c>
      <c r="F164" s="45"/>
      <c r="G164" s="45">
        <f t="shared" si="22"/>
        <v>-0.19751290503489369</v>
      </c>
      <c r="H164" s="45"/>
      <c r="J164" s="730">
        <f t="shared" si="23"/>
        <v>0.95925160323234604</v>
      </c>
      <c r="K164" s="730">
        <f t="shared" si="24"/>
        <v>-0.19751290503489369</v>
      </c>
      <c r="M164" s="730">
        <f t="shared" si="25"/>
        <v>0.97184751459413465</v>
      </c>
      <c r="N164" s="730">
        <f t="shared" si="26"/>
        <v>-0.32846007681081824</v>
      </c>
      <c r="P164" s="730">
        <f t="shared" si="27"/>
        <v>-1.2595911361788614E-2</v>
      </c>
      <c r="Q164" s="730">
        <f t="shared" si="27"/>
        <v>0.13094717177592455</v>
      </c>
      <c r="S164" s="98">
        <f t="shared" si="28"/>
        <v>3.1415926535897931</v>
      </c>
      <c r="U164" s="422">
        <f t="shared" si="29"/>
        <v>0.96631284819901342</v>
      </c>
      <c r="V164" s="422">
        <f t="shared" si="30"/>
        <v>-0.26289305190262535</v>
      </c>
      <c r="W164" s="421">
        <f t="shared" si="31"/>
        <v>105.21941598733738</v>
      </c>
      <c r="X164" s="421">
        <f t="shared" si="32"/>
        <v>0.21941598733738488</v>
      </c>
    </row>
    <row r="165" spans="3:24" x14ac:dyDescent="0.25">
      <c r="C165" s="264">
        <f t="shared" si="33"/>
        <v>120</v>
      </c>
      <c r="D165" s="730">
        <f t="shared" si="20"/>
        <v>2.0943951023931953</v>
      </c>
      <c r="E165" s="45">
        <f t="shared" si="21"/>
        <v>0.84146635908464973</v>
      </c>
      <c r="F165" s="45"/>
      <c r="G165" s="45">
        <f t="shared" si="22"/>
        <v>-0.4352752816480619</v>
      </c>
      <c r="H165" s="45"/>
      <c r="J165" s="730">
        <f t="shared" si="23"/>
        <v>0.84146635908464973</v>
      </c>
      <c r="K165" s="730">
        <f t="shared" si="24"/>
        <v>-0.4352752816480619</v>
      </c>
      <c r="M165" s="730">
        <f t="shared" si="25"/>
        <v>0.88826740384000002</v>
      </c>
      <c r="N165" s="730">
        <f t="shared" si="26"/>
        <v>-0.56498947715155889</v>
      </c>
      <c r="P165" s="730">
        <f t="shared" si="27"/>
        <v>-4.6801044755350296E-2</v>
      </c>
      <c r="Q165" s="730">
        <f t="shared" si="27"/>
        <v>0.129714195503497</v>
      </c>
      <c r="S165" s="98">
        <f t="shared" si="28"/>
        <v>3.1415926535897931</v>
      </c>
      <c r="U165" s="422">
        <f t="shared" si="29"/>
        <v>0.86746601732202677</v>
      </c>
      <c r="V165" s="422">
        <f t="shared" si="30"/>
        <v>-0.50402076718698474</v>
      </c>
      <c r="W165" s="421">
        <f t="shared" si="31"/>
        <v>120.15772406071085</v>
      </c>
      <c r="X165" s="421">
        <f t="shared" si="32"/>
        <v>0.15772406071084788</v>
      </c>
    </row>
    <row r="166" spans="3:24" x14ac:dyDescent="0.25">
      <c r="C166" s="264">
        <f t="shared" si="33"/>
        <v>135</v>
      </c>
      <c r="D166" s="730">
        <f t="shared" si="20"/>
        <v>2.3561944901923448</v>
      </c>
      <c r="E166" s="45">
        <f t="shared" si="21"/>
        <v>0.65975395538644721</v>
      </c>
      <c r="F166" s="45"/>
      <c r="G166" s="45">
        <f t="shared" si="22"/>
        <v>-0.6597539553864471</v>
      </c>
      <c r="H166" s="45"/>
      <c r="J166" s="730">
        <f t="shared" si="23"/>
        <v>0.65975395538644721</v>
      </c>
      <c r="K166" s="730">
        <f t="shared" si="24"/>
        <v>-0.6597539553864471</v>
      </c>
      <c r="M166" s="730">
        <f t="shared" si="25"/>
        <v>0.75165781919139185</v>
      </c>
      <c r="N166" s="730">
        <f t="shared" si="26"/>
        <v>-0.75165781919139174</v>
      </c>
      <c r="P166" s="730">
        <f t="shared" si="27"/>
        <v>-9.1903863804944641E-2</v>
      </c>
      <c r="Q166" s="730">
        <f t="shared" si="27"/>
        <v>9.1903863804944641E-2</v>
      </c>
      <c r="S166" s="98">
        <f t="shared" si="28"/>
        <v>3.1415926535897931</v>
      </c>
      <c r="U166" s="422">
        <f t="shared" si="29"/>
        <v>0.70994420005165548</v>
      </c>
      <c r="V166" s="422">
        <f t="shared" si="30"/>
        <v>-0.70994420005165537</v>
      </c>
      <c r="W166" s="421">
        <f t="shared" si="31"/>
        <v>135</v>
      </c>
      <c r="X166" s="421">
        <f t="shared" si="32"/>
        <v>0</v>
      </c>
    </row>
    <row r="167" spans="3:24" x14ac:dyDescent="0.25">
      <c r="C167" s="264">
        <f t="shared" si="33"/>
        <v>150</v>
      </c>
      <c r="D167" s="730">
        <f t="shared" si="20"/>
        <v>2.6179938779914944</v>
      </c>
      <c r="E167" s="45">
        <f t="shared" si="21"/>
        <v>0.43527528164806201</v>
      </c>
      <c r="F167" s="45"/>
      <c r="G167" s="45">
        <f t="shared" si="22"/>
        <v>-0.84146635908464973</v>
      </c>
      <c r="H167" s="45"/>
      <c r="J167" s="730">
        <f t="shared" si="23"/>
        <v>0.43527528164806201</v>
      </c>
      <c r="K167" s="730">
        <f t="shared" si="24"/>
        <v>-0.84146635908464973</v>
      </c>
      <c r="M167" s="730">
        <f t="shared" si="25"/>
        <v>0.56498947715155912</v>
      </c>
      <c r="N167" s="730">
        <f t="shared" si="26"/>
        <v>-0.88826740384000002</v>
      </c>
      <c r="P167" s="730">
        <f t="shared" si="27"/>
        <v>-0.12971419550349711</v>
      </c>
      <c r="Q167" s="730">
        <f t="shared" si="27"/>
        <v>4.6801044755350296E-2</v>
      </c>
      <c r="S167" s="98">
        <f t="shared" si="28"/>
        <v>3.1415926535897931</v>
      </c>
      <c r="U167" s="422">
        <f t="shared" si="29"/>
        <v>0.50402076718698485</v>
      </c>
      <c r="V167" s="422">
        <f t="shared" si="30"/>
        <v>-0.86746601732202677</v>
      </c>
      <c r="W167" s="421">
        <f t="shared" si="31"/>
        <v>149.84227593928915</v>
      </c>
      <c r="X167" s="421">
        <f t="shared" si="32"/>
        <v>-0.15772406071084788</v>
      </c>
    </row>
    <row r="168" spans="3:24" x14ac:dyDescent="0.25">
      <c r="C168" s="264">
        <f t="shared" si="33"/>
        <v>165</v>
      </c>
      <c r="D168" s="730">
        <f t="shared" si="20"/>
        <v>2.8797932657906435</v>
      </c>
      <c r="E168" s="45">
        <f t="shared" si="21"/>
        <v>0.19751290503489385</v>
      </c>
      <c r="F168" s="45"/>
      <c r="G168" s="45">
        <f t="shared" si="22"/>
        <v>-0.95925160323234582</v>
      </c>
      <c r="H168" s="45"/>
      <c r="J168" s="730">
        <f t="shared" si="23"/>
        <v>0.19751290503489385</v>
      </c>
      <c r="K168" s="730">
        <f t="shared" si="24"/>
        <v>-0.95925160323234582</v>
      </c>
      <c r="M168" s="730">
        <f t="shared" si="25"/>
        <v>0.3284600768108184</v>
      </c>
      <c r="N168" s="730">
        <f t="shared" si="26"/>
        <v>-0.97184751459413454</v>
      </c>
      <c r="P168" s="730">
        <f t="shared" si="27"/>
        <v>-0.13094717177592455</v>
      </c>
      <c r="Q168" s="730">
        <f t="shared" si="27"/>
        <v>1.2595911361788725E-2</v>
      </c>
      <c r="S168" s="98">
        <f t="shared" si="28"/>
        <v>3.1415926535897931</v>
      </c>
      <c r="U168" s="422">
        <f t="shared" si="29"/>
        <v>0.26289305190262552</v>
      </c>
      <c r="V168" s="422">
        <f t="shared" si="30"/>
        <v>-0.9663128481990132</v>
      </c>
      <c r="W168" s="421">
        <f t="shared" si="31"/>
        <v>164.78058401266259</v>
      </c>
      <c r="X168" s="421">
        <f t="shared" si="32"/>
        <v>-0.2194159873374133</v>
      </c>
    </row>
    <row r="169" spans="3:24" x14ac:dyDescent="0.25">
      <c r="C169" s="264">
        <f t="shared" si="33"/>
        <v>180</v>
      </c>
      <c r="D169" s="730">
        <f t="shared" si="20"/>
        <v>3.1415926535897931</v>
      </c>
      <c r="E169" s="45">
        <f t="shared" si="21"/>
        <v>8.050566837894138E-20</v>
      </c>
      <c r="F169" s="45"/>
      <c r="G169" s="45">
        <f t="shared" si="22"/>
        <v>-1</v>
      </c>
      <c r="H169" s="45"/>
      <c r="J169" s="730">
        <f t="shared" si="23"/>
        <v>8.050566837894138E-20</v>
      </c>
      <c r="K169" s="730">
        <f t="shared" si="24"/>
        <v>-1</v>
      </c>
      <c r="M169" s="730">
        <f t="shared" si="25"/>
        <v>7.8230454544321653E-14</v>
      </c>
      <c r="N169" s="730">
        <f t="shared" si="26"/>
        <v>-1</v>
      </c>
      <c r="P169" s="730">
        <f t="shared" si="27"/>
        <v>-7.823037403865327E-14</v>
      </c>
      <c r="Q169" s="730">
        <f t="shared" si="27"/>
        <v>0</v>
      </c>
      <c r="S169" s="98">
        <f t="shared" si="28"/>
        <v>3.1415926535897931</v>
      </c>
      <c r="U169" s="422">
        <f t="shared" si="29"/>
        <v>1.8709019359122324E-16</v>
      </c>
      <c r="V169" s="422">
        <f t="shared" si="30"/>
        <v>-1</v>
      </c>
      <c r="W169" s="421">
        <f t="shared" si="31"/>
        <v>180</v>
      </c>
      <c r="X169" s="421">
        <f t="shared" si="32"/>
        <v>0</v>
      </c>
    </row>
    <row r="170" spans="3:24" x14ac:dyDescent="0.25">
      <c r="C170" s="264">
        <f t="shared" si="33"/>
        <v>195</v>
      </c>
      <c r="D170" s="730">
        <f t="shared" si="20"/>
        <v>3.4033920413889422</v>
      </c>
      <c r="E170" s="45">
        <f t="shared" si="21"/>
        <v>-0.19751290503489322</v>
      </c>
      <c r="F170" s="45"/>
      <c r="G170" s="45">
        <f t="shared" si="22"/>
        <v>-0.95925160323234615</v>
      </c>
      <c r="H170" s="45"/>
      <c r="J170" s="730">
        <f t="shared" si="23"/>
        <v>-0.19751290503489322</v>
      </c>
      <c r="K170" s="730">
        <f t="shared" si="24"/>
        <v>-0.95925160323234615</v>
      </c>
      <c r="M170" s="730">
        <f t="shared" si="25"/>
        <v>-0.32846007681081774</v>
      </c>
      <c r="N170" s="730">
        <f t="shared" si="26"/>
        <v>-0.97184751459413476</v>
      </c>
      <c r="P170" s="730">
        <f t="shared" si="27"/>
        <v>0.13094717177592452</v>
      </c>
      <c r="Q170" s="730">
        <f t="shared" si="27"/>
        <v>1.2595911361788614E-2</v>
      </c>
      <c r="S170" s="98">
        <f t="shared" si="28"/>
        <v>3.1415926535897931</v>
      </c>
      <c r="U170" s="422">
        <f t="shared" si="29"/>
        <v>-0.26289305190262474</v>
      </c>
      <c r="V170" s="422">
        <f t="shared" si="30"/>
        <v>-0.96631284819901353</v>
      </c>
      <c r="W170" s="421">
        <f t="shared" si="31"/>
        <v>195.21941598733738</v>
      </c>
      <c r="X170" s="421">
        <f t="shared" si="32"/>
        <v>0.21941598733738488</v>
      </c>
    </row>
    <row r="171" spans="3:24" x14ac:dyDescent="0.25">
      <c r="C171" s="264">
        <f t="shared" si="33"/>
        <v>210</v>
      </c>
      <c r="D171" s="730">
        <f t="shared" si="20"/>
        <v>3.6651914291880923</v>
      </c>
      <c r="E171" s="45">
        <f t="shared" si="21"/>
        <v>-0.43527528164806223</v>
      </c>
      <c r="F171" s="45"/>
      <c r="G171" s="45">
        <f t="shared" si="22"/>
        <v>-0.84146635908464951</v>
      </c>
      <c r="H171" s="45"/>
      <c r="J171" s="730">
        <f t="shared" si="23"/>
        <v>-0.43527528164806223</v>
      </c>
      <c r="K171" s="730">
        <f t="shared" si="24"/>
        <v>-0.84146635908464951</v>
      </c>
      <c r="M171" s="730">
        <f t="shared" si="25"/>
        <v>-0.56498947715155923</v>
      </c>
      <c r="N171" s="730">
        <f t="shared" si="26"/>
        <v>-0.88826740383999991</v>
      </c>
      <c r="P171" s="730">
        <f t="shared" si="27"/>
        <v>0.129714195503497</v>
      </c>
      <c r="Q171" s="730">
        <f t="shared" si="27"/>
        <v>4.6801044755350407E-2</v>
      </c>
      <c r="S171" s="98">
        <f t="shared" si="28"/>
        <v>3.1415926535897931</v>
      </c>
      <c r="U171" s="422">
        <f t="shared" si="29"/>
        <v>-0.50402076718698507</v>
      </c>
      <c r="V171" s="422">
        <f t="shared" si="30"/>
        <v>-0.86746601732202666</v>
      </c>
      <c r="W171" s="421">
        <f t="shared" si="31"/>
        <v>210.15772406071085</v>
      </c>
      <c r="X171" s="421">
        <f t="shared" si="32"/>
        <v>0.15772406071084788</v>
      </c>
    </row>
    <row r="172" spans="3:24" x14ac:dyDescent="0.25">
      <c r="C172" s="264">
        <f t="shared" si="33"/>
        <v>225</v>
      </c>
      <c r="D172" s="730">
        <f t="shared" si="20"/>
        <v>3.9269908169872414</v>
      </c>
      <c r="E172" s="45">
        <f t="shared" si="21"/>
        <v>-0.6597539553864471</v>
      </c>
      <c r="F172" s="45"/>
      <c r="G172" s="45">
        <f t="shared" si="22"/>
        <v>-0.65975395538644732</v>
      </c>
      <c r="H172" s="45"/>
      <c r="J172" s="730">
        <f t="shared" si="23"/>
        <v>-0.6597539553864471</v>
      </c>
      <c r="K172" s="730">
        <f t="shared" si="24"/>
        <v>-0.65975395538644732</v>
      </c>
      <c r="M172" s="730">
        <f t="shared" si="25"/>
        <v>-0.75165781919139174</v>
      </c>
      <c r="N172" s="730">
        <f t="shared" si="26"/>
        <v>-0.75165781919139196</v>
      </c>
      <c r="P172" s="730">
        <f t="shared" si="27"/>
        <v>9.1903863804944641E-2</v>
      </c>
      <c r="Q172" s="730">
        <f t="shared" si="27"/>
        <v>9.1903863804944641E-2</v>
      </c>
      <c r="S172" s="98">
        <f t="shared" si="28"/>
        <v>3.1415926535897931</v>
      </c>
      <c r="U172" s="422">
        <f t="shared" si="29"/>
        <v>-0.70994420005165537</v>
      </c>
      <c r="V172" s="422">
        <f t="shared" si="30"/>
        <v>-0.70994420005165548</v>
      </c>
      <c r="W172" s="421">
        <f t="shared" si="31"/>
        <v>225</v>
      </c>
      <c r="X172" s="421">
        <f t="shared" si="32"/>
        <v>0</v>
      </c>
    </row>
    <row r="173" spans="3:24" x14ac:dyDescent="0.25">
      <c r="C173" s="264">
        <f t="shared" si="33"/>
        <v>240</v>
      </c>
      <c r="D173" s="730">
        <f t="shared" si="20"/>
        <v>4.1887902047863905</v>
      </c>
      <c r="E173" s="45">
        <f t="shared" si="21"/>
        <v>-0.84146635908464928</v>
      </c>
      <c r="F173" s="45"/>
      <c r="G173" s="45">
        <f t="shared" si="22"/>
        <v>-0.43527528164806256</v>
      </c>
      <c r="H173" s="45"/>
      <c r="J173" s="730">
        <f t="shared" si="23"/>
        <v>-0.84146635908464928</v>
      </c>
      <c r="K173" s="730">
        <f t="shared" si="24"/>
        <v>-0.43527528164806256</v>
      </c>
      <c r="M173" s="730">
        <f t="shared" si="25"/>
        <v>-0.8882674038399998</v>
      </c>
      <c r="N173" s="730">
        <f t="shared" si="26"/>
        <v>-0.56498947715155956</v>
      </c>
      <c r="P173" s="730">
        <f t="shared" si="27"/>
        <v>4.6801044755350518E-2</v>
      </c>
      <c r="Q173" s="730">
        <f t="shared" si="27"/>
        <v>0.129714195503497</v>
      </c>
      <c r="S173" s="98">
        <f t="shared" si="28"/>
        <v>3.1415926535897931</v>
      </c>
      <c r="U173" s="422">
        <f t="shared" si="29"/>
        <v>-0.86746601732202644</v>
      </c>
      <c r="V173" s="422">
        <f t="shared" si="30"/>
        <v>-0.5040207671869853</v>
      </c>
      <c r="W173" s="421">
        <f t="shared" si="31"/>
        <v>239.84227593928915</v>
      </c>
      <c r="X173" s="421">
        <f t="shared" si="32"/>
        <v>-0.15772406071084788</v>
      </c>
    </row>
    <row r="174" spans="3:24" x14ac:dyDescent="0.25">
      <c r="C174" s="264">
        <f t="shared" si="33"/>
        <v>255</v>
      </c>
      <c r="D174" s="730">
        <f t="shared" si="20"/>
        <v>4.4505895925855405</v>
      </c>
      <c r="E174" s="45">
        <f t="shared" si="21"/>
        <v>-0.95925160323234604</v>
      </c>
      <c r="F174" s="45"/>
      <c r="G174" s="45">
        <f t="shared" si="22"/>
        <v>-0.19751290503489347</v>
      </c>
      <c r="H174" s="45"/>
      <c r="J174" s="730">
        <f t="shared" si="23"/>
        <v>-0.95925160323234604</v>
      </c>
      <c r="K174" s="730">
        <f t="shared" si="24"/>
        <v>-0.19751290503489347</v>
      </c>
      <c r="M174" s="730">
        <f t="shared" si="25"/>
        <v>-0.97184751459413465</v>
      </c>
      <c r="N174" s="730">
        <f t="shared" si="26"/>
        <v>-0.32846007681081801</v>
      </c>
      <c r="P174" s="730">
        <f t="shared" si="27"/>
        <v>1.2595911361788614E-2</v>
      </c>
      <c r="Q174" s="730">
        <f t="shared" si="27"/>
        <v>0.13094717177592455</v>
      </c>
      <c r="S174" s="98">
        <f t="shared" si="28"/>
        <v>3.1415926535897931</v>
      </c>
      <c r="U174" s="422">
        <f t="shared" si="29"/>
        <v>-0.96631284819901342</v>
      </c>
      <c r="V174" s="422">
        <f t="shared" si="30"/>
        <v>-0.26289305190262507</v>
      </c>
      <c r="W174" s="421">
        <f t="shared" si="31"/>
        <v>254.78058401266262</v>
      </c>
      <c r="X174" s="421">
        <f t="shared" si="32"/>
        <v>-0.21941598733738488</v>
      </c>
    </row>
    <row r="175" spans="3:24" x14ac:dyDescent="0.25">
      <c r="C175" s="264">
        <f t="shared" si="33"/>
        <v>270</v>
      </c>
      <c r="D175" s="730">
        <f t="shared" si="20"/>
        <v>4.7123889803846897</v>
      </c>
      <c r="E175" s="45">
        <f t="shared" si="21"/>
        <v>-1</v>
      </c>
      <c r="F175" s="45"/>
      <c r="G175" s="45">
        <f t="shared" si="22"/>
        <v>-1.3095918716754812E-19</v>
      </c>
      <c r="H175" s="45"/>
      <c r="J175" s="730">
        <f t="shared" si="23"/>
        <v>-1</v>
      </c>
      <c r="K175" s="730">
        <f t="shared" si="24"/>
        <v>-1.3095918716754812E-19</v>
      </c>
      <c r="M175" s="730">
        <f t="shared" si="25"/>
        <v>-1</v>
      </c>
      <c r="N175" s="730">
        <f t="shared" si="26"/>
        <v>-1.0925037722362623E-13</v>
      </c>
      <c r="P175" s="730">
        <f t="shared" si="27"/>
        <v>0</v>
      </c>
      <c r="Q175" s="730">
        <f t="shared" si="27"/>
        <v>1.0925024626443906E-13</v>
      </c>
      <c r="S175" s="98">
        <f t="shared" si="28"/>
        <v>3.1415926535897931</v>
      </c>
      <c r="U175" s="422">
        <f t="shared" si="29"/>
        <v>-1</v>
      </c>
      <c r="V175" s="422">
        <f t="shared" si="30"/>
        <v>-2.7932353794630134E-16</v>
      </c>
      <c r="W175" s="421">
        <f t="shared" si="31"/>
        <v>270</v>
      </c>
      <c r="X175" s="421">
        <f t="shared" si="32"/>
        <v>0</v>
      </c>
    </row>
    <row r="176" spans="3:24" x14ac:dyDescent="0.25">
      <c r="C176" s="264">
        <f>C175+15</f>
        <v>285</v>
      </c>
      <c r="D176" s="730">
        <f t="shared" si="20"/>
        <v>4.9741883681838397</v>
      </c>
      <c r="E176" s="45">
        <f t="shared" si="21"/>
        <v>-0.95925160323234582</v>
      </c>
      <c r="F176" s="45"/>
      <c r="G176" s="45">
        <f t="shared" si="22"/>
        <v>0.19751290503489391</v>
      </c>
      <c r="H176" s="45"/>
      <c r="J176" s="730">
        <f t="shared" si="23"/>
        <v>-0.95925160323234582</v>
      </c>
      <c r="K176" s="730">
        <f t="shared" si="24"/>
        <v>0.19751290503489391</v>
      </c>
      <c r="M176" s="730">
        <f t="shared" si="25"/>
        <v>-0.97184751459413454</v>
      </c>
      <c r="N176" s="730">
        <f t="shared" si="26"/>
        <v>0.32846007681081846</v>
      </c>
      <c r="P176" s="730">
        <f t="shared" si="27"/>
        <v>1.2595911361788725E-2</v>
      </c>
      <c r="Q176" s="730">
        <f t="shared" si="27"/>
        <v>-0.13094717177592455</v>
      </c>
      <c r="S176" s="98">
        <f t="shared" si="28"/>
        <v>6.2831853071795862</v>
      </c>
      <c r="U176" s="422">
        <f t="shared" si="29"/>
        <v>-0.9663128481990132</v>
      </c>
      <c r="V176" s="422">
        <f t="shared" si="30"/>
        <v>0.26289305190262557</v>
      </c>
      <c r="W176" s="421">
        <f t="shared" si="31"/>
        <v>285.21941598733741</v>
      </c>
      <c r="X176" s="421">
        <f t="shared" si="32"/>
        <v>0.2194159873374133</v>
      </c>
    </row>
    <row r="177" spans="3:24" x14ac:dyDescent="0.25">
      <c r="C177" s="264">
        <f t="shared" si="33"/>
        <v>300</v>
      </c>
      <c r="D177" s="730">
        <f t="shared" si="20"/>
        <v>5.2359877559829888</v>
      </c>
      <c r="E177" s="45">
        <f t="shared" si="21"/>
        <v>-0.84146635908464951</v>
      </c>
      <c r="F177" s="45"/>
      <c r="G177" s="45">
        <f t="shared" si="22"/>
        <v>0.43527528164806223</v>
      </c>
      <c r="H177" s="45"/>
      <c r="J177" s="730">
        <f t="shared" si="23"/>
        <v>-0.84146635908464951</v>
      </c>
      <c r="K177" s="730">
        <f t="shared" si="24"/>
        <v>0.43527528164806223</v>
      </c>
      <c r="M177" s="730">
        <f t="shared" si="25"/>
        <v>-0.88826740383999991</v>
      </c>
      <c r="N177" s="730">
        <f t="shared" si="26"/>
        <v>0.56498947715155923</v>
      </c>
      <c r="P177" s="730">
        <f t="shared" si="27"/>
        <v>4.6801044755350407E-2</v>
      </c>
      <c r="Q177" s="730">
        <f t="shared" si="27"/>
        <v>-0.129714195503497</v>
      </c>
      <c r="S177" s="98">
        <f t="shared" si="28"/>
        <v>6.2831853071795862</v>
      </c>
      <c r="U177" s="422">
        <f t="shared" si="29"/>
        <v>-0.86746601732202666</v>
      </c>
      <c r="V177" s="422">
        <f t="shared" si="30"/>
        <v>0.50402076718698507</v>
      </c>
      <c r="W177" s="421">
        <f t="shared" si="31"/>
        <v>300.15772406071085</v>
      </c>
      <c r="X177" s="421">
        <f t="shared" si="32"/>
        <v>0.15772406071084788</v>
      </c>
    </row>
    <row r="178" spans="3:24" x14ac:dyDescent="0.25">
      <c r="C178" s="264">
        <f t="shared" si="33"/>
        <v>315</v>
      </c>
      <c r="D178" s="730">
        <f t="shared" si="20"/>
        <v>5.497787143782138</v>
      </c>
      <c r="E178" s="45">
        <f t="shared" si="21"/>
        <v>-0.65975395538644732</v>
      </c>
      <c r="F178" s="45"/>
      <c r="G178" s="45">
        <f t="shared" si="22"/>
        <v>0.65975395538644688</v>
      </c>
      <c r="H178" s="45"/>
      <c r="J178" s="730">
        <f t="shared" si="23"/>
        <v>-0.65975395538644732</v>
      </c>
      <c r="K178" s="730">
        <f t="shared" si="24"/>
        <v>0.65975395538644688</v>
      </c>
      <c r="M178" s="730">
        <f t="shared" si="25"/>
        <v>-0.75165781919139196</v>
      </c>
      <c r="N178" s="730">
        <f t="shared" si="26"/>
        <v>0.75165781919139163</v>
      </c>
      <c r="P178" s="730">
        <f t="shared" si="27"/>
        <v>9.1903863804944641E-2</v>
      </c>
      <c r="Q178" s="730">
        <f t="shared" si="27"/>
        <v>-9.1903863804944752E-2</v>
      </c>
      <c r="S178" s="98">
        <f t="shared" si="28"/>
        <v>6.2831853071795862</v>
      </c>
      <c r="U178" s="422">
        <f t="shared" si="29"/>
        <v>-0.70994420005165548</v>
      </c>
      <c r="V178" s="422">
        <f t="shared" si="30"/>
        <v>0.70994420005165515</v>
      </c>
      <c r="W178" s="421">
        <f t="shared" si="31"/>
        <v>315</v>
      </c>
      <c r="X178" s="421">
        <f t="shared" si="32"/>
        <v>0</v>
      </c>
    </row>
    <row r="179" spans="3:24" x14ac:dyDescent="0.25">
      <c r="C179" s="264">
        <f t="shared" si="33"/>
        <v>330</v>
      </c>
      <c r="D179" s="730">
        <f t="shared" si="20"/>
        <v>5.7595865315812871</v>
      </c>
      <c r="E179" s="45">
        <f t="shared" si="21"/>
        <v>-0.43527528164806256</v>
      </c>
      <c r="F179" s="45"/>
      <c r="G179" s="45">
        <f t="shared" si="22"/>
        <v>0.84146635908464928</v>
      </c>
      <c r="H179" s="45"/>
      <c r="J179" s="730">
        <f t="shared" si="23"/>
        <v>-0.43527528164806256</v>
      </c>
      <c r="K179" s="730">
        <f t="shared" si="24"/>
        <v>0.84146635908464928</v>
      </c>
      <c r="M179" s="730">
        <f t="shared" si="25"/>
        <v>-0.56498947715155956</v>
      </c>
      <c r="N179" s="730">
        <f t="shared" si="26"/>
        <v>0.8882674038399998</v>
      </c>
      <c r="P179" s="730">
        <f t="shared" si="27"/>
        <v>0.129714195503497</v>
      </c>
      <c r="Q179" s="730">
        <f t="shared" si="27"/>
        <v>-4.6801044755350518E-2</v>
      </c>
      <c r="S179" s="98">
        <f t="shared" si="28"/>
        <v>6.2831853071795862</v>
      </c>
      <c r="U179" s="422">
        <f t="shared" si="29"/>
        <v>-0.5040207671869853</v>
      </c>
      <c r="V179" s="422">
        <f t="shared" si="30"/>
        <v>0.86746601732202644</v>
      </c>
      <c r="W179" s="421">
        <f t="shared" si="31"/>
        <v>329.84227593928915</v>
      </c>
      <c r="X179" s="421">
        <f t="shared" si="32"/>
        <v>-0.15772406071084788</v>
      </c>
    </row>
    <row r="180" spans="3:24" x14ac:dyDescent="0.25">
      <c r="C180" s="264">
        <f>C179+15</f>
        <v>345</v>
      </c>
      <c r="D180" s="730">
        <f t="shared" si="20"/>
        <v>6.0213859193804371</v>
      </c>
      <c r="E180" s="45">
        <f t="shared" si="21"/>
        <v>-0.19751290503489352</v>
      </c>
      <c r="F180" s="45"/>
      <c r="G180" s="45">
        <f t="shared" si="22"/>
        <v>0.95925160323234604</v>
      </c>
      <c r="H180" s="45"/>
      <c r="J180" s="730">
        <f t="shared" si="23"/>
        <v>-0.19751290503489352</v>
      </c>
      <c r="K180" s="730">
        <f t="shared" si="24"/>
        <v>0.95925160323234604</v>
      </c>
      <c r="M180" s="730">
        <f t="shared" si="25"/>
        <v>-0.32846007681081801</v>
      </c>
      <c r="N180" s="730">
        <f t="shared" si="26"/>
        <v>0.97184751459413465</v>
      </c>
      <c r="P180" s="730">
        <f t="shared" si="27"/>
        <v>0.13094717177592449</v>
      </c>
      <c r="Q180" s="730">
        <f t="shared" si="27"/>
        <v>-1.2595911361788614E-2</v>
      </c>
      <c r="S180" s="98">
        <f t="shared" si="28"/>
        <v>6.2831853071795862</v>
      </c>
      <c r="U180" s="422">
        <f t="shared" si="29"/>
        <v>-0.26289305190262513</v>
      </c>
      <c r="V180" s="422">
        <f t="shared" si="30"/>
        <v>0.96631284819901342</v>
      </c>
      <c r="W180" s="421">
        <f t="shared" si="31"/>
        <v>344.78058401266264</v>
      </c>
      <c r="X180" s="421">
        <f t="shared" si="32"/>
        <v>-0.21941598733735646</v>
      </c>
    </row>
    <row r="181" spans="3:24" x14ac:dyDescent="0.25">
      <c r="C181" s="264">
        <f t="shared" si="33"/>
        <v>360</v>
      </c>
      <c r="D181" s="730">
        <f t="shared" si="20"/>
        <v>6.2831853071795862</v>
      </c>
      <c r="E181" s="45">
        <f t="shared" si="21"/>
        <v>-1.8495345766965423E-19</v>
      </c>
      <c r="F181" s="45"/>
      <c r="G181" s="45">
        <f t="shared" si="22"/>
        <v>1</v>
      </c>
      <c r="H181" s="45"/>
      <c r="J181" s="730">
        <f t="shared" si="23"/>
        <v>-1.8495345766965423E-19</v>
      </c>
      <c r="K181" s="730">
        <f t="shared" si="24"/>
        <v>1</v>
      </c>
      <c r="M181" s="730">
        <f t="shared" si="25"/>
        <v>-1.3846356031041006E-13</v>
      </c>
      <c r="N181" s="730">
        <f t="shared" si="26"/>
        <v>1</v>
      </c>
      <c r="P181" s="730">
        <f t="shared" si="27"/>
        <v>1.3846337535695239E-13</v>
      </c>
      <c r="Q181" s="730">
        <f t="shared" si="27"/>
        <v>0</v>
      </c>
      <c r="S181" s="98">
        <f t="shared" si="28"/>
        <v>6.2831853071795862</v>
      </c>
      <c r="U181" s="422">
        <f t="shared" si="29"/>
        <v>-3.711954065611283E-16</v>
      </c>
      <c r="V181" s="422">
        <f t="shared" si="30"/>
        <v>1</v>
      </c>
      <c r="W181" s="421">
        <f t="shared" si="31"/>
        <v>360</v>
      </c>
      <c r="X181" s="421">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5" x14ac:dyDescent="0.25"/>
  <cols>
    <col min="2" max="2" width="8.7109375" customWidth="1"/>
    <col min="3" max="3" width="42.140625" bestFit="1" customWidth="1"/>
    <col min="5" max="5" width="18.42578125" customWidth="1"/>
    <col min="7" max="14" width="8.85546875" customWidth="1"/>
    <col min="15" max="15" width="25.42578125" customWidth="1"/>
    <col min="16" max="16" width="9.5703125" customWidth="1"/>
    <col min="19" max="19" width="10.85546875" bestFit="1" customWidth="1"/>
    <col min="24" max="24" width="10.85546875" bestFit="1" customWidth="1"/>
  </cols>
  <sheetData>
    <row r="2" spans="2:24" ht="18" x14ac:dyDescent="0.35">
      <c r="B2" s="4" t="s">
        <v>641</v>
      </c>
      <c r="E2" s="20" t="s">
        <v>198</v>
      </c>
    </row>
    <row r="4" spans="2:24" ht="15.6" x14ac:dyDescent="0.3">
      <c r="B4" s="39" t="s">
        <v>540</v>
      </c>
    </row>
    <row r="5" spans="2:24" x14ac:dyDescent="0.25">
      <c r="P5" s="362"/>
      <c r="Q5" s="362"/>
      <c r="R5" s="362"/>
      <c r="S5" s="362"/>
      <c r="U5" s="860"/>
      <c r="V5" s="860"/>
      <c r="W5" s="860"/>
      <c r="X5" s="860"/>
    </row>
    <row r="6" spans="2:24" x14ac:dyDescent="0.25">
      <c r="B6" s="31" t="s">
        <v>642</v>
      </c>
    </row>
    <row r="7" spans="2:24" x14ac:dyDescent="0.25">
      <c r="B7" s="31" t="s">
        <v>1646</v>
      </c>
      <c r="E7" s="363" t="s">
        <v>693</v>
      </c>
      <c r="Q7" s="364"/>
      <c r="V7" s="364"/>
    </row>
    <row r="8" spans="2:24" ht="18" x14ac:dyDescent="0.35">
      <c r="B8" s="32" t="s">
        <v>644</v>
      </c>
      <c r="C8" s="13" t="s">
        <v>544</v>
      </c>
      <c r="E8" s="365">
        <v>15</v>
      </c>
      <c r="F8" s="16" t="s">
        <v>34</v>
      </c>
      <c r="Q8" s="364"/>
      <c r="U8" s="366"/>
      <c r="V8" s="364"/>
    </row>
    <row r="9" spans="2:24" ht="18" x14ac:dyDescent="0.35">
      <c r="B9" s="32" t="s">
        <v>645</v>
      </c>
      <c r="C9" s="13" t="s">
        <v>546</v>
      </c>
      <c r="E9" s="367">
        <v>5</v>
      </c>
      <c r="F9" s="863" t="s">
        <v>34</v>
      </c>
      <c r="Q9" s="364"/>
      <c r="U9" s="366"/>
      <c r="V9" s="364"/>
    </row>
    <row r="10" spans="2:24" ht="18" x14ac:dyDescent="0.35">
      <c r="B10" s="32" t="s">
        <v>646</v>
      </c>
      <c r="C10" s="13" t="s">
        <v>547</v>
      </c>
      <c r="E10" s="367">
        <v>10</v>
      </c>
      <c r="F10" s="864"/>
      <c r="Q10" s="364"/>
      <c r="U10" s="366"/>
      <c r="V10" s="364"/>
    </row>
    <row r="11" spans="2:24" x14ac:dyDescent="0.25">
      <c r="B11" s="32" t="s">
        <v>548</v>
      </c>
      <c r="C11" s="13" t="s">
        <v>647</v>
      </c>
      <c r="E11" s="367">
        <v>0.8</v>
      </c>
      <c r="F11" s="16" t="s">
        <v>34</v>
      </c>
      <c r="Q11" s="364"/>
      <c r="U11" s="366"/>
      <c r="V11" s="364"/>
    </row>
    <row r="12" spans="2:24" x14ac:dyDescent="0.25">
      <c r="B12" s="368" t="s">
        <v>549</v>
      </c>
      <c r="C12" s="25" t="s">
        <v>550</v>
      </c>
      <c r="E12" s="367" t="s">
        <v>686</v>
      </c>
      <c r="Q12" s="364"/>
      <c r="U12" s="369"/>
      <c r="V12" s="364"/>
    </row>
    <row r="13" spans="2:24" x14ac:dyDescent="0.25">
      <c r="B13" s="368" t="s">
        <v>551</v>
      </c>
      <c r="C13" s="25" t="s">
        <v>649</v>
      </c>
      <c r="E13" s="370">
        <f>LOOKUP(E12,C64:C69,D64:D69)</f>
        <v>200</v>
      </c>
      <c r="F13" s="371" t="s">
        <v>650</v>
      </c>
      <c r="Q13" s="364"/>
      <c r="U13" s="366"/>
      <c r="V13" s="364"/>
    </row>
    <row r="14" spans="2:24" x14ac:dyDescent="0.25">
      <c r="B14" s="372" t="s">
        <v>651</v>
      </c>
      <c r="C14" s="25" t="s">
        <v>652</v>
      </c>
      <c r="E14" s="370">
        <f ca="1">LOOKUP(E12,C64:C69, E64:E70)</f>
        <v>0.28000000000000003</v>
      </c>
      <c r="F14" s="371" t="s">
        <v>552</v>
      </c>
      <c r="Q14" s="364"/>
      <c r="U14" s="366"/>
      <c r="V14" s="364"/>
    </row>
    <row r="15" spans="2:24" x14ac:dyDescent="0.25">
      <c r="B15" s="372"/>
      <c r="C15" s="25" t="s">
        <v>653</v>
      </c>
      <c r="E15" s="367">
        <v>11</v>
      </c>
      <c r="F15" s="373" t="s">
        <v>650</v>
      </c>
      <c r="Q15" s="364"/>
      <c r="U15" s="366"/>
      <c r="V15" s="364"/>
    </row>
    <row r="16" spans="2:24" x14ac:dyDescent="0.25">
      <c r="B16" s="372"/>
      <c r="C16" s="25" t="s">
        <v>654</v>
      </c>
      <c r="E16" s="367">
        <v>0.25</v>
      </c>
      <c r="F16" s="373"/>
      <c r="Q16" s="364"/>
      <c r="U16" s="366"/>
      <c r="V16" s="364"/>
    </row>
    <row r="17" spans="2:22" ht="14.45" hidden="1" x14ac:dyDescent="0.3">
      <c r="B17" s="372"/>
      <c r="C17" s="25" t="s">
        <v>655</v>
      </c>
      <c r="E17" s="374">
        <f>IF(mat="Other",E15,E13)</f>
        <v>200</v>
      </c>
      <c r="F17" s="373"/>
      <c r="Q17" s="364"/>
      <c r="U17" s="366"/>
      <c r="V17" s="364"/>
    </row>
    <row r="18" spans="2:22" ht="14.45" hidden="1" x14ac:dyDescent="0.3">
      <c r="B18" s="372"/>
      <c r="C18" s="25" t="s">
        <v>656</v>
      </c>
      <c r="E18" s="374">
        <f ca="1">IF(mat="Other",E16,E14)</f>
        <v>0.28000000000000003</v>
      </c>
      <c r="F18" s="373"/>
      <c r="Q18" s="364"/>
      <c r="U18" s="366"/>
      <c r="V18" s="364"/>
    </row>
    <row r="19" spans="2:22" x14ac:dyDescent="0.25">
      <c r="E19" s="10"/>
    </row>
    <row r="20" spans="2:22" x14ac:dyDescent="0.25">
      <c r="B20" s="31" t="s">
        <v>554</v>
      </c>
      <c r="E20" s="10"/>
    </row>
    <row r="21" spans="2:22" x14ac:dyDescent="0.25">
      <c r="B21" s="368" t="s">
        <v>555</v>
      </c>
      <c r="C21" t="s">
        <v>556</v>
      </c>
      <c r="E21" s="375" t="s">
        <v>694</v>
      </c>
      <c r="Q21" s="364"/>
      <c r="U21" s="10"/>
      <c r="V21" s="364"/>
    </row>
    <row r="22" spans="2:22" x14ac:dyDescent="0.25">
      <c r="B22" s="368" t="s">
        <v>83</v>
      </c>
      <c r="C22" t="s">
        <v>557</v>
      </c>
      <c r="E22" s="363">
        <v>1</v>
      </c>
      <c r="F22" s="16" t="s">
        <v>32</v>
      </c>
      <c r="Q22" s="364"/>
      <c r="V22" s="364"/>
    </row>
    <row r="23" spans="2:22" x14ac:dyDescent="0.25">
      <c r="E23" s="10"/>
    </row>
    <row r="24" spans="2:22" x14ac:dyDescent="0.25">
      <c r="B24" s="31" t="s">
        <v>558</v>
      </c>
      <c r="E24" s="10"/>
    </row>
    <row r="25" spans="2:22" ht="15.6" hidden="1" x14ac:dyDescent="0.35">
      <c r="B25" s="32" t="s">
        <v>658</v>
      </c>
      <c r="E25" s="376">
        <f>E8/2*IF(Dc_units="mm", 0.001, 0.0254)</f>
        <v>7.4999999999999997E-3</v>
      </c>
      <c r="F25" t="s">
        <v>113</v>
      </c>
    </row>
    <row r="26" spans="2:22" ht="15.6" hidden="1" x14ac:dyDescent="0.35">
      <c r="B26" s="32" t="s">
        <v>645</v>
      </c>
      <c r="E26" s="376">
        <f>MIN(E9,E10)*IF(abr_units="mm", 0.001, 0.0254)</f>
        <v>5.0000000000000001E-3</v>
      </c>
      <c r="F26" t="s">
        <v>113</v>
      </c>
    </row>
    <row r="27" spans="2:22" ht="15.6" hidden="1" x14ac:dyDescent="0.35">
      <c r="B27" s="32" t="s">
        <v>646</v>
      </c>
      <c r="E27" s="376">
        <f>MAX(E9,E10)*IF(abr_units="mm", 0.001, 0.0254)</f>
        <v>0.01</v>
      </c>
      <c r="F27" t="s">
        <v>113</v>
      </c>
    </row>
    <row r="28" spans="2:22" ht="14.45" hidden="1" x14ac:dyDescent="0.3">
      <c r="B28" s="32" t="s">
        <v>562</v>
      </c>
      <c r="E28" s="370">
        <f>br/ar</f>
        <v>2</v>
      </c>
      <c r="F28" s="312" t="s">
        <v>552</v>
      </c>
    </row>
    <row r="29" spans="2:22" ht="14.45" hidden="1" x14ac:dyDescent="0.3">
      <c r="B29" s="32" t="s">
        <v>548</v>
      </c>
      <c r="E29" s="370">
        <f>E11*IF(h_units="mm",0.001,0.0254)</f>
        <v>8.0000000000000004E-4</v>
      </c>
      <c r="F29" s="25" t="s">
        <v>113</v>
      </c>
    </row>
    <row r="30" spans="2:22" ht="14.45" hidden="1" x14ac:dyDescent="0.3">
      <c r="B30" s="32" t="s">
        <v>659</v>
      </c>
      <c r="E30" s="370">
        <f>PI()*ac^2</f>
        <v>1.7671458676442585E-4</v>
      </c>
      <c r="F30" s="25"/>
    </row>
    <row r="31" spans="2:22" ht="14.45" hidden="1" x14ac:dyDescent="0.3">
      <c r="B31" s="32" t="s">
        <v>660</v>
      </c>
      <c r="E31" s="370">
        <f>ar*br</f>
        <v>5.0000000000000002E-5</v>
      </c>
      <c r="F31" s="25"/>
    </row>
    <row r="32" spans="2:22" ht="14.45" hidden="1" x14ac:dyDescent="0.3">
      <c r="B32" s="32" t="s">
        <v>411</v>
      </c>
      <c r="C32" t="s">
        <v>563</v>
      </c>
      <c r="E32" s="377">
        <f>IF(E7="circular",area_c, area_r)</f>
        <v>1.7671458676442585E-4</v>
      </c>
      <c r="F32" s="25" t="s">
        <v>661</v>
      </c>
    </row>
    <row r="33" spans="2:6" ht="14.45" hidden="1" x14ac:dyDescent="0.3">
      <c r="B33" s="378" t="s">
        <v>390</v>
      </c>
      <c r="C33" t="s">
        <v>662</v>
      </c>
      <c r="E33" s="370">
        <f ca="1">E*h^3/(12*(1-E18^2))</f>
        <v>9.2592592592592577</v>
      </c>
      <c r="F33" s="25" t="s">
        <v>663</v>
      </c>
    </row>
    <row r="34" spans="2:6" ht="15.6" hidden="1" x14ac:dyDescent="0.35">
      <c r="B34" s="378" t="s">
        <v>664</v>
      </c>
      <c r="E34" s="370">
        <f>IF(boa&lt;2.45, (0.4326922 - 0.1810158*(1/boa) - 0.1137154*(1/boa)^2 + 0.6522332*(1/boa)^3)^-1, 2.604)*0.001</f>
        <v>2.5298228162695946E-3</v>
      </c>
      <c r="F34" s="312" t="s">
        <v>552</v>
      </c>
    </row>
    <row r="35" spans="2:6" ht="15.6" hidden="1" x14ac:dyDescent="0.35">
      <c r="B35" s="378" t="s">
        <v>665</v>
      </c>
      <c r="E35" s="370">
        <f>IF(boa&lt;2.45, (125.64683 + 93.593567/boa - 232.6954*(1/boa)^2 + 192.54653*(1/boa)^3)^-1, 0.00724)</f>
        <v>7.228667636612905E-3</v>
      </c>
      <c r="F35" s="312" t="s">
        <v>552</v>
      </c>
    </row>
    <row r="36" spans="2:6" ht="14.45" hidden="1" x14ac:dyDescent="0.3">
      <c r="B36" s="378" t="s">
        <v>551</v>
      </c>
      <c r="E36" s="370">
        <f>E17*1000000000</f>
        <v>200000000000</v>
      </c>
      <c r="F36" s="25" t="s">
        <v>564</v>
      </c>
    </row>
    <row r="37" spans="2:6" ht="14.45" hidden="1" x14ac:dyDescent="0.3">
      <c r="B37" s="378" t="s">
        <v>83</v>
      </c>
      <c r="C37" t="s">
        <v>666</v>
      </c>
      <c r="E37" s="370">
        <f>E22*IF(F22="N",1, 4.448)</f>
        <v>1</v>
      </c>
      <c r="F37" s="25"/>
    </row>
    <row r="38" spans="2:6" ht="14.45" hidden="1" x14ac:dyDescent="0.3">
      <c r="B38" s="378" t="s">
        <v>667</v>
      </c>
      <c r="C38" t="s">
        <v>668</v>
      </c>
      <c r="E38" s="370">
        <f>F*IF(F22="N",1, 4.448)/area</f>
        <v>5658.8424210451676</v>
      </c>
      <c r="F38" s="25" t="s">
        <v>564</v>
      </c>
    </row>
    <row r="39" spans="2:6" ht="14.45" hidden="1" x14ac:dyDescent="0.3">
      <c r="B39" s="379" t="s">
        <v>669</v>
      </c>
      <c r="C39" t="s">
        <v>670</v>
      </c>
      <c r="E39" s="380">
        <f ca="1">q*ac^4/(64*D)*1000000</f>
        <v>3.0214571227602009E-2</v>
      </c>
      <c r="F39" t="s">
        <v>114</v>
      </c>
    </row>
    <row r="40" spans="2:6" ht="14.45" hidden="1" x14ac:dyDescent="0.3">
      <c r="B40" s="379" t="s">
        <v>671</v>
      </c>
      <c r="C40" t="s">
        <v>672</v>
      </c>
      <c r="E40" s="380">
        <f ca="1">4*E39</f>
        <v>0.12085828491040804</v>
      </c>
    </row>
    <row r="41" spans="2:6" ht="14.45" hidden="1" x14ac:dyDescent="0.3">
      <c r="B41" s="379" t="s">
        <v>673</v>
      </c>
      <c r="C41" t="s">
        <v>674</v>
      </c>
      <c r="E41" s="380">
        <f ca="1">alphau*q*area_r*ar^2/D*1000000</f>
        <v>1.9326422705086364E-3</v>
      </c>
      <c r="F41" t="s">
        <v>114</v>
      </c>
    </row>
    <row r="42" spans="2:6" ht="14.45" hidden="1" x14ac:dyDescent="0.3">
      <c r="B42" s="379" t="s">
        <v>675</v>
      </c>
      <c r="C42" t="s">
        <v>676</v>
      </c>
      <c r="E42" s="380">
        <f ca="1">alphap*q*area_r*ar^2/D*1000000</f>
        <v>5.5222952944096928E-3</v>
      </c>
    </row>
    <row r="43" spans="2:6" ht="14.45" hidden="1" x14ac:dyDescent="0.3">
      <c r="B43" s="379" t="s">
        <v>677</v>
      </c>
      <c r="E43" s="380">
        <f ca="1">IF(force="Uniform", wpkcu, wpkcp)</f>
        <v>0.12085828491040804</v>
      </c>
      <c r="F43" t="s">
        <v>114</v>
      </c>
    </row>
    <row r="44" spans="2:6" ht="14.45" hidden="1" x14ac:dyDescent="0.3">
      <c r="B44" s="379" t="s">
        <v>678</v>
      </c>
      <c r="E44" s="380">
        <f ca="1">IF(E21="Uniform", wpkru, wpkrp)</f>
        <v>5.5222952944096928E-3</v>
      </c>
    </row>
    <row r="45" spans="2:6" x14ac:dyDescent="0.25">
      <c r="B45" s="379" t="s">
        <v>679</v>
      </c>
      <c r="C45" t="s">
        <v>680</v>
      </c>
      <c r="E45" s="381">
        <f ca="1">IF(shape="Circular", E43, E44)</f>
        <v>0.12085828491040804</v>
      </c>
      <c r="F45" t="s">
        <v>114</v>
      </c>
    </row>
    <row r="46" spans="2:6" ht="14.45" hidden="1" x14ac:dyDescent="0.3">
      <c r="B46" s="379" t="s">
        <v>565</v>
      </c>
      <c r="C46" t="s">
        <v>681</v>
      </c>
      <c r="E46" s="370">
        <f ca="1">E47*area</f>
        <v>2.1357421875000001E-5</v>
      </c>
      <c r="F46" t="s">
        <v>682</v>
      </c>
    </row>
    <row r="47" spans="2:6" x14ac:dyDescent="0.25">
      <c r="B47" s="379" t="s">
        <v>566</v>
      </c>
      <c r="C47" t="s">
        <v>683</v>
      </c>
      <c r="E47" s="376">
        <f ca="1">E45/F</f>
        <v>0.12085828491040804</v>
      </c>
      <c r="F47" t="s">
        <v>684</v>
      </c>
    </row>
    <row r="63" spans="3:6" ht="14.45" hidden="1" x14ac:dyDescent="0.3">
      <c r="C63" s="9" t="s">
        <v>541</v>
      </c>
      <c r="D63" s="9" t="s">
        <v>542</v>
      </c>
      <c r="E63" s="9" t="s">
        <v>543</v>
      </c>
    </row>
    <row r="64" spans="3:6" ht="14.45" hidden="1" x14ac:dyDescent="0.3">
      <c r="C64" t="s">
        <v>648</v>
      </c>
      <c r="D64">
        <v>197</v>
      </c>
      <c r="E64">
        <v>0.27</v>
      </c>
      <c r="F64" s="7" t="s">
        <v>685</v>
      </c>
    </row>
    <row r="65" spans="3:6" ht="14.45" hidden="1" x14ac:dyDescent="0.3">
      <c r="C65" t="s">
        <v>686</v>
      </c>
      <c r="D65">
        <v>200</v>
      </c>
      <c r="E65">
        <v>0.28000000000000003</v>
      </c>
      <c r="F65" t="s">
        <v>687</v>
      </c>
    </row>
    <row r="66" spans="3:6" ht="14.45" hidden="1" x14ac:dyDescent="0.3">
      <c r="C66" t="s">
        <v>545</v>
      </c>
      <c r="D66">
        <v>2.2000000000000002</v>
      </c>
      <c r="E66">
        <v>0.35</v>
      </c>
      <c r="F66" t="s">
        <v>688</v>
      </c>
    </row>
    <row r="67" spans="3:6" ht="14.45" hidden="1" x14ac:dyDescent="0.3">
      <c r="C67" t="s">
        <v>689</v>
      </c>
      <c r="D67">
        <v>69</v>
      </c>
      <c r="E67">
        <v>0.33</v>
      </c>
      <c r="F67" t="s">
        <v>690</v>
      </c>
    </row>
    <row r="68" spans="3:6" ht="14.45" hidden="1" x14ac:dyDescent="0.3">
      <c r="C68" t="s">
        <v>691</v>
      </c>
      <c r="D68">
        <v>2.2000000000000002</v>
      </c>
      <c r="E68">
        <v>0.37</v>
      </c>
      <c r="F68" t="s">
        <v>692</v>
      </c>
    </row>
    <row r="69" spans="3:6" ht="14.45" hidden="1" x14ac:dyDescent="0.3">
      <c r="C69" t="s">
        <v>580</v>
      </c>
      <c r="D69">
        <v>1</v>
      </c>
      <c r="E69">
        <v>1</v>
      </c>
    </row>
    <row r="70" spans="3:6" ht="14.45" hidden="1" x14ac:dyDescent="0.3"/>
    <row r="71" spans="3:6" ht="14.45" hidden="1" x14ac:dyDescent="0.3">
      <c r="C71" s="9" t="s">
        <v>553</v>
      </c>
    </row>
    <row r="72" spans="3:6" ht="14.45" hidden="1" x14ac:dyDescent="0.3">
      <c r="C72" t="s">
        <v>693</v>
      </c>
    </row>
    <row r="73" spans="3:6" ht="14.45" hidden="1" x14ac:dyDescent="0.3">
      <c r="C73" t="s">
        <v>643</v>
      </c>
    </row>
    <row r="74" spans="3:6" ht="14.45" hidden="1" x14ac:dyDescent="0.3"/>
    <row r="75" spans="3:6" ht="14.45" hidden="1" x14ac:dyDescent="0.3"/>
    <row r="76" spans="3:6" ht="14.45" hidden="1" x14ac:dyDescent="0.3"/>
    <row r="77" spans="3:6" ht="14.45" hidden="1" x14ac:dyDescent="0.3">
      <c r="C77" s="9" t="s">
        <v>559</v>
      </c>
    </row>
    <row r="78" spans="3:6" ht="14.45" hidden="1" x14ac:dyDescent="0.3">
      <c r="C78" t="s">
        <v>694</v>
      </c>
    </row>
    <row r="79" spans="3:6" ht="14.45" hidden="1" x14ac:dyDescent="0.3">
      <c r="C79" t="s">
        <v>657</v>
      </c>
    </row>
    <row r="80" spans="3:6" ht="14.45" hidden="1" x14ac:dyDescent="0.3"/>
    <row r="81" spans="2:8" ht="14.45" hidden="1" x14ac:dyDescent="0.3">
      <c r="C81" s="9" t="s">
        <v>695</v>
      </c>
    </row>
    <row r="82" spans="2:8" ht="14.45" hidden="1" x14ac:dyDescent="0.3">
      <c r="C82" t="s">
        <v>34</v>
      </c>
    </row>
    <row r="83" spans="2:8" ht="14.45" hidden="1" x14ac:dyDescent="0.3">
      <c r="C83" t="s">
        <v>696</v>
      </c>
    </row>
    <row r="84" spans="2:8" ht="14.45" hidden="1" x14ac:dyDescent="0.3"/>
    <row r="85" spans="2:8" ht="14.45" hidden="1" x14ac:dyDescent="0.3">
      <c r="B85" s="9"/>
      <c r="C85" s="9" t="s">
        <v>697</v>
      </c>
    </row>
    <row r="86" spans="2:8" ht="14.45" hidden="1" x14ac:dyDescent="0.3">
      <c r="C86">
        <v>1E-3</v>
      </c>
    </row>
    <row r="87" spans="2:8" ht="14.45" hidden="1" x14ac:dyDescent="0.3">
      <c r="C87">
        <v>10000</v>
      </c>
    </row>
    <row r="88" spans="2:8" ht="14.45" hidden="1" x14ac:dyDescent="0.3"/>
    <row r="89" spans="2:8" ht="14.45" hidden="1" x14ac:dyDescent="0.3"/>
    <row r="91" spans="2:8" ht="14.45" hidden="1" x14ac:dyDescent="0.3">
      <c r="C91" s="9" t="s">
        <v>698</v>
      </c>
    </row>
    <row r="92" spans="2:8" ht="14.45" hidden="1" x14ac:dyDescent="0.3">
      <c r="C92" s="9" t="s">
        <v>699</v>
      </c>
      <c r="D92">
        <v>0.9</v>
      </c>
    </row>
    <row r="93" spans="2:8" ht="14.45" hidden="1" x14ac:dyDescent="0.3">
      <c r="C93" s="9" t="s">
        <v>575</v>
      </c>
      <c r="D93" s="9" t="s">
        <v>560</v>
      </c>
      <c r="E93" s="9" t="s">
        <v>561</v>
      </c>
      <c r="F93" s="9" t="s">
        <v>576</v>
      </c>
      <c r="G93" s="9" t="s">
        <v>577</v>
      </c>
      <c r="H93" s="9" t="str">
        <f>E22&amp;F22&amp; " " &amp;force&amp;" Force Deflection"</f>
        <v>1N Concentrated Force Deflection</v>
      </c>
    </row>
    <row r="94" spans="2:8" ht="14.45" hidden="1" x14ac:dyDescent="0.3">
      <c r="C94" s="382">
        <v>0.999</v>
      </c>
      <c r="D94" s="382">
        <f>(1-(C94^2)*(1+2*LN(1/C94)))</f>
        <v>1.9993331662471192E-6</v>
      </c>
      <c r="E94" s="382">
        <f>((1-(C94^2))^2)</f>
        <v>3.9960009999998922E-6</v>
      </c>
      <c r="F94">
        <f>IF(E7="Circular",E8/2,MIN(E9:E10)/2)</f>
        <v>7.5</v>
      </c>
      <c r="G94">
        <f t="shared" ref="G94:G124" si="0">-F94*C94</f>
        <v>-7.4924999999999997</v>
      </c>
      <c r="H94">
        <f t="shared" ref="H94:H125" ca="1" si="1">IF(E21="Uniform",-D94*E$45,-E94*E$45)</f>
        <v>-4.8294982736026236E-7</v>
      </c>
    </row>
    <row r="95" spans="2:8" ht="14.45" hidden="1" x14ac:dyDescent="0.3">
      <c r="C95" s="382">
        <f>C94*D$92</f>
        <v>0.89910000000000001</v>
      </c>
      <c r="D95" s="382">
        <f t="shared" ref="D95:D124" si="2">(1-(C95^2)*(1+2*LN(1/C95)))</f>
        <v>1.9658781480882181E-2</v>
      </c>
      <c r="E95" s="382">
        <f t="shared" ref="E95:E124" si="3">((1-(C95^2))^2)</f>
        <v>3.6717913976256074E-2</v>
      </c>
      <c r="F95">
        <f>F94</f>
        <v>7.5</v>
      </c>
      <c r="G95">
        <f t="shared" si="0"/>
        <v>-6.7432499999999997</v>
      </c>
      <c r="H95">
        <f t="shared" ca="1" si="1"/>
        <v>-4.4376641086582101E-3</v>
      </c>
    </row>
    <row r="96" spans="2:8" ht="14.45" hidden="1" x14ac:dyDescent="0.3">
      <c r="C96" s="382">
        <f t="shared" ref="C96:C124" si="4">C95*D$92</f>
        <v>0.80919000000000008</v>
      </c>
      <c r="D96" s="382">
        <f t="shared" si="2"/>
        <v>6.7945914236538729E-2</v>
      </c>
      <c r="E96" s="382">
        <f t="shared" si="3"/>
        <v>0.11917101004182153</v>
      </c>
      <c r="F96">
        <f t="shared" ref="F96:F155" si="5">F95</f>
        <v>7.5</v>
      </c>
      <c r="G96">
        <f t="shared" si="0"/>
        <v>-6.0689250000000001</v>
      </c>
      <c r="H96">
        <f t="shared" ca="1" si="1"/>
        <v>-1.4402803884695564E-2</v>
      </c>
    </row>
    <row r="97" spans="3:8" ht="14.45" hidden="1" x14ac:dyDescent="0.3">
      <c r="C97" s="382">
        <f t="shared" si="4"/>
        <v>0.72827100000000011</v>
      </c>
      <c r="D97" s="382">
        <f t="shared" si="2"/>
        <v>0.13327425453358566</v>
      </c>
      <c r="E97" s="382">
        <f t="shared" si="3"/>
        <v>0.22054421290085896</v>
      </c>
      <c r="F97">
        <f t="shared" si="5"/>
        <v>7.5</v>
      </c>
      <c r="G97">
        <f t="shared" si="0"/>
        <v>-5.4620325000000012</v>
      </c>
      <c r="H97">
        <f t="shared" ca="1" si="1"/>
        <v>-2.6654595318113702E-2</v>
      </c>
    </row>
    <row r="98" spans="3:8" ht="14.45" hidden="1" x14ac:dyDescent="0.3">
      <c r="C98" s="382">
        <f t="shared" si="4"/>
        <v>0.65544390000000008</v>
      </c>
      <c r="D98" s="382">
        <f t="shared" si="2"/>
        <v>0.20742497801381599</v>
      </c>
      <c r="E98" s="382">
        <f t="shared" si="3"/>
        <v>0.32534850978631369</v>
      </c>
      <c r="F98">
        <f t="shared" si="5"/>
        <v>7.5</v>
      </c>
      <c r="G98">
        <f t="shared" si="0"/>
        <v>-4.9158292500000007</v>
      </c>
      <c r="H98">
        <f t="shared" ca="1" si="1"/>
        <v>-3.9321062890930979E-2</v>
      </c>
    </row>
    <row r="99" spans="3:8" ht="14.45" hidden="1" x14ac:dyDescent="0.3">
      <c r="C99" s="382">
        <f t="shared" si="4"/>
        <v>0.58989951000000007</v>
      </c>
      <c r="D99" s="382">
        <f t="shared" si="2"/>
        <v>0.2846872259828962</v>
      </c>
      <c r="E99" s="382">
        <f t="shared" si="3"/>
        <v>0.42512821314946925</v>
      </c>
      <c r="F99">
        <f t="shared" si="5"/>
        <v>7.5</v>
      </c>
      <c r="G99">
        <f t="shared" si="0"/>
        <v>-4.4242463250000004</v>
      </c>
      <c r="H99">
        <f t="shared" ca="1" si="1"/>
        <v>-5.1380266708271234E-2</v>
      </c>
    </row>
    <row r="100" spans="3:8" ht="14.45" hidden="1" x14ac:dyDescent="0.3">
      <c r="C100" s="382">
        <f t="shared" si="4"/>
        <v>0.53090955900000003</v>
      </c>
      <c r="D100" s="382">
        <f t="shared" si="2"/>
        <v>0.36120177801742726</v>
      </c>
      <c r="E100" s="382">
        <f t="shared" si="3"/>
        <v>0.51571793590908843</v>
      </c>
      <c r="F100">
        <f t="shared" si="5"/>
        <v>7.5</v>
      </c>
      <c r="G100">
        <f t="shared" si="0"/>
        <v>-3.9818216925000001</v>
      </c>
      <c r="H100">
        <f t="shared" ca="1" si="1"/>
        <v>-6.2328785231508164E-2</v>
      </c>
    </row>
    <row r="101" spans="3:8" ht="14.45" hidden="1" x14ac:dyDescent="0.3">
      <c r="C101" s="382">
        <f t="shared" si="4"/>
        <v>0.47781860310000002</v>
      </c>
      <c r="D101" s="382">
        <f t="shared" si="2"/>
        <v>0.434463591420854</v>
      </c>
      <c r="E101" s="382">
        <f t="shared" si="3"/>
        <v>0.59550450311194758</v>
      </c>
      <c r="F101">
        <f t="shared" si="5"/>
        <v>7.5</v>
      </c>
      <c r="G101">
        <f t="shared" si="0"/>
        <v>-3.58363952325</v>
      </c>
      <c r="H101">
        <f t="shared" ca="1" si="1"/>
        <v>-7.1971652902534725E-2</v>
      </c>
    </row>
    <row r="102" spans="3:8" ht="14.45" hidden="1" x14ac:dyDescent="0.3">
      <c r="C102" s="382">
        <f t="shared" si="4"/>
        <v>0.43003674279000004</v>
      </c>
      <c r="D102" s="382">
        <f t="shared" si="2"/>
        <v>0.50294653154454938</v>
      </c>
      <c r="E102" s="382">
        <f t="shared" si="3"/>
        <v>0.66433649643496429</v>
      </c>
      <c r="F102">
        <f t="shared" si="5"/>
        <v>7.5</v>
      </c>
      <c r="G102">
        <f t="shared" si="0"/>
        <v>-3.2252755709250005</v>
      </c>
      <c r="H102">
        <f t="shared" ca="1" si="1"/>
        <v>-8.029056956251919E-2</v>
      </c>
    </row>
    <row r="103" spans="3:8" ht="14.45" hidden="1" x14ac:dyDescent="0.3">
      <c r="C103" s="382">
        <f t="shared" si="4"/>
        <v>0.38703306851100006</v>
      </c>
      <c r="D103" s="382">
        <f t="shared" si="2"/>
        <v>0.56582181877094773</v>
      </c>
      <c r="E103" s="382">
        <f t="shared" si="3"/>
        <v>0.72284922878498459</v>
      </c>
      <c r="F103">
        <f t="shared" si="5"/>
        <v>7.5</v>
      </c>
      <c r="G103">
        <f t="shared" si="0"/>
        <v>-2.9027480138325004</v>
      </c>
      <c r="H103">
        <f t="shared" ca="1" si="1"/>
        <v>-8.7362318039764394E-2</v>
      </c>
    </row>
    <row r="104" spans="3:8" ht="14.45" hidden="1" x14ac:dyDescent="0.3">
      <c r="C104" s="382">
        <f t="shared" si="4"/>
        <v>0.34832976165990004</v>
      </c>
      <c r="D104" s="382">
        <f t="shared" si="2"/>
        <v>0.62274812706255633</v>
      </c>
      <c r="E104" s="382">
        <f t="shared" si="3"/>
        <v>0.7720546023197723</v>
      </c>
      <c r="F104">
        <f t="shared" si="5"/>
        <v>7.5</v>
      </c>
      <c r="G104">
        <f t="shared" si="0"/>
        <v>-2.6124732124492502</v>
      </c>
      <c r="H104">
        <f t="shared" ca="1" si="1"/>
        <v>-9.3309195093554814E-2</v>
      </c>
    </row>
    <row r="105" spans="3:8" ht="14.45" hidden="1" x14ac:dyDescent="0.3">
      <c r="C105" s="382">
        <f t="shared" si="4"/>
        <v>0.31349678549391002</v>
      </c>
      <c r="D105" s="382">
        <f t="shared" si="2"/>
        <v>0.67371627054572258</v>
      </c>
      <c r="E105" s="382">
        <f t="shared" si="3"/>
        <v>0.81309853546629696</v>
      </c>
      <c r="F105">
        <f t="shared" si="5"/>
        <v>7.5</v>
      </c>
      <c r="G105">
        <f t="shared" si="0"/>
        <v>-2.3512258912043253</v>
      </c>
      <c r="H105">
        <f t="shared" ca="1" si="1"/>
        <v>-9.8269694459621235E-2</v>
      </c>
    </row>
    <row r="106" spans="3:8" ht="14.45" hidden="1" x14ac:dyDescent="0.3">
      <c r="C106" s="382">
        <f t="shared" si="4"/>
        <v>0.28214710694451905</v>
      </c>
      <c r="D106" s="382">
        <f t="shared" si="2"/>
        <v>0.71893531211832729</v>
      </c>
      <c r="E106" s="382">
        <f t="shared" si="3"/>
        <v>0.84712329293571598</v>
      </c>
      <c r="F106">
        <f t="shared" si="5"/>
        <v>7.5</v>
      </c>
      <c r="G106">
        <f t="shared" si="0"/>
        <v>-2.1161033020838929</v>
      </c>
      <c r="H106">
        <f t="shared" ca="1" si="1"/>
        <v>-0.10238186829186781</v>
      </c>
    </row>
    <row r="107" spans="3:8" ht="14.45" hidden="1" x14ac:dyDescent="0.3">
      <c r="C107" s="382">
        <f t="shared" si="4"/>
        <v>0.25393239625006714</v>
      </c>
      <c r="D107" s="382">
        <f t="shared" si="2"/>
        <v>0.75874996052664168</v>
      </c>
      <c r="E107" s="382">
        <f t="shared" si="3"/>
        <v>0.87519456098630877</v>
      </c>
      <c r="F107">
        <f t="shared" si="5"/>
        <v>7.5</v>
      </c>
      <c r="G107">
        <f t="shared" si="0"/>
        <v>-1.9044929718755035</v>
      </c>
      <c r="H107">
        <f t="shared" ca="1" si="1"/>
        <v>-0.10577451360372278</v>
      </c>
    </row>
    <row r="108" spans="3:8" ht="14.45" hidden="1" x14ac:dyDescent="0.3">
      <c r="C108" s="382">
        <f t="shared" si="4"/>
        <v>0.22853915662506044</v>
      </c>
      <c r="D108" s="382">
        <f t="shared" si="2"/>
        <v>0.79358147777232491</v>
      </c>
      <c r="E108" s="382">
        <f t="shared" si="3"/>
        <v>0.89826769594097744</v>
      </c>
      <c r="F108">
        <f t="shared" si="5"/>
        <v>7.5</v>
      </c>
      <c r="G108">
        <f t="shared" si="0"/>
        <v>-1.7140436746879533</v>
      </c>
      <c r="H108">
        <f t="shared" ca="1" si="1"/>
        <v>-0.10856309312185043</v>
      </c>
    </row>
    <row r="109" spans="3:8" ht="14.45" hidden="1" x14ac:dyDescent="0.3">
      <c r="C109" s="382">
        <f t="shared" si="4"/>
        <v>0.20568524096255439</v>
      </c>
      <c r="D109" s="382">
        <f t="shared" si="2"/>
        <v>0.82388614488963685</v>
      </c>
      <c r="E109" s="382">
        <f t="shared" si="3"/>
        <v>0.91717699633394223</v>
      </c>
      <c r="F109">
        <f t="shared" si="5"/>
        <v>7.5</v>
      </c>
      <c r="G109">
        <f t="shared" si="0"/>
        <v>-1.542639307219158</v>
      </c>
      <c r="H109">
        <f t="shared" ca="1" si="1"/>
        <v>-0.11084843873619986</v>
      </c>
    </row>
    <row r="110" spans="3:8" ht="14.45" hidden="1" x14ac:dyDescent="0.3">
      <c r="C110" s="382">
        <f t="shared" si="4"/>
        <v>0.18511671686629896</v>
      </c>
      <c r="D110" s="382">
        <f t="shared" si="2"/>
        <v>0.85012674715478931</v>
      </c>
      <c r="E110" s="382">
        <f t="shared" si="3"/>
        <v>0.93263791172662358</v>
      </c>
      <c r="F110">
        <f t="shared" si="5"/>
        <v>7.5</v>
      </c>
      <c r="G110">
        <f t="shared" si="0"/>
        <v>-1.3883753764972422</v>
      </c>
      <c r="H110">
        <f t="shared" ca="1" si="1"/>
        <v>-0.11271701845370426</v>
      </c>
    </row>
    <row r="111" spans="3:8" ht="14.45" hidden="1" x14ac:dyDescent="0.3">
      <c r="C111" s="382">
        <f t="shared" si="4"/>
        <v>0.16660504517966906</v>
      </c>
      <c r="D111" s="382">
        <f t="shared" si="2"/>
        <v>0.87275363072866785</v>
      </c>
      <c r="E111" s="382">
        <f t="shared" si="3"/>
        <v>0.94525598227369634</v>
      </c>
      <c r="F111">
        <f t="shared" si="5"/>
        <v>7.5</v>
      </c>
      <c r="G111">
        <f t="shared" si="0"/>
        <v>-1.249537838847518</v>
      </c>
      <c r="H111">
        <f t="shared" ca="1" si="1"/>
        <v>-0.114242016818902</v>
      </c>
    </row>
    <row r="112" spans="3:8" ht="14.45" hidden="1" x14ac:dyDescent="0.3">
      <c r="C112" s="382">
        <f t="shared" si="4"/>
        <v>0.14994454066170215</v>
      </c>
      <c r="D112" s="382">
        <f t="shared" si="2"/>
        <v>0.89219272297218477</v>
      </c>
      <c r="E112" s="382">
        <f t="shared" si="3"/>
        <v>0.95553877116555752</v>
      </c>
      <c r="F112">
        <f t="shared" si="5"/>
        <v>7.5</v>
      </c>
      <c r="G112">
        <f t="shared" si="0"/>
        <v>-1.1245840549627661</v>
      </c>
      <c r="H112">
        <f t="shared" ca="1" si="1"/>
        <v>-0.11548477704846814</v>
      </c>
    </row>
    <row r="113" spans="2:8" ht="14.45" hidden="1" x14ac:dyDescent="0.3">
      <c r="C113" s="382">
        <f t="shared" si="4"/>
        <v>0.13495008659553195</v>
      </c>
      <c r="D113" s="382">
        <f t="shared" si="2"/>
        <v>0.90883855409386027</v>
      </c>
      <c r="E113" s="382">
        <f t="shared" si="3"/>
        <v>0.96390860793030853</v>
      </c>
      <c r="F113">
        <f t="shared" si="5"/>
        <v>7.5</v>
      </c>
      <c r="G113">
        <f t="shared" si="0"/>
        <v>-1.0121256494664896</v>
      </c>
      <c r="H113">
        <f t="shared" ca="1" si="1"/>
        <v>-0.11649634116483602</v>
      </c>
    </row>
    <row r="114" spans="2:8" ht="14.45" hidden="1" x14ac:dyDescent="0.3">
      <c r="C114" s="382">
        <f t="shared" si="4"/>
        <v>0.12145507793597876</v>
      </c>
      <c r="D114" s="382">
        <f t="shared" si="2"/>
        <v>0.92305081209000328</v>
      </c>
      <c r="E114" s="382">
        <f t="shared" si="3"/>
        <v>0.97071492999963038</v>
      </c>
      <c r="F114">
        <f t="shared" si="5"/>
        <v>7.5</v>
      </c>
      <c r="G114">
        <f t="shared" si="0"/>
        <v>-0.91091308451984077</v>
      </c>
      <c r="H114">
        <f t="shared" ca="1" si="1"/>
        <v>-0.11731894157668213</v>
      </c>
    </row>
    <row r="115" spans="2:8" ht="14.45" hidden="1" x14ac:dyDescent="0.3">
      <c r="C115" s="382">
        <f t="shared" si="4"/>
        <v>0.10930957014238089</v>
      </c>
      <c r="D115" s="382">
        <f t="shared" si="2"/>
        <v>0.93515334024482355</v>
      </c>
      <c r="E115" s="382">
        <f t="shared" si="3"/>
        <v>0.97624560436536689</v>
      </c>
      <c r="F115">
        <f t="shared" si="5"/>
        <v>7.5</v>
      </c>
      <c r="G115">
        <f t="shared" si="0"/>
        <v>-0.81982177606785667</v>
      </c>
      <c r="H115">
        <f t="shared" ca="1" si="1"/>
        <v>-0.11798736939492299</v>
      </c>
    </row>
    <row r="116" spans="2:8" ht="14.45" hidden="1" x14ac:dyDescent="0.3">
      <c r="C116" s="382">
        <f t="shared" si="4"/>
        <v>9.8378613128142806E-2</v>
      </c>
      <c r="D116" s="382">
        <f t="shared" si="2"/>
        <v>0.94543477338436299</v>
      </c>
      <c r="E116" s="382">
        <f t="shared" si="3"/>
        <v>0.9807369674461307</v>
      </c>
      <c r="F116">
        <f t="shared" si="5"/>
        <v>7.5</v>
      </c>
      <c r="G116">
        <f t="shared" si="0"/>
        <v>-0.73783959846107106</v>
      </c>
      <c r="H116">
        <f t="shared" ca="1" si="1"/>
        <v>-0.11853018783377403</v>
      </c>
    </row>
    <row r="117" spans="2:8" ht="14.45" hidden="1" x14ac:dyDescent="0.3">
      <c r="C117" s="382">
        <f t="shared" si="4"/>
        <v>8.8540751815328528E-2</v>
      </c>
      <c r="D117" s="382">
        <f t="shared" si="2"/>
        <v>0.95415022634803925</v>
      </c>
      <c r="E117" s="382">
        <f t="shared" si="3"/>
        <v>0.98438252774323753</v>
      </c>
      <c r="F117">
        <f t="shared" si="5"/>
        <v>7.5</v>
      </c>
      <c r="G117">
        <f t="shared" si="0"/>
        <v>-0.66405563861496397</v>
      </c>
      <c r="H117">
        <f t="shared" ca="1" si="1"/>
        <v>-0.11897078399881984</v>
      </c>
    </row>
    <row r="118" spans="2:8" ht="14.45" hidden="1" x14ac:dyDescent="0.3">
      <c r="C118" s="382">
        <f t="shared" si="4"/>
        <v>7.9686676633795681E-2</v>
      </c>
      <c r="D118" s="382">
        <f t="shared" si="2"/>
        <v>0.96152361186634316</v>
      </c>
      <c r="E118" s="382">
        <f t="shared" si="3"/>
        <v>0.98734038920782108</v>
      </c>
      <c r="F118">
        <f t="shared" si="5"/>
        <v>7.5</v>
      </c>
      <c r="G118">
        <f t="shared" si="0"/>
        <v>-0.59765007475346765</v>
      </c>
      <c r="H118">
        <f t="shared" ca="1" si="1"/>
        <v>-0.11932826606243201</v>
      </c>
    </row>
    <row r="119" spans="2:8" ht="14.45" hidden="1" x14ac:dyDescent="0.3">
      <c r="C119" s="382">
        <f t="shared" si="4"/>
        <v>7.1718008970416108E-2</v>
      </c>
      <c r="D119" s="382">
        <f t="shared" si="2"/>
        <v>0.96775028771652727</v>
      </c>
      <c r="E119" s="382">
        <f t="shared" si="3"/>
        <v>0.98973950969119273</v>
      </c>
      <c r="F119">
        <f t="shared" si="5"/>
        <v>7.5</v>
      </c>
      <c r="G119">
        <f t="shared" si="0"/>
        <v>-0.5378850672781208</v>
      </c>
      <c r="H119">
        <f t="shared" ca="1" si="1"/>
        <v>-0.11961821964934573</v>
      </c>
    </row>
    <row r="120" spans="2:8" ht="14.45" hidden="1" x14ac:dyDescent="0.3">
      <c r="C120" s="382">
        <f t="shared" si="4"/>
        <v>6.4546208073374495E-2</v>
      </c>
      <c r="D120" s="382">
        <f t="shared" si="2"/>
        <v>0.97299982435526644</v>
      </c>
      <c r="E120" s="382">
        <f t="shared" si="3"/>
        <v>0.99168493137726421</v>
      </c>
      <c r="F120">
        <f t="shared" si="5"/>
        <v>7.5</v>
      </c>
      <c r="G120">
        <f t="shared" si="0"/>
        <v>-0.4840965605503087</v>
      </c>
      <c r="H120">
        <f t="shared" ca="1" si="1"/>
        <v>-0.11985333997775184</v>
      </c>
    </row>
    <row r="121" spans="2:8" ht="14.45" hidden="1" x14ac:dyDescent="0.3">
      <c r="C121" s="382">
        <f t="shared" si="4"/>
        <v>5.8091587266037047E-2</v>
      </c>
      <c r="D121" s="382">
        <f t="shared" si="2"/>
        <v>0.97741875168471815</v>
      </c>
      <c r="E121" s="382">
        <f t="shared" si="3"/>
        <v>0.99326212312240969</v>
      </c>
      <c r="F121">
        <f t="shared" si="5"/>
        <v>7.5</v>
      </c>
      <c r="G121">
        <f t="shared" si="0"/>
        <v>-0.43568690449527786</v>
      </c>
      <c r="H121">
        <f t="shared" ca="1" si="1"/>
        <v>-0.12004395666704498</v>
      </c>
    </row>
    <row r="122" spans="2:8" ht="14.45" hidden="1" x14ac:dyDescent="0.3">
      <c r="C122" s="382">
        <f t="shared" si="4"/>
        <v>5.2282428539433344E-2</v>
      </c>
      <c r="D122" s="382">
        <f t="shared" si="2"/>
        <v>0.98113319296975299</v>
      </c>
      <c r="E122" s="382">
        <f t="shared" si="3"/>
        <v>0.99454056709370031</v>
      </c>
      <c r="F122">
        <f t="shared" si="5"/>
        <v>7.5</v>
      </c>
      <c r="G122">
        <f t="shared" si="0"/>
        <v>-0.39211821404575009</v>
      </c>
      <c r="H122">
        <f t="shared" ca="1" si="1"/>
        <v>-0.12019846721276921</v>
      </c>
    </row>
    <row r="123" spans="2:8" ht="14.45" hidden="1" x14ac:dyDescent="0.3">
      <c r="C123" s="382">
        <f t="shared" si="4"/>
        <v>4.705418568549001E-2</v>
      </c>
      <c r="D123" s="382">
        <f t="shared" si="2"/>
        <v>0.98425132963065631</v>
      </c>
      <c r="E123" s="382">
        <f t="shared" si="3"/>
        <v>0.99557670944177734</v>
      </c>
      <c r="F123">
        <f t="shared" si="5"/>
        <v>7.5</v>
      </c>
      <c r="G123">
        <f t="shared" si="0"/>
        <v>-0.35290639264117507</v>
      </c>
      <c r="H123">
        <f t="shared" ca="1" si="1"/>
        <v>-0.12032369359988085</v>
      </c>
    </row>
    <row r="124" spans="2:8" ht="14.45" hidden="1" x14ac:dyDescent="0.3">
      <c r="C124" s="382">
        <f t="shared" si="4"/>
        <v>4.2348767116941008E-2</v>
      </c>
      <c r="D124" s="382">
        <f t="shared" si="2"/>
        <v>0.98686566609420834</v>
      </c>
      <c r="E124" s="382">
        <f t="shared" si="3"/>
        <v>0.99641638019574663</v>
      </c>
      <c r="F124">
        <f t="shared" si="5"/>
        <v>7.5</v>
      </c>
      <c r="G124">
        <f t="shared" si="0"/>
        <v>-0.31761575337705755</v>
      </c>
      <c r="H124">
        <f t="shared" ca="1" si="1"/>
        <v>-0.12042517476709501</v>
      </c>
    </row>
    <row r="125" spans="2:8" ht="14.45" hidden="1" x14ac:dyDescent="0.3">
      <c r="B125" t="s">
        <v>700</v>
      </c>
      <c r="C125" s="382">
        <f>C124</f>
        <v>4.2348767116941008E-2</v>
      </c>
      <c r="D125" s="382">
        <f>(1-(C125^2)*(1+2*LN(1/C125)))</f>
        <v>0.98686566609420834</v>
      </c>
      <c r="E125" s="382">
        <f>((1-(C125^2))^2)</f>
        <v>0.99641638019574663</v>
      </c>
      <c r="F125">
        <f t="shared" si="5"/>
        <v>7.5</v>
      </c>
      <c r="G125">
        <f>F125*C125</f>
        <v>0.31761575337705755</v>
      </c>
      <c r="H125">
        <f t="shared" ca="1" si="1"/>
        <v>-0.12042517476709501</v>
      </c>
    </row>
    <row r="126" spans="2:8" ht="14.45" hidden="1" x14ac:dyDescent="0.3">
      <c r="C126" s="382">
        <f>C125/D$92</f>
        <v>4.705418568549001E-2</v>
      </c>
      <c r="D126" s="382">
        <f t="shared" ref="D126:D155" si="6">(1-(C126^2)*(1+2*LN(1/C126)))</f>
        <v>0.98425132963065631</v>
      </c>
      <c r="E126" s="382">
        <f t="shared" ref="E126:E155" si="7">((1-(C126^2))^2)</f>
        <v>0.99557670944177734</v>
      </c>
      <c r="F126">
        <f t="shared" si="5"/>
        <v>7.5</v>
      </c>
      <c r="G126">
        <f t="shared" ref="G126:G155" si="8">F126*C126</f>
        <v>0.35290639264117507</v>
      </c>
      <c r="H126">
        <f t="shared" ref="H126:H155" ca="1" si="9">IF(E53="Uniform",-D126*E$45,-E126*E$45)</f>
        <v>-0.12032369359988085</v>
      </c>
    </row>
    <row r="127" spans="2:8" ht="14.45" hidden="1" x14ac:dyDescent="0.3">
      <c r="C127" s="382">
        <f t="shared" ref="C127:C155" si="10">C126/D$92</f>
        <v>5.2282428539433344E-2</v>
      </c>
      <c r="D127" s="382">
        <f t="shared" si="6"/>
        <v>0.98113319296975299</v>
      </c>
      <c r="E127" s="382">
        <f t="shared" si="7"/>
        <v>0.99454056709370031</v>
      </c>
      <c r="F127">
        <f t="shared" si="5"/>
        <v>7.5</v>
      </c>
      <c r="G127">
        <f t="shared" si="8"/>
        <v>0.39211821404575009</v>
      </c>
      <c r="H127">
        <f t="shared" ca="1" si="9"/>
        <v>-0.12019846721276921</v>
      </c>
    </row>
    <row r="128" spans="2:8" ht="14.45" hidden="1" x14ac:dyDescent="0.3">
      <c r="C128" s="382">
        <f t="shared" si="10"/>
        <v>5.8091587266037047E-2</v>
      </c>
      <c r="D128" s="382">
        <f t="shared" si="6"/>
        <v>0.97741875168471815</v>
      </c>
      <c r="E128" s="382">
        <f t="shared" si="7"/>
        <v>0.99326212312240969</v>
      </c>
      <c r="F128">
        <f t="shared" si="5"/>
        <v>7.5</v>
      </c>
      <c r="G128">
        <f t="shared" si="8"/>
        <v>0.43568690449527786</v>
      </c>
      <c r="H128">
        <f t="shared" ca="1" si="9"/>
        <v>-0.12004395666704498</v>
      </c>
    </row>
    <row r="129" spans="3:8" ht="14.45" hidden="1" x14ac:dyDescent="0.3">
      <c r="C129" s="382">
        <f t="shared" si="10"/>
        <v>6.4546208073374495E-2</v>
      </c>
      <c r="D129" s="382">
        <f t="shared" si="6"/>
        <v>0.97299982435526644</v>
      </c>
      <c r="E129" s="382">
        <f t="shared" si="7"/>
        <v>0.99168493137726421</v>
      </c>
      <c r="F129">
        <f t="shared" si="5"/>
        <v>7.5</v>
      </c>
      <c r="G129">
        <f t="shared" si="8"/>
        <v>0.4840965605503087</v>
      </c>
      <c r="H129">
        <f t="shared" ca="1" si="9"/>
        <v>-0.11985333997775184</v>
      </c>
    </row>
    <row r="130" spans="3:8" ht="14.45" hidden="1" x14ac:dyDescent="0.3">
      <c r="C130" s="382">
        <f t="shared" si="10"/>
        <v>7.1718008970416108E-2</v>
      </c>
      <c r="D130" s="382">
        <f t="shared" si="6"/>
        <v>0.96775028771652727</v>
      </c>
      <c r="E130" s="382">
        <f t="shared" si="7"/>
        <v>0.98973950969119273</v>
      </c>
      <c r="F130">
        <f t="shared" si="5"/>
        <v>7.5</v>
      </c>
      <c r="G130">
        <f t="shared" si="8"/>
        <v>0.5378850672781208</v>
      </c>
      <c r="H130">
        <f t="shared" ca="1" si="9"/>
        <v>-0.11961821964934573</v>
      </c>
    </row>
    <row r="131" spans="3:8" ht="14.45" hidden="1" x14ac:dyDescent="0.3">
      <c r="C131" s="382">
        <f t="shared" si="10"/>
        <v>7.9686676633795681E-2</v>
      </c>
      <c r="D131" s="382">
        <f t="shared" si="6"/>
        <v>0.96152361186634316</v>
      </c>
      <c r="E131" s="382">
        <f t="shared" si="7"/>
        <v>0.98734038920782108</v>
      </c>
      <c r="F131">
        <f t="shared" si="5"/>
        <v>7.5</v>
      </c>
      <c r="G131">
        <f t="shared" si="8"/>
        <v>0.59765007475346765</v>
      </c>
      <c r="H131">
        <f t="shared" ca="1" si="9"/>
        <v>-0.11932826606243201</v>
      </c>
    </row>
    <row r="132" spans="3:8" ht="14.45" hidden="1" x14ac:dyDescent="0.3">
      <c r="C132" s="382">
        <f t="shared" si="10"/>
        <v>8.8540751815328528E-2</v>
      </c>
      <c r="D132" s="382">
        <f t="shared" si="6"/>
        <v>0.95415022634803925</v>
      </c>
      <c r="E132" s="382">
        <f t="shared" si="7"/>
        <v>0.98438252774323753</v>
      </c>
      <c r="F132">
        <f t="shared" si="5"/>
        <v>7.5</v>
      </c>
      <c r="G132">
        <f t="shared" si="8"/>
        <v>0.66405563861496397</v>
      </c>
      <c r="H132">
        <f t="shared" ca="1" si="9"/>
        <v>-0.11897078399881984</v>
      </c>
    </row>
    <row r="133" spans="3:8" ht="14.45" hidden="1" x14ac:dyDescent="0.3">
      <c r="C133" s="382">
        <f t="shared" si="10"/>
        <v>9.8378613128142806E-2</v>
      </c>
      <c r="D133" s="382">
        <f t="shared" si="6"/>
        <v>0.94543477338436299</v>
      </c>
      <c r="E133" s="382">
        <f t="shared" si="7"/>
        <v>0.9807369674461307</v>
      </c>
      <c r="F133">
        <f t="shared" si="5"/>
        <v>7.5</v>
      </c>
      <c r="G133">
        <f t="shared" si="8"/>
        <v>0.73783959846107106</v>
      </c>
      <c r="H133">
        <f t="shared" ca="1" si="9"/>
        <v>-0.11853018783377403</v>
      </c>
    </row>
    <row r="134" spans="3:8" ht="14.45" hidden="1" x14ac:dyDescent="0.3">
      <c r="C134" s="382">
        <f t="shared" si="10"/>
        <v>0.10930957014238089</v>
      </c>
      <c r="D134" s="382">
        <f t="shared" si="6"/>
        <v>0.93515334024482355</v>
      </c>
      <c r="E134" s="382">
        <f t="shared" si="7"/>
        <v>0.97624560436536689</v>
      </c>
      <c r="F134">
        <f t="shared" si="5"/>
        <v>7.5</v>
      </c>
      <c r="G134">
        <f t="shared" si="8"/>
        <v>0.81982177606785667</v>
      </c>
      <c r="H134">
        <f t="shared" ca="1" si="9"/>
        <v>-0.11798736939492299</v>
      </c>
    </row>
    <row r="135" spans="3:8" ht="14.45" hidden="1" x14ac:dyDescent="0.3">
      <c r="C135" s="382">
        <f t="shared" si="10"/>
        <v>0.12145507793597876</v>
      </c>
      <c r="D135" s="382">
        <f t="shared" si="6"/>
        <v>0.92305081209000328</v>
      </c>
      <c r="E135" s="382">
        <f t="shared" si="7"/>
        <v>0.97071492999963038</v>
      </c>
      <c r="F135">
        <f t="shared" si="5"/>
        <v>7.5</v>
      </c>
      <c r="G135">
        <f t="shared" si="8"/>
        <v>0.91091308451984077</v>
      </c>
      <c r="H135">
        <f t="shared" ca="1" si="9"/>
        <v>-0.11731894157668213</v>
      </c>
    </row>
    <row r="136" spans="3:8" ht="14.45" hidden="1" x14ac:dyDescent="0.3">
      <c r="C136" s="382">
        <f t="shared" si="10"/>
        <v>0.13495008659553195</v>
      </c>
      <c r="D136" s="382">
        <f t="shared" si="6"/>
        <v>0.90883855409386027</v>
      </c>
      <c r="E136" s="382">
        <f t="shared" si="7"/>
        <v>0.96390860793030853</v>
      </c>
      <c r="F136">
        <f t="shared" si="5"/>
        <v>7.5</v>
      </c>
      <c r="G136">
        <f t="shared" si="8"/>
        <v>1.0121256494664896</v>
      </c>
      <c r="H136">
        <f t="shared" ca="1" si="9"/>
        <v>-0.11649634116483602</v>
      </c>
    </row>
    <row r="137" spans="3:8" ht="14.45" hidden="1" x14ac:dyDescent="0.3">
      <c r="C137" s="382">
        <f t="shared" si="10"/>
        <v>0.14994454066170218</v>
      </c>
      <c r="D137" s="382">
        <f t="shared" si="6"/>
        <v>0.89219272297218477</v>
      </c>
      <c r="E137" s="382">
        <f t="shared" si="7"/>
        <v>0.95553877116555752</v>
      </c>
      <c r="F137">
        <f t="shared" si="5"/>
        <v>7.5</v>
      </c>
      <c r="G137">
        <f t="shared" si="8"/>
        <v>1.1245840549627664</v>
      </c>
      <c r="H137">
        <f t="shared" ca="1" si="9"/>
        <v>-0.11548477704846814</v>
      </c>
    </row>
    <row r="138" spans="3:8" ht="14.45" hidden="1" x14ac:dyDescent="0.3">
      <c r="C138" s="382">
        <f t="shared" si="10"/>
        <v>0.16660504517966909</v>
      </c>
      <c r="D138" s="382">
        <f t="shared" si="6"/>
        <v>0.87275363072866785</v>
      </c>
      <c r="E138" s="382">
        <f t="shared" si="7"/>
        <v>0.94525598227369634</v>
      </c>
      <c r="F138">
        <f t="shared" si="5"/>
        <v>7.5</v>
      </c>
      <c r="G138">
        <f t="shared" si="8"/>
        <v>1.2495378388475182</v>
      </c>
      <c r="H138">
        <f t="shared" ca="1" si="9"/>
        <v>-0.114242016818902</v>
      </c>
    </row>
    <row r="139" spans="3:8" ht="14.45" hidden="1" x14ac:dyDescent="0.3">
      <c r="C139" s="382">
        <f t="shared" si="10"/>
        <v>0.18511671686629899</v>
      </c>
      <c r="D139" s="382">
        <f t="shared" si="6"/>
        <v>0.85012674715478931</v>
      </c>
      <c r="E139" s="382">
        <f t="shared" si="7"/>
        <v>0.93263791172662358</v>
      </c>
      <c r="F139">
        <f t="shared" si="5"/>
        <v>7.5</v>
      </c>
      <c r="G139">
        <f t="shared" si="8"/>
        <v>1.3883753764972424</v>
      </c>
      <c r="H139">
        <f t="shared" ca="1" si="9"/>
        <v>-0.11271701845370426</v>
      </c>
    </row>
    <row r="140" spans="3:8" ht="14.45" hidden="1" x14ac:dyDescent="0.3">
      <c r="C140" s="382">
        <f t="shared" si="10"/>
        <v>0.20568524096255442</v>
      </c>
      <c r="D140" s="382">
        <f t="shared" si="6"/>
        <v>0.82388614488963685</v>
      </c>
      <c r="E140" s="382">
        <f t="shared" si="7"/>
        <v>0.91717699633394223</v>
      </c>
      <c r="F140">
        <f t="shared" si="5"/>
        <v>7.5</v>
      </c>
      <c r="G140">
        <f t="shared" si="8"/>
        <v>1.5426393072191582</v>
      </c>
      <c r="H140">
        <f t="shared" ca="1" si="9"/>
        <v>-0.11084843873619986</v>
      </c>
    </row>
    <row r="141" spans="3:8" ht="14.45" hidden="1" x14ac:dyDescent="0.3">
      <c r="C141" s="382">
        <f t="shared" si="10"/>
        <v>0.22853915662506047</v>
      </c>
      <c r="D141" s="382">
        <f t="shared" si="6"/>
        <v>0.79358147777232491</v>
      </c>
      <c r="E141" s="382">
        <f t="shared" si="7"/>
        <v>0.89826769594097744</v>
      </c>
      <c r="F141">
        <f t="shared" si="5"/>
        <v>7.5</v>
      </c>
      <c r="G141">
        <f t="shared" si="8"/>
        <v>1.7140436746879535</v>
      </c>
      <c r="H141">
        <f t="shared" ca="1" si="9"/>
        <v>-0.10856309312185043</v>
      </c>
    </row>
    <row r="142" spans="3:8" ht="14.45" hidden="1" x14ac:dyDescent="0.3">
      <c r="C142" s="382">
        <f t="shared" si="10"/>
        <v>0.25393239625006719</v>
      </c>
      <c r="D142" s="382">
        <f t="shared" si="6"/>
        <v>0.75874996052664168</v>
      </c>
      <c r="E142" s="382">
        <f t="shared" si="7"/>
        <v>0.87519456098630877</v>
      </c>
      <c r="F142">
        <f t="shared" si="5"/>
        <v>7.5</v>
      </c>
      <c r="G142">
        <f t="shared" si="8"/>
        <v>1.9044929718755039</v>
      </c>
      <c r="H142">
        <f t="shared" ca="1" si="9"/>
        <v>-0.10577451360372278</v>
      </c>
    </row>
    <row r="143" spans="3:8" ht="14.45" hidden="1" x14ac:dyDescent="0.3">
      <c r="C143" s="382">
        <f t="shared" si="10"/>
        <v>0.28214710694451911</v>
      </c>
      <c r="D143" s="382">
        <f t="shared" si="6"/>
        <v>0.71893531211832729</v>
      </c>
      <c r="E143" s="382">
        <f t="shared" si="7"/>
        <v>0.84712329293571598</v>
      </c>
      <c r="F143">
        <f t="shared" si="5"/>
        <v>7.5</v>
      </c>
      <c r="G143">
        <f t="shared" si="8"/>
        <v>2.1161033020838933</v>
      </c>
      <c r="H143">
        <f t="shared" ca="1" si="9"/>
        <v>-0.10238186829186781</v>
      </c>
    </row>
    <row r="144" spans="3:8" ht="14.45" hidden="1" x14ac:dyDescent="0.3">
      <c r="C144" s="382">
        <f t="shared" si="10"/>
        <v>0.31349678549391014</v>
      </c>
      <c r="D144" s="382">
        <f t="shared" si="6"/>
        <v>0.67371627054572247</v>
      </c>
      <c r="E144" s="382">
        <f t="shared" si="7"/>
        <v>0.81309853546629696</v>
      </c>
      <c r="F144">
        <f t="shared" si="5"/>
        <v>7.5</v>
      </c>
      <c r="G144">
        <f t="shared" si="8"/>
        <v>2.3512258912043258</v>
      </c>
      <c r="H144">
        <f t="shared" ca="1" si="9"/>
        <v>-9.8269694459621235E-2</v>
      </c>
    </row>
    <row r="145" spans="3:8" ht="14.45" hidden="1" x14ac:dyDescent="0.3">
      <c r="C145" s="382">
        <f t="shared" si="10"/>
        <v>0.34832976165990015</v>
      </c>
      <c r="D145" s="382">
        <f t="shared" si="6"/>
        <v>0.62274812706255622</v>
      </c>
      <c r="E145" s="382">
        <f t="shared" si="7"/>
        <v>0.77205460231977208</v>
      </c>
      <c r="F145">
        <f t="shared" si="5"/>
        <v>7.5</v>
      </c>
      <c r="G145">
        <f t="shared" si="8"/>
        <v>2.6124732124492511</v>
      </c>
      <c r="H145">
        <f t="shared" ca="1" si="9"/>
        <v>-9.3309195093554786E-2</v>
      </c>
    </row>
    <row r="146" spans="3:8" ht="14.45" hidden="1" x14ac:dyDescent="0.3">
      <c r="C146" s="382">
        <f t="shared" si="10"/>
        <v>0.38703306851100017</v>
      </c>
      <c r="D146" s="382">
        <f t="shared" si="6"/>
        <v>0.56582181877094739</v>
      </c>
      <c r="E146" s="382">
        <f t="shared" si="7"/>
        <v>0.72284922878498459</v>
      </c>
      <c r="F146">
        <f t="shared" si="5"/>
        <v>7.5</v>
      </c>
      <c r="G146">
        <f t="shared" si="8"/>
        <v>2.9027480138325013</v>
      </c>
      <c r="H146">
        <f t="shared" ca="1" si="9"/>
        <v>-8.7362318039764394E-2</v>
      </c>
    </row>
    <row r="147" spans="3:8" ht="14.45" hidden="1" x14ac:dyDescent="0.3">
      <c r="C147" s="382">
        <f t="shared" si="10"/>
        <v>0.43003674279000015</v>
      </c>
      <c r="D147" s="382">
        <f t="shared" si="6"/>
        <v>0.50294653154454916</v>
      </c>
      <c r="E147" s="382">
        <f t="shared" si="7"/>
        <v>0.66433649643496417</v>
      </c>
      <c r="F147">
        <f t="shared" si="5"/>
        <v>7.5</v>
      </c>
      <c r="G147">
        <f t="shared" si="8"/>
        <v>3.2252755709250009</v>
      </c>
      <c r="H147">
        <f t="shared" ca="1" si="9"/>
        <v>-8.0290569562519176E-2</v>
      </c>
    </row>
    <row r="148" spans="3:8" ht="14.45" hidden="1" x14ac:dyDescent="0.3">
      <c r="C148" s="382">
        <f t="shared" si="10"/>
        <v>0.47781860310000013</v>
      </c>
      <c r="D148" s="382">
        <f t="shared" si="6"/>
        <v>0.43446359142085378</v>
      </c>
      <c r="E148" s="382">
        <f t="shared" si="7"/>
        <v>0.59550450311194725</v>
      </c>
      <c r="F148">
        <f t="shared" si="5"/>
        <v>7.5</v>
      </c>
      <c r="G148">
        <f t="shared" si="8"/>
        <v>3.5836395232500009</v>
      </c>
      <c r="H148">
        <f t="shared" ca="1" si="9"/>
        <v>-7.1971652902534697E-2</v>
      </c>
    </row>
    <row r="149" spans="3:8" ht="14.45" hidden="1" x14ac:dyDescent="0.3">
      <c r="C149" s="382">
        <f t="shared" si="10"/>
        <v>0.53090955900000014</v>
      </c>
      <c r="D149" s="382">
        <f t="shared" si="6"/>
        <v>0.36120177801742703</v>
      </c>
      <c r="E149" s="382">
        <f t="shared" si="7"/>
        <v>0.51571793590908832</v>
      </c>
      <c r="F149">
        <f t="shared" si="5"/>
        <v>7.5</v>
      </c>
      <c r="G149">
        <f t="shared" si="8"/>
        <v>3.981821692500001</v>
      </c>
      <c r="H149">
        <f t="shared" ca="1" si="9"/>
        <v>-6.2328785231508151E-2</v>
      </c>
    </row>
    <row r="150" spans="3:8" ht="14.45" hidden="1" x14ac:dyDescent="0.3">
      <c r="C150" s="382">
        <f t="shared" si="10"/>
        <v>0.58989951000000018</v>
      </c>
      <c r="D150" s="382">
        <f t="shared" si="6"/>
        <v>0.2846872259828962</v>
      </c>
      <c r="E150" s="382">
        <f t="shared" si="7"/>
        <v>0.42512821314946897</v>
      </c>
      <c r="F150">
        <f t="shared" si="5"/>
        <v>7.5</v>
      </c>
      <c r="G150">
        <f t="shared" si="8"/>
        <v>4.4242463250000013</v>
      </c>
      <c r="H150">
        <f t="shared" ca="1" si="9"/>
        <v>-5.1380266708271199E-2</v>
      </c>
    </row>
    <row r="151" spans="3:8" ht="14.45" hidden="1" x14ac:dyDescent="0.3">
      <c r="C151" s="382">
        <f t="shared" si="10"/>
        <v>0.65544390000000019</v>
      </c>
      <c r="D151" s="382">
        <f t="shared" si="6"/>
        <v>0.20742497801381587</v>
      </c>
      <c r="E151" s="382">
        <f t="shared" si="7"/>
        <v>0.32534850978631369</v>
      </c>
      <c r="F151">
        <f t="shared" si="5"/>
        <v>7.5</v>
      </c>
      <c r="G151">
        <f t="shared" si="8"/>
        <v>4.9158292500000016</v>
      </c>
      <c r="H151">
        <f t="shared" ca="1" si="9"/>
        <v>-3.9321062890930979E-2</v>
      </c>
    </row>
    <row r="152" spans="3:8" ht="14.45" hidden="1" x14ac:dyDescent="0.3">
      <c r="C152" s="382">
        <f t="shared" si="10"/>
        <v>0.72827100000000022</v>
      </c>
      <c r="D152" s="382">
        <f t="shared" si="6"/>
        <v>0.13327425453358566</v>
      </c>
      <c r="E152" s="382">
        <f t="shared" si="7"/>
        <v>0.22054421290085885</v>
      </c>
      <c r="F152">
        <f t="shared" si="5"/>
        <v>7.5</v>
      </c>
      <c r="G152">
        <f t="shared" si="8"/>
        <v>5.4620325000000021</v>
      </c>
      <c r="H152">
        <f t="shared" ca="1" si="9"/>
        <v>-2.6654595318113688E-2</v>
      </c>
    </row>
    <row r="153" spans="3:8" ht="14.45" hidden="1" x14ac:dyDescent="0.3">
      <c r="C153" s="382">
        <f t="shared" si="10"/>
        <v>0.80919000000000019</v>
      </c>
      <c r="D153" s="382">
        <f t="shared" si="6"/>
        <v>6.7945914236538618E-2</v>
      </c>
      <c r="E153" s="382">
        <f t="shared" si="7"/>
        <v>0.11917101004182146</v>
      </c>
      <c r="F153">
        <f t="shared" si="5"/>
        <v>7.5</v>
      </c>
      <c r="G153">
        <f t="shared" si="8"/>
        <v>6.068925000000001</v>
      </c>
      <c r="H153">
        <f t="shared" ca="1" si="9"/>
        <v>-1.4402803884695555E-2</v>
      </c>
    </row>
    <row r="154" spans="3:8" ht="14.45" hidden="1" x14ac:dyDescent="0.3">
      <c r="C154" s="382">
        <f t="shared" si="10"/>
        <v>0.89910000000000023</v>
      </c>
      <c r="D154" s="382">
        <f t="shared" si="6"/>
        <v>1.9658781480882292E-2</v>
      </c>
      <c r="E154" s="382">
        <f t="shared" si="7"/>
        <v>3.6717913976255949E-2</v>
      </c>
      <c r="F154">
        <f t="shared" si="5"/>
        <v>7.5</v>
      </c>
      <c r="G154">
        <f t="shared" si="8"/>
        <v>6.7432500000000015</v>
      </c>
      <c r="H154">
        <f t="shared" ca="1" si="9"/>
        <v>-4.4376641086581944E-3</v>
      </c>
    </row>
    <row r="155" spans="3:8" ht="14.45" hidden="1" x14ac:dyDescent="0.3">
      <c r="C155" s="382">
        <f t="shared" si="10"/>
        <v>0.99900000000000022</v>
      </c>
      <c r="D155" s="382">
        <f t="shared" si="6"/>
        <v>1.9993331662471192E-6</v>
      </c>
      <c r="E155" s="382">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8:F8">
    <cfRule type="expression" dxfId="2" priority="3">
      <formula>$E$7&lt;&gt;"circular"</formula>
    </cfRule>
  </conditionalFormatting>
  <conditionalFormatting sqref="E9:F9 E10">
    <cfRule type="expression" dxfId="1" priority="2">
      <formula>$E$7&lt;&gt;"rectangular"</formula>
    </cfRule>
  </conditionalFormatting>
  <conditionalFormatting sqref="E15:E16">
    <cfRule type="expression" dxfId="0" priority="1">
      <formula>$E$12&lt;&gt;"Other"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5" x14ac:dyDescent="0.25"/>
  <cols>
    <col min="2" max="2" width="5.5703125" customWidth="1"/>
    <col min="3" max="3" width="23.28515625" customWidth="1"/>
    <col min="4" max="4" width="17.42578125" customWidth="1"/>
    <col min="5" max="5" width="7.42578125" customWidth="1"/>
    <col min="7" max="7" width="20.7109375" bestFit="1" customWidth="1"/>
    <col min="8" max="8" width="10" bestFit="1" customWidth="1"/>
    <col min="10" max="10" width="38.5703125" customWidth="1"/>
  </cols>
  <sheetData>
    <row r="2" spans="2:12" ht="18" x14ac:dyDescent="0.35">
      <c r="B2" s="4" t="s">
        <v>328</v>
      </c>
      <c r="E2" s="20" t="s">
        <v>199</v>
      </c>
      <c r="K2" s="14"/>
      <c r="L2" s="14"/>
    </row>
    <row r="3" spans="2:12" ht="14.45" x14ac:dyDescent="0.3">
      <c r="B3" s="29"/>
      <c r="C3" s="30" t="s">
        <v>170</v>
      </c>
      <c r="D3" s="29"/>
      <c r="E3" s="29"/>
      <c r="F3" s="13"/>
      <c r="G3" s="29"/>
      <c r="H3" s="29"/>
      <c r="I3" s="29"/>
      <c r="J3" s="29"/>
      <c r="K3" s="14"/>
      <c r="L3" s="14"/>
    </row>
    <row r="4" spans="2:12" ht="14.45" x14ac:dyDescent="0.3">
      <c r="B4" s="29"/>
      <c r="C4" s="30" t="s">
        <v>173</v>
      </c>
      <c r="D4" s="29"/>
      <c r="E4" s="29"/>
      <c r="F4" s="13"/>
      <c r="G4" s="29"/>
      <c r="H4" s="29"/>
      <c r="I4" s="29"/>
      <c r="J4" s="29"/>
      <c r="K4" s="14"/>
      <c r="L4" s="14"/>
    </row>
    <row r="5" spans="2:12" x14ac:dyDescent="0.25">
      <c r="B5" s="29"/>
      <c r="C5" s="30" t="s">
        <v>174</v>
      </c>
      <c r="D5" s="29"/>
      <c r="E5" s="29"/>
      <c r="F5" s="13"/>
      <c r="G5" s="29"/>
      <c r="H5" s="29"/>
      <c r="I5" s="29"/>
      <c r="J5" s="29"/>
      <c r="K5" s="14"/>
      <c r="L5" s="14"/>
    </row>
    <row r="6" spans="2:12" x14ac:dyDescent="0.25">
      <c r="B6" s="29"/>
      <c r="C6" s="30" t="s">
        <v>175</v>
      </c>
      <c r="D6" s="29"/>
      <c r="E6" s="29"/>
      <c r="F6" s="13"/>
      <c r="G6" s="29"/>
      <c r="H6" s="29"/>
      <c r="I6" s="29"/>
      <c r="J6" s="29"/>
      <c r="K6" s="14"/>
      <c r="L6" s="14"/>
    </row>
    <row r="7" spans="2:12" x14ac:dyDescent="0.25">
      <c r="B7" s="29"/>
      <c r="C7" s="30" t="s">
        <v>176</v>
      </c>
      <c r="D7" s="29"/>
      <c r="E7" s="29"/>
      <c r="F7" s="13"/>
      <c r="G7" s="29"/>
      <c r="H7" s="29"/>
      <c r="I7" s="29"/>
      <c r="J7" s="29"/>
      <c r="K7" s="14"/>
      <c r="L7" s="14"/>
    </row>
    <row r="8" spans="2:12" x14ac:dyDescent="0.25">
      <c r="B8" s="29"/>
      <c r="C8" s="389" t="s">
        <v>375</v>
      </c>
      <c r="D8" s="29"/>
      <c r="E8" s="29"/>
      <c r="F8" s="13"/>
      <c r="G8" s="29"/>
      <c r="H8" s="29"/>
      <c r="I8" s="29"/>
      <c r="J8" s="29"/>
      <c r="K8" s="14"/>
      <c r="L8" s="14"/>
    </row>
    <row r="9" spans="2:12" x14ac:dyDescent="0.25">
      <c r="B9" s="29"/>
      <c r="C9" s="36" t="s">
        <v>181</v>
      </c>
      <c r="D9" s="29"/>
      <c r="E9" s="29"/>
      <c r="F9" s="13"/>
      <c r="G9" s="29"/>
      <c r="H9" s="29"/>
      <c r="I9" s="29"/>
      <c r="J9" s="29"/>
      <c r="K9" s="14"/>
      <c r="L9" s="14"/>
    </row>
    <row r="10" spans="2:12" x14ac:dyDescent="0.25">
      <c r="B10" s="29"/>
      <c r="C10" s="36"/>
      <c r="D10" s="29"/>
      <c r="E10" s="29"/>
      <c r="F10" s="13"/>
      <c r="G10" s="29"/>
      <c r="H10" s="29"/>
      <c r="I10" s="29"/>
      <c r="J10" s="29"/>
      <c r="K10" s="14"/>
      <c r="L10" s="14"/>
    </row>
    <row r="11" spans="2:12" ht="15.75" customHeight="1" x14ac:dyDescent="0.25">
      <c r="B11" s="29"/>
      <c r="C11" s="29" t="s">
        <v>224</v>
      </c>
      <c r="D11" s="390" t="s">
        <v>225</v>
      </c>
      <c r="E11" s="29"/>
      <c r="F11" s="13"/>
      <c r="G11" s="29"/>
      <c r="H11" s="29"/>
      <c r="I11" s="29"/>
      <c r="J11" s="29"/>
      <c r="K11" s="14"/>
      <c r="L11" s="14"/>
    </row>
    <row r="12" spans="2:12" ht="15.75" customHeight="1" x14ac:dyDescent="0.25">
      <c r="B12" s="29"/>
      <c r="C12" s="29"/>
      <c r="D12" s="29"/>
      <c r="E12" s="29"/>
      <c r="F12" s="13"/>
      <c r="G12" s="29"/>
      <c r="H12" s="29"/>
      <c r="I12" s="29"/>
      <c r="J12" s="29"/>
      <c r="K12" s="14"/>
      <c r="L12" s="14"/>
    </row>
    <row r="13" spans="2:12" ht="18" customHeight="1" x14ac:dyDescent="0.25">
      <c r="B13" s="39" t="s">
        <v>85</v>
      </c>
      <c r="C13" s="39"/>
      <c r="D13" s="39"/>
      <c r="E13" s="39"/>
      <c r="G13" s="29"/>
      <c r="H13" s="29"/>
      <c r="I13" s="29"/>
      <c r="J13" s="29"/>
      <c r="K13" s="14"/>
      <c r="L13" s="14"/>
    </row>
    <row r="14" spans="2:12" x14ac:dyDescent="0.25">
      <c r="B14" s="13"/>
      <c r="C14" s="13"/>
      <c r="D14" s="13"/>
      <c r="E14" s="13"/>
    </row>
    <row r="15" spans="2:12" x14ac:dyDescent="0.25">
      <c r="B15" s="31" t="s">
        <v>171</v>
      </c>
      <c r="C15" s="13"/>
      <c r="D15" s="13"/>
      <c r="E15" s="13"/>
    </row>
    <row r="16" spans="2:12" x14ac:dyDescent="0.25">
      <c r="B16" s="32" t="s">
        <v>89</v>
      </c>
      <c r="C16" s="13" t="s">
        <v>90</v>
      </c>
      <c r="D16" s="279">
        <v>6</v>
      </c>
      <c r="E16" s="45" t="s">
        <v>34</v>
      </c>
    </row>
    <row r="17" spans="2:7" ht="15" hidden="1" customHeight="1" x14ac:dyDescent="0.3">
      <c r="B17" s="32"/>
      <c r="C17" s="13"/>
      <c r="D17" s="280">
        <f>IF(E16="mm",D16,IF(E16="inch",D16*25.4))</f>
        <v>6</v>
      </c>
      <c r="E17" s="281" t="s">
        <v>34</v>
      </c>
    </row>
    <row r="18" spans="2:7" x14ac:dyDescent="0.25">
      <c r="B18" s="32" t="s">
        <v>32</v>
      </c>
      <c r="C18" s="13" t="s">
        <v>91</v>
      </c>
      <c r="D18" s="279">
        <v>35</v>
      </c>
      <c r="E18" s="184"/>
    </row>
    <row r="19" spans="2:7" x14ac:dyDescent="0.25">
      <c r="B19" s="32" t="s">
        <v>74</v>
      </c>
      <c r="C19" s="13" t="s">
        <v>92</v>
      </c>
      <c r="D19" s="279">
        <v>8</v>
      </c>
      <c r="E19" s="45" t="s">
        <v>34</v>
      </c>
    </row>
    <row r="20" spans="2:7" ht="18.75" hidden="1" customHeight="1" x14ac:dyDescent="0.3">
      <c r="B20" s="32"/>
      <c r="C20" s="13"/>
      <c r="D20" s="81">
        <f>IF(E19="mm",D19,IF(E16="inch",D19*25.4))</f>
        <v>8</v>
      </c>
      <c r="E20" s="59" t="s">
        <v>34</v>
      </c>
    </row>
    <row r="21" spans="2:7" x14ac:dyDescent="0.25">
      <c r="B21" s="32" t="s">
        <v>69</v>
      </c>
      <c r="C21" s="13" t="s">
        <v>172</v>
      </c>
      <c r="D21" s="40">
        <f>((D16/1000)^2*D18^2)/((D19/1000)+0.45*(D16/1000))</f>
        <v>4.121495327102803</v>
      </c>
      <c r="E21" s="13" t="s">
        <v>160</v>
      </c>
    </row>
    <row r="22" spans="2:7" x14ac:dyDescent="0.25">
      <c r="B22" s="13"/>
      <c r="C22" s="13"/>
      <c r="D22" s="13"/>
      <c r="E22" s="13"/>
    </row>
    <row r="23" spans="2:7" x14ac:dyDescent="0.25">
      <c r="B23" s="31" t="s">
        <v>177</v>
      </c>
      <c r="C23" s="13"/>
      <c r="D23" s="13"/>
      <c r="E23" s="13"/>
    </row>
    <row r="24" spans="2:7" x14ac:dyDescent="0.25">
      <c r="B24" s="32" t="s">
        <v>89</v>
      </c>
      <c r="C24" s="13" t="s">
        <v>90</v>
      </c>
      <c r="D24" s="279">
        <v>6</v>
      </c>
      <c r="E24" s="45" t="s">
        <v>34</v>
      </c>
    </row>
    <row r="25" spans="2:7" ht="13.5" hidden="1" customHeight="1" x14ac:dyDescent="0.3">
      <c r="B25" s="32"/>
      <c r="C25" s="13"/>
      <c r="D25" s="282">
        <f>IF(E24="mm",D24,IF(E24="inch",D24*25.4))</f>
        <v>6</v>
      </c>
      <c r="E25" s="283" t="s">
        <v>34</v>
      </c>
    </row>
    <row r="26" spans="2:7" x14ac:dyDescent="0.25">
      <c r="B26" s="32" t="s">
        <v>32</v>
      </c>
      <c r="C26" s="13" t="s">
        <v>91</v>
      </c>
      <c r="D26" s="279">
        <v>35</v>
      </c>
      <c r="E26" s="184"/>
    </row>
    <row r="27" spans="2:7" x14ac:dyDescent="0.25">
      <c r="B27" s="32" t="s">
        <v>74</v>
      </c>
      <c r="C27" s="13" t="s">
        <v>92</v>
      </c>
      <c r="D27" s="279">
        <v>11</v>
      </c>
      <c r="E27" s="45" t="s">
        <v>34</v>
      </c>
    </row>
    <row r="28" spans="2:7" ht="15.75" hidden="1" customHeight="1" x14ac:dyDescent="0.3">
      <c r="B28" s="32"/>
      <c r="C28" s="13"/>
      <c r="D28" s="82">
        <f>IF(E27="mm",D27,IF(E24="inch",D27*25.4))</f>
        <v>11</v>
      </c>
      <c r="E28" s="33" t="s">
        <v>34</v>
      </c>
    </row>
    <row r="29" spans="2:7" x14ac:dyDescent="0.25">
      <c r="B29" s="32" t="s">
        <v>69</v>
      </c>
      <c r="C29" s="13" t="s">
        <v>172</v>
      </c>
      <c r="D29" s="40">
        <f>((D24/1000)^2*D26^2)/((D27/1000)+0.45*(D24/1000))</f>
        <v>3.218978102189781</v>
      </c>
      <c r="E29" s="13" t="s">
        <v>160</v>
      </c>
    </row>
    <row r="30" spans="2:7" x14ac:dyDescent="0.25">
      <c r="B30" s="32"/>
      <c r="C30" s="13"/>
      <c r="D30" s="34"/>
      <c r="E30" s="13"/>
      <c r="F30" s="13"/>
      <c r="G30" s="13"/>
    </row>
    <row r="31" spans="2:7" x14ac:dyDescent="0.25">
      <c r="C31" s="13"/>
      <c r="D31" s="13"/>
      <c r="E31" s="13"/>
      <c r="F31" s="13"/>
      <c r="G31" s="13"/>
    </row>
    <row r="32" spans="2:7" x14ac:dyDescent="0.25">
      <c r="C32" s="13" t="s">
        <v>159</v>
      </c>
      <c r="D32" s="279">
        <v>900</v>
      </c>
      <c r="E32" s="13" t="s">
        <v>27</v>
      </c>
      <c r="F32" s="13"/>
      <c r="G32" s="13"/>
    </row>
    <row r="33" spans="2:9" x14ac:dyDescent="0.25">
      <c r="C33" s="13" t="s">
        <v>178</v>
      </c>
      <c r="D33" s="50">
        <f>MIN(D21,D29)+D35</f>
        <v>3.218978102189781</v>
      </c>
      <c r="E33" s="13" t="s">
        <v>160</v>
      </c>
      <c r="F33" s="13" t="s">
        <v>180</v>
      </c>
      <c r="G33" s="13"/>
    </row>
    <row r="34" spans="2:9" x14ac:dyDescent="0.25">
      <c r="C34" s="13" t="s">
        <v>179</v>
      </c>
      <c r="D34" s="50">
        <f>MAX(D21,D29)+D35</f>
        <v>4.121495327102803</v>
      </c>
      <c r="E34" s="13" t="s">
        <v>160</v>
      </c>
      <c r="F34" s="13" t="s">
        <v>180</v>
      </c>
      <c r="G34" s="13"/>
    </row>
    <row r="35" spans="2:9" x14ac:dyDescent="0.25">
      <c r="C35" s="13" t="s">
        <v>86</v>
      </c>
      <c r="D35" s="284">
        <v>0</v>
      </c>
      <c r="E35" s="13" t="s">
        <v>160</v>
      </c>
      <c r="F35" s="31" t="s">
        <v>162</v>
      </c>
      <c r="G35" s="13"/>
    </row>
    <row r="36" spans="2:9" x14ac:dyDescent="0.25">
      <c r="C36" s="13" t="s">
        <v>87</v>
      </c>
      <c r="D36" s="40">
        <f>1/(2*PI()*SQRT((D33+D35)*0.000001*(D32+D35)*0.000000000001))/1000000</f>
        <v>2.9569219812671341</v>
      </c>
      <c r="E36" s="13" t="s">
        <v>0</v>
      </c>
      <c r="F36" s="13" t="str">
        <f>TEXT(H36*1000,0)&amp;"kHz &lt;= fSENSOR &lt;="&amp;TEXT(I36,0)&amp;"MHz"</f>
        <v>10kHz &lt;= fSENSOR &lt;=10MHz</v>
      </c>
      <c r="G36" s="13"/>
      <c r="H36" s="43">
        <f>IF(D11="LDC1000/LDC1041",0.005,0.01)</f>
        <v>0.01</v>
      </c>
      <c r="I36" s="44">
        <f>IF(D11="LDC1000/LDC1041",5,10)</f>
        <v>10</v>
      </c>
    </row>
    <row r="37" spans="2:9" x14ac:dyDescent="0.25">
      <c r="C37" s="13" t="s">
        <v>88</v>
      </c>
      <c r="D37" s="40">
        <f>1/(2*PI()*SQRT((D34+D35)*0.000001*(D32+D35)*0.000000000001))/1000000</f>
        <v>2.6131929089181876</v>
      </c>
      <c r="E37" s="13" t="s">
        <v>0</v>
      </c>
      <c r="F37" s="13" t="str">
        <f>TEXT(H36*1000,0)&amp;"kHz &lt;= fSENSOR &lt;="&amp;TEXT(I36,0)&amp;"MHz"</f>
        <v>10kHz &lt;= fSENSOR &lt;=10MHz</v>
      </c>
      <c r="G37" s="13"/>
    </row>
    <row r="38" spans="2:9" x14ac:dyDescent="0.25">
      <c r="C38" s="13" t="s">
        <v>161</v>
      </c>
      <c r="D38" s="41">
        <f>(D37-D36)*1000</f>
        <v>-343.72907234894654</v>
      </c>
      <c r="E38" s="25" t="s">
        <v>72</v>
      </c>
      <c r="F38" s="13"/>
      <c r="G38" s="13"/>
    </row>
    <row r="39" spans="2:9" x14ac:dyDescent="0.25">
      <c r="C39" s="13"/>
      <c r="D39" s="13"/>
      <c r="E39" s="13"/>
      <c r="F39" s="13"/>
      <c r="G39" s="13"/>
    </row>
    <row r="40" spans="2:9" x14ac:dyDescent="0.25">
      <c r="B40" s="13"/>
      <c r="C40" s="13"/>
      <c r="D40" s="13"/>
      <c r="E40" s="13"/>
      <c r="F40" s="13"/>
      <c r="G40" s="13"/>
    </row>
    <row r="41" spans="2:9" x14ac:dyDescent="0.25">
      <c r="B41" s="13"/>
      <c r="C41" s="31" t="s">
        <v>182</v>
      </c>
      <c r="D41" s="13"/>
      <c r="E41" s="13"/>
      <c r="F41" s="13"/>
      <c r="G41" s="13"/>
    </row>
    <row r="42" spans="2:9" x14ac:dyDescent="0.25">
      <c r="B42" s="13"/>
      <c r="C42" s="13" t="s">
        <v>219</v>
      </c>
      <c r="D42" s="279">
        <v>6144</v>
      </c>
      <c r="E42" s="13"/>
      <c r="F42" t="s">
        <v>166</v>
      </c>
      <c r="G42" s="13"/>
    </row>
    <row r="43" spans="2:9" x14ac:dyDescent="0.25">
      <c r="B43" s="13"/>
      <c r="C43" s="13" t="s">
        <v>19</v>
      </c>
      <c r="D43" s="284">
        <v>8</v>
      </c>
      <c r="E43" s="13" t="s">
        <v>0</v>
      </c>
      <c r="F43" s="13"/>
      <c r="G43" s="13"/>
    </row>
    <row r="44" spans="2:9" ht="15.75" x14ac:dyDescent="0.25">
      <c r="B44" s="13"/>
      <c r="C44" s="13" t="s">
        <v>93</v>
      </c>
      <c r="D44" s="42">
        <f>ABS(FLOOR(0.333333*(D42*((D43/D36)-(D43/D37))),1))</f>
        <v>729</v>
      </c>
      <c r="E44" s="13"/>
      <c r="F44" s="13"/>
      <c r="G44" s="13"/>
    </row>
    <row r="45" spans="2:9" x14ac:dyDescent="0.25">
      <c r="B45" s="13"/>
      <c r="C45" s="25" t="s">
        <v>223</v>
      </c>
      <c r="D45" s="27">
        <f>1000*MIN(D36,D37)*3/D42</f>
        <v>1.2759731000577088</v>
      </c>
      <c r="E45" s="13" t="s">
        <v>202</v>
      </c>
      <c r="F45" s="13"/>
      <c r="G45" s="13"/>
    </row>
    <row r="46" spans="2:9" x14ac:dyDescent="0.25">
      <c r="B46" s="13"/>
      <c r="C46" s="25"/>
      <c r="D46" s="13"/>
      <c r="E46" s="13"/>
      <c r="F46" s="13"/>
      <c r="G46" s="13"/>
    </row>
    <row r="47" spans="2:9" x14ac:dyDescent="0.25">
      <c r="C47" s="58" t="s">
        <v>254</v>
      </c>
    </row>
    <row r="48" spans="2:9" x14ac:dyDescent="0.25">
      <c r="C48" s="25" t="s">
        <v>19</v>
      </c>
      <c r="D48" s="152">
        <v>40</v>
      </c>
      <c r="E48" t="s">
        <v>0</v>
      </c>
    </row>
    <row r="49" spans="3:5" x14ac:dyDescent="0.25">
      <c r="C49" s="25" t="s">
        <v>609</v>
      </c>
      <c r="D49" s="45">
        <v>65535</v>
      </c>
      <c r="E49" t="s">
        <v>226</v>
      </c>
    </row>
    <row r="50" spans="3:5" x14ac:dyDescent="0.25">
      <c r="C50" s="25" t="s">
        <v>608</v>
      </c>
      <c r="D50" s="122" t="str">
        <f>"0x"&amp;DEC2HEX(CEILING(D49,1),4)</f>
        <v>0xFFFF</v>
      </c>
      <c r="E50" t="s">
        <v>346</v>
      </c>
    </row>
    <row r="51" spans="3:5" x14ac:dyDescent="0.25">
      <c r="C51" s="25" t="s">
        <v>227</v>
      </c>
      <c r="D51" s="350">
        <f>ROUND(4*D49*16*ABS(D38*1000)/D48/1000000,0)</f>
        <v>36042</v>
      </c>
    </row>
    <row r="52" spans="3:5" x14ac:dyDescent="0.25">
      <c r="C52" s="25" t="s">
        <v>221</v>
      </c>
      <c r="D52" s="35">
        <f>D49*16/D48</f>
        <v>26214</v>
      </c>
      <c r="E52" s="19" t="s">
        <v>222</v>
      </c>
    </row>
    <row r="53" spans="3:5" x14ac:dyDescent="0.25">
      <c r="C53" s="25" t="s">
        <v>201</v>
      </c>
      <c r="D53" s="27">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zoomScaleNormal="100" workbookViewId="0">
      <selection activeCell="H24" sqref="H24"/>
    </sheetView>
  </sheetViews>
  <sheetFormatPr defaultColWidth="9.140625" defaultRowHeight="15" x14ac:dyDescent="0.25"/>
  <cols>
    <col min="1" max="1" width="9.140625" style="2"/>
    <col min="2" max="2" width="5.140625" style="2" customWidth="1"/>
    <col min="3" max="3" width="23" style="2" customWidth="1"/>
    <col min="4" max="4" width="9.5703125" style="2" bestFit="1" customWidth="1"/>
    <col min="5" max="7" width="9.140625" style="2"/>
    <col min="8" max="8" width="27.140625" style="2" customWidth="1"/>
    <col min="9" max="16384" width="9.140625" style="2"/>
  </cols>
  <sheetData>
    <row r="4" spans="2:23" ht="18" x14ac:dyDescent="0.35">
      <c r="B4" s="154" t="s">
        <v>94</v>
      </c>
      <c r="E4" s="2" t="s">
        <v>1665</v>
      </c>
    </row>
    <row r="5" spans="2:23" ht="37.5" customHeight="1" x14ac:dyDescent="0.25">
      <c r="B5" s="849" t="s">
        <v>603</v>
      </c>
      <c r="C5" s="850"/>
      <c r="D5" s="850"/>
      <c r="E5" s="850"/>
      <c r="F5" s="850"/>
      <c r="G5" s="850"/>
    </row>
    <row r="6" spans="2:23" ht="17.100000000000001" customHeight="1" x14ac:dyDescent="0.25">
      <c r="B6" s="385"/>
      <c r="C6" s="388" t="s">
        <v>708</v>
      </c>
      <c r="D6" s="387" t="s">
        <v>707</v>
      </c>
      <c r="E6" s="386"/>
      <c r="F6" s="803"/>
      <c r="G6" s="803"/>
      <c r="H6" s="330"/>
      <c r="I6" s="330"/>
      <c r="J6" s="330"/>
      <c r="K6" s="330"/>
      <c r="L6" s="330"/>
      <c r="M6" s="330"/>
      <c r="N6" s="330"/>
      <c r="O6" s="330"/>
      <c r="P6" s="330"/>
      <c r="Q6" s="330"/>
      <c r="R6" s="330"/>
      <c r="S6" s="330"/>
      <c r="T6" s="330"/>
      <c r="U6" s="330"/>
      <c r="V6" s="330"/>
      <c r="W6" s="330"/>
    </row>
    <row r="7" spans="2:23" ht="32.1" customHeight="1" x14ac:dyDescent="0.25">
      <c r="B7" s="393"/>
      <c r="C7" s="395"/>
      <c r="D7" s="387"/>
      <c r="E7" s="394"/>
      <c r="F7" s="803"/>
      <c r="G7" s="803"/>
      <c r="H7" s="330"/>
      <c r="I7" s="330"/>
      <c r="J7" s="330"/>
      <c r="K7" s="330"/>
      <c r="L7" s="330"/>
      <c r="M7" s="330"/>
      <c r="N7" s="330"/>
      <c r="O7" s="330"/>
      <c r="P7" s="330"/>
      <c r="Q7" s="330"/>
      <c r="R7" s="330"/>
      <c r="S7" s="330"/>
      <c r="T7" s="330"/>
      <c r="U7" s="330"/>
      <c r="V7" s="330"/>
      <c r="W7" s="330"/>
    </row>
    <row r="8" spans="2:23" ht="12.95" customHeight="1" x14ac:dyDescent="0.25">
      <c r="B8" s="385"/>
      <c r="C8" s="386"/>
      <c r="D8" s="386"/>
      <c r="E8" s="386"/>
      <c r="F8" s="803"/>
      <c r="G8" s="803"/>
      <c r="H8" s="330"/>
      <c r="I8" s="330"/>
      <c r="J8" s="330"/>
      <c r="K8" s="330"/>
      <c r="L8" s="330"/>
      <c r="M8" s="330"/>
      <c r="N8" s="330"/>
      <c r="O8" s="330"/>
      <c r="P8" s="330"/>
      <c r="Q8" s="330"/>
      <c r="R8" s="330"/>
      <c r="S8" s="330"/>
      <c r="T8" s="330"/>
      <c r="U8" s="330"/>
      <c r="V8" s="330"/>
      <c r="W8" s="330"/>
    </row>
    <row r="9" spans="2:23" ht="12.95" customHeight="1" x14ac:dyDescent="0.25">
      <c r="B9" s="799"/>
      <c r="C9" s="800"/>
      <c r="D9" s="800"/>
      <c r="E9" s="800"/>
      <c r="F9" s="803"/>
      <c r="G9" s="803"/>
      <c r="H9" s="330"/>
      <c r="I9" s="330"/>
      <c r="J9" s="330"/>
      <c r="K9" s="330"/>
      <c r="L9" s="330"/>
      <c r="M9" s="330"/>
      <c r="N9" s="330"/>
      <c r="O9" s="330"/>
      <c r="P9" s="330"/>
      <c r="Q9" s="330"/>
      <c r="R9" s="330"/>
      <c r="S9" s="330"/>
      <c r="T9" s="330"/>
      <c r="U9" s="330"/>
      <c r="V9" s="330"/>
      <c r="W9" s="330"/>
    </row>
    <row r="10" spans="2:23" x14ac:dyDescent="0.25">
      <c r="B10" s="2" t="s">
        <v>272</v>
      </c>
      <c r="F10" s="330"/>
      <c r="G10" s="330"/>
      <c r="H10" s="330"/>
      <c r="I10" s="330"/>
      <c r="J10" s="330"/>
      <c r="K10" s="330"/>
      <c r="L10" s="330"/>
      <c r="M10" s="330"/>
      <c r="N10" s="330"/>
      <c r="O10" s="330"/>
      <c r="P10" s="330"/>
      <c r="Q10" s="330"/>
      <c r="R10" s="330"/>
      <c r="S10" s="330"/>
      <c r="T10" s="330"/>
      <c r="U10" s="330"/>
      <c r="V10" s="330"/>
      <c r="W10" s="330"/>
    </row>
    <row r="11" spans="2:23" ht="8.25" customHeight="1" x14ac:dyDescent="0.25">
      <c r="F11" s="330"/>
      <c r="G11" s="330"/>
      <c r="H11" s="330"/>
      <c r="I11" s="330"/>
      <c r="J11" s="330"/>
      <c r="K11" s="330"/>
      <c r="L11" s="330"/>
      <c r="M11" s="330"/>
      <c r="N11" s="330"/>
      <c r="O11" s="330"/>
      <c r="P11" s="330"/>
      <c r="Q11" s="330"/>
      <c r="R11" s="330"/>
      <c r="S11" s="330"/>
      <c r="T11" s="330"/>
      <c r="U11" s="330"/>
      <c r="V11" s="330"/>
      <c r="W11" s="330"/>
    </row>
    <row r="12" spans="2:23" x14ac:dyDescent="0.25">
      <c r="C12" s="155" t="s">
        <v>704</v>
      </c>
      <c r="E12" s="792" t="s">
        <v>1643</v>
      </c>
      <c r="F12" s="330"/>
      <c r="G12" s="330"/>
      <c r="H12" s="330"/>
      <c r="I12" s="330"/>
      <c r="J12" s="330"/>
      <c r="K12" s="330"/>
      <c r="L12" s="330"/>
      <c r="M12" s="330"/>
      <c r="N12" s="330"/>
      <c r="O12" s="330"/>
      <c r="P12" s="330"/>
      <c r="Q12" s="330"/>
      <c r="R12" s="330"/>
      <c r="S12" s="330"/>
      <c r="T12" s="330"/>
      <c r="U12" s="330"/>
      <c r="V12" s="330"/>
      <c r="W12" s="330"/>
    </row>
    <row r="13" spans="2:23" x14ac:dyDescent="0.25">
      <c r="C13" s="155" t="s">
        <v>157</v>
      </c>
      <c r="F13" s="330"/>
      <c r="G13" s="330"/>
      <c r="H13" s="330"/>
      <c r="I13" s="330"/>
      <c r="J13" s="330"/>
      <c r="K13" s="330"/>
      <c r="L13" s="330"/>
      <c r="M13" s="330"/>
      <c r="N13" s="330"/>
      <c r="O13" s="330"/>
      <c r="P13" s="330"/>
      <c r="Q13" s="330"/>
      <c r="R13" s="330"/>
      <c r="S13" s="330"/>
      <c r="T13" s="330"/>
      <c r="U13" s="330"/>
      <c r="V13" s="330"/>
      <c r="W13" s="330"/>
    </row>
    <row r="14" spans="2:23" x14ac:dyDescent="0.25">
      <c r="C14" s="155" t="s">
        <v>964</v>
      </c>
      <c r="E14" s="792" t="s">
        <v>1586</v>
      </c>
      <c r="F14" s="330"/>
      <c r="G14" s="330"/>
      <c r="H14" s="330"/>
      <c r="I14" s="330"/>
      <c r="J14" s="330"/>
      <c r="K14" s="330"/>
      <c r="L14" s="330"/>
      <c r="M14" s="330"/>
      <c r="N14" s="330"/>
      <c r="O14" s="330"/>
      <c r="P14" s="330"/>
      <c r="Q14" s="330"/>
      <c r="R14" s="330"/>
      <c r="S14" s="330"/>
      <c r="T14" s="330"/>
      <c r="U14" s="330"/>
      <c r="V14" s="330"/>
      <c r="W14" s="330"/>
    </row>
    <row r="15" spans="2:23" x14ac:dyDescent="0.25">
      <c r="C15" s="155" t="s">
        <v>381</v>
      </c>
      <c r="E15" s="792" t="s">
        <v>1586</v>
      </c>
      <c r="F15" s="330"/>
      <c r="G15" s="330"/>
      <c r="H15" s="330"/>
      <c r="I15" s="330"/>
      <c r="J15" s="330"/>
      <c r="K15" s="330"/>
      <c r="L15" s="330"/>
      <c r="M15" s="330"/>
      <c r="N15" s="330"/>
      <c r="O15" s="330"/>
      <c r="P15" s="330"/>
      <c r="Q15" s="330"/>
      <c r="R15" s="330"/>
      <c r="S15" s="330"/>
      <c r="T15" s="330"/>
      <c r="U15" s="330"/>
      <c r="V15" s="330"/>
      <c r="W15" s="330"/>
    </row>
    <row r="16" spans="2:23" x14ac:dyDescent="0.25">
      <c r="C16" s="155" t="s">
        <v>427</v>
      </c>
      <c r="D16" s="162"/>
      <c r="F16" s="330"/>
      <c r="G16" s="330"/>
      <c r="H16" s="330"/>
      <c r="I16" s="330"/>
      <c r="J16" s="330"/>
      <c r="K16" s="330"/>
      <c r="L16" s="330"/>
      <c r="M16" s="330"/>
      <c r="N16" s="330"/>
      <c r="O16" s="330"/>
      <c r="P16" s="330"/>
      <c r="Q16" s="330"/>
      <c r="R16" s="330"/>
      <c r="S16" s="330"/>
      <c r="T16" s="330"/>
      <c r="U16" s="330"/>
      <c r="V16" s="330"/>
      <c r="W16" s="330"/>
    </row>
    <row r="17" spans="3:23" ht="15.75" x14ac:dyDescent="0.25">
      <c r="C17" s="155" t="s">
        <v>808</v>
      </c>
      <c r="E17" s="359" t="str">
        <f ca="1">IF(TODAY()&lt;DATEVALUE("4/30/2017"),"Updated!","")</f>
        <v/>
      </c>
      <c r="F17" s="330"/>
      <c r="G17" s="330"/>
      <c r="H17" s="330"/>
      <c r="I17" s="330"/>
      <c r="J17" s="330"/>
      <c r="K17" s="330"/>
      <c r="L17" s="330"/>
      <c r="M17" s="330"/>
      <c r="N17" s="330"/>
      <c r="O17" s="330"/>
      <c r="P17" s="330"/>
      <c r="Q17" s="330"/>
      <c r="R17" s="330"/>
      <c r="S17" s="330"/>
      <c r="T17" s="330"/>
      <c r="U17" s="330"/>
      <c r="V17" s="330"/>
      <c r="W17" s="330"/>
    </row>
    <row r="18" spans="3:23" ht="15.75" x14ac:dyDescent="0.25">
      <c r="C18" s="155" t="s">
        <v>1069</v>
      </c>
      <c r="E18" s="359"/>
      <c r="F18" s="330"/>
      <c r="G18" s="330"/>
      <c r="H18" s="330"/>
      <c r="I18" s="330"/>
      <c r="J18" s="330"/>
      <c r="K18" s="330"/>
      <c r="L18" s="330"/>
      <c r="M18" s="330"/>
      <c r="N18" s="330"/>
      <c r="O18" s="330"/>
      <c r="P18" s="330"/>
      <c r="Q18" s="330"/>
      <c r="R18" s="330"/>
      <c r="S18" s="330"/>
      <c r="T18" s="330"/>
      <c r="U18" s="330"/>
      <c r="V18" s="330"/>
      <c r="W18" s="330"/>
    </row>
    <row r="19" spans="3:23" x14ac:dyDescent="0.25">
      <c r="C19" s="155" t="s">
        <v>1399</v>
      </c>
      <c r="E19" s="792" t="s">
        <v>1401</v>
      </c>
      <c r="F19" s="330"/>
      <c r="G19" s="330"/>
      <c r="H19" s="330"/>
      <c r="I19" s="330"/>
      <c r="J19" s="330"/>
      <c r="K19" s="330"/>
      <c r="L19" s="330"/>
      <c r="M19" s="330"/>
      <c r="N19" s="330"/>
      <c r="O19" s="330"/>
      <c r="P19" s="330"/>
      <c r="Q19" s="330"/>
      <c r="R19" s="330"/>
      <c r="S19" s="330"/>
      <c r="T19" s="330"/>
      <c r="U19" s="330"/>
      <c r="V19" s="330"/>
      <c r="W19" s="330"/>
    </row>
    <row r="20" spans="3:23" x14ac:dyDescent="0.25">
      <c r="C20" s="155" t="s">
        <v>329</v>
      </c>
      <c r="F20" s="330"/>
      <c r="G20" s="330"/>
      <c r="H20" s="330"/>
      <c r="I20" s="330"/>
      <c r="J20" s="330"/>
      <c r="K20" s="330"/>
      <c r="L20" s="330"/>
      <c r="M20" s="330"/>
      <c r="N20" s="330"/>
      <c r="O20" s="330"/>
      <c r="P20" s="330"/>
      <c r="Q20" s="330"/>
      <c r="R20" s="330"/>
      <c r="S20" s="330"/>
      <c r="T20" s="330"/>
      <c r="U20" s="330"/>
      <c r="V20" s="330"/>
      <c r="W20" s="330"/>
    </row>
    <row r="21" spans="3:23" x14ac:dyDescent="0.25">
      <c r="C21" s="155" t="s">
        <v>623</v>
      </c>
      <c r="E21" s="792" t="s">
        <v>1643</v>
      </c>
      <c r="F21" s="330"/>
      <c r="G21" s="330"/>
      <c r="H21" s="804"/>
      <c r="I21" s="330"/>
      <c r="J21" s="330"/>
      <c r="K21" s="330"/>
      <c r="L21" s="330"/>
      <c r="M21" s="330"/>
      <c r="N21" s="330"/>
      <c r="O21" s="330"/>
      <c r="P21" s="330"/>
      <c r="Q21" s="330"/>
      <c r="R21" s="330"/>
      <c r="S21" s="330"/>
      <c r="T21" s="330"/>
      <c r="U21" s="330"/>
      <c r="V21" s="330"/>
      <c r="W21" s="330"/>
    </row>
    <row r="22" spans="3:23" ht="15.75" x14ac:dyDescent="0.25">
      <c r="C22" s="155" t="s">
        <v>701</v>
      </c>
      <c r="D22" s="162"/>
      <c r="E22" s="359" t="str">
        <f ca="1">IF(TODAY()&lt;DATEVALUE("4/30/2017"),"NEW!","")</f>
        <v/>
      </c>
      <c r="F22" s="330"/>
      <c r="G22" s="330"/>
      <c r="H22" s="330"/>
      <c r="I22" s="330"/>
      <c r="J22" s="330"/>
      <c r="K22" s="330"/>
      <c r="L22" s="330"/>
      <c r="M22" s="330"/>
      <c r="N22" s="330"/>
      <c r="O22" s="330"/>
      <c r="P22" s="330"/>
      <c r="Q22" s="330"/>
      <c r="R22" s="330"/>
      <c r="S22" s="330"/>
      <c r="T22" s="330"/>
      <c r="U22" s="330"/>
      <c r="V22" s="330"/>
      <c r="W22" s="330"/>
    </row>
    <row r="23" spans="3:23" x14ac:dyDescent="0.25">
      <c r="C23" s="155" t="s">
        <v>1663</v>
      </c>
      <c r="D23" s="162"/>
      <c r="E23" s="792" t="s">
        <v>1664</v>
      </c>
      <c r="F23" s="330"/>
      <c r="G23" s="330"/>
      <c r="H23" s="330"/>
      <c r="I23" s="330"/>
      <c r="J23" s="330"/>
      <c r="K23" s="330"/>
      <c r="L23" s="330"/>
      <c r="M23" s="330"/>
      <c r="N23" s="330"/>
      <c r="O23" s="330"/>
      <c r="P23" s="330"/>
      <c r="Q23" s="330"/>
      <c r="R23" s="330"/>
      <c r="S23" s="330"/>
      <c r="T23" s="330"/>
      <c r="U23" s="330"/>
      <c r="V23" s="330"/>
      <c r="W23" s="330"/>
    </row>
    <row r="24" spans="3:23" x14ac:dyDescent="0.25">
      <c r="F24" s="330"/>
      <c r="G24" s="330"/>
      <c r="H24" s="330"/>
      <c r="I24" s="330"/>
      <c r="J24" s="330"/>
      <c r="K24" s="330"/>
      <c r="L24" s="330"/>
      <c r="M24" s="330"/>
      <c r="N24" s="330"/>
      <c r="O24" s="330"/>
      <c r="P24" s="330"/>
      <c r="Q24" s="330"/>
      <c r="R24" s="330"/>
      <c r="S24" s="330"/>
      <c r="T24" s="330"/>
      <c r="U24" s="330"/>
      <c r="V24" s="330"/>
      <c r="W24" s="330"/>
    </row>
    <row r="25" spans="3:23" ht="15.75" x14ac:dyDescent="0.25">
      <c r="C25" s="251" t="s">
        <v>273</v>
      </c>
      <c r="D25" s="218"/>
      <c r="E25" s="218"/>
      <c r="F25" s="330"/>
      <c r="G25" s="330"/>
      <c r="H25" s="330"/>
      <c r="I25" s="330"/>
      <c r="J25" s="330"/>
      <c r="K25" s="330"/>
      <c r="L25" s="330"/>
      <c r="M25" s="330"/>
      <c r="N25" s="330"/>
      <c r="O25" s="330"/>
      <c r="P25" s="330"/>
      <c r="Q25" s="330"/>
      <c r="R25" s="330"/>
      <c r="S25" s="330"/>
      <c r="T25" s="330"/>
      <c r="U25" s="330"/>
      <c r="V25" s="330"/>
      <c r="W25" s="330"/>
    </row>
    <row r="26" spans="3:23" x14ac:dyDescent="0.25">
      <c r="C26" s="171" t="str">
        <f>IF(C28="L","fsensor","L")</f>
        <v>L</v>
      </c>
      <c r="D26" s="46">
        <v>55</v>
      </c>
      <c r="E26" s="252" t="str">
        <f>IF(C26="fsensor","MHz","µH")</f>
        <v>µH</v>
      </c>
      <c r="F26" s="330"/>
      <c r="G26" s="330"/>
      <c r="H26" s="330"/>
      <c r="I26" s="330"/>
      <c r="J26" s="330"/>
      <c r="K26" s="330"/>
      <c r="L26" s="330"/>
      <c r="M26" s="330"/>
      <c r="N26" s="330"/>
      <c r="O26" s="330"/>
      <c r="P26" s="330"/>
      <c r="Q26" s="330"/>
      <c r="R26" s="330"/>
      <c r="S26" s="330"/>
      <c r="T26" s="330"/>
      <c r="U26" s="330"/>
      <c r="V26" s="330"/>
      <c r="W26" s="330"/>
    </row>
    <row r="27" spans="3:23" x14ac:dyDescent="0.25">
      <c r="C27" s="171" t="str">
        <f>IF(C28="C","fsensor","C")</f>
        <v>C</v>
      </c>
      <c r="D27" s="46">
        <v>100</v>
      </c>
      <c r="E27" s="253" t="str">
        <f>IF(C27="fsensor","MHz","pF")</f>
        <v>pF</v>
      </c>
      <c r="F27" s="330"/>
      <c r="G27" s="330"/>
      <c r="H27" s="330"/>
      <c r="I27" s="330"/>
      <c r="J27" s="330"/>
      <c r="K27" s="330"/>
      <c r="L27" s="330"/>
      <c r="M27" s="330"/>
      <c r="N27" s="330"/>
      <c r="O27" s="330"/>
      <c r="P27" s="330"/>
      <c r="Q27" s="330"/>
      <c r="R27" s="330"/>
      <c r="S27" s="330"/>
      <c r="T27" s="330"/>
      <c r="U27" s="330"/>
      <c r="V27" s="330"/>
      <c r="W27" s="330"/>
    </row>
    <row r="28" spans="3:23" x14ac:dyDescent="0.25">
      <c r="C28" s="45" t="s">
        <v>228</v>
      </c>
      <c r="D28" s="254">
        <f>IF(C28="fsensor",0.000001/(2*PI()*SQRT(D26*0.000001*D27*0.000000000001)),IF(C28="C",1000000000000/((D26*0.000001)*(2*PI()*D27*1000000)^2),1000000/((D27*0.000000000001)*(2*PI()*D26*1000000)^2)))</f>
        <v>2.1460448148580196</v>
      </c>
      <c r="E28" s="171" t="str">
        <f>IF(C28="fsensor","MHz",IF(C28="L","µH","pF"))</f>
        <v>MHz</v>
      </c>
      <c r="F28" s="330"/>
      <c r="G28" s="330"/>
      <c r="H28" s="330"/>
      <c r="I28" s="330"/>
      <c r="J28" s="330"/>
      <c r="K28" s="330"/>
      <c r="L28" s="330"/>
      <c r="M28" s="330"/>
      <c r="N28" s="330"/>
      <c r="O28" s="330"/>
      <c r="P28" s="330"/>
      <c r="Q28" s="330"/>
      <c r="R28" s="330"/>
      <c r="S28" s="330"/>
      <c r="T28" s="330"/>
      <c r="U28" s="330"/>
      <c r="V28" s="330"/>
      <c r="W28" s="330"/>
    </row>
    <row r="29" spans="3:23" x14ac:dyDescent="0.25">
      <c r="C29" s="255"/>
      <c r="F29" s="330"/>
      <c r="G29" s="330"/>
      <c r="H29" s="330"/>
      <c r="I29" s="330"/>
      <c r="J29" s="330"/>
      <c r="K29" s="330"/>
      <c r="L29" s="330"/>
      <c r="M29" s="330"/>
      <c r="N29" s="330"/>
      <c r="O29" s="330"/>
      <c r="P29" s="330"/>
      <c r="Q29" s="330"/>
      <c r="R29" s="330"/>
      <c r="S29" s="330"/>
      <c r="T29" s="330"/>
      <c r="U29" s="330"/>
      <c r="V29" s="330"/>
      <c r="W29" s="330"/>
    </row>
    <row r="30" spans="3:23" ht="15.75" x14ac:dyDescent="0.25">
      <c r="C30" s="251" t="s">
        <v>277</v>
      </c>
      <c r="F30" s="330"/>
      <c r="G30" s="330"/>
      <c r="H30" s="330"/>
      <c r="I30" s="330"/>
      <c r="J30" s="330"/>
      <c r="K30" s="330"/>
      <c r="L30" s="330"/>
      <c r="M30" s="330"/>
      <c r="N30" s="330"/>
      <c r="O30" s="330"/>
      <c r="P30" s="330"/>
      <c r="Q30" s="330"/>
      <c r="R30" s="330"/>
      <c r="S30" s="330"/>
      <c r="T30" s="330"/>
      <c r="U30" s="330"/>
      <c r="V30" s="330"/>
      <c r="W30" s="330"/>
    </row>
    <row r="31" spans="3:23" x14ac:dyDescent="0.25">
      <c r="C31" s="256" t="s">
        <v>69</v>
      </c>
      <c r="D31" s="152">
        <v>55</v>
      </c>
      <c r="E31" s="257" t="s">
        <v>96</v>
      </c>
      <c r="F31" s="330"/>
      <c r="G31" s="330"/>
      <c r="H31" s="330"/>
      <c r="I31" s="330"/>
      <c r="J31" s="330"/>
      <c r="K31" s="330"/>
      <c r="L31" s="330"/>
      <c r="M31" s="330"/>
      <c r="N31" s="330"/>
      <c r="O31" s="330"/>
      <c r="P31" s="330"/>
      <c r="Q31" s="330"/>
      <c r="R31" s="330"/>
      <c r="S31" s="330"/>
      <c r="T31" s="330"/>
      <c r="U31" s="330"/>
      <c r="V31" s="330"/>
      <c r="W31" s="330"/>
    </row>
    <row r="32" spans="3:23" x14ac:dyDescent="0.25">
      <c r="C32" s="256" t="s">
        <v>26</v>
      </c>
      <c r="D32" s="152">
        <v>100</v>
      </c>
      <c r="E32" s="171" t="s">
        <v>27</v>
      </c>
      <c r="F32" s="330"/>
      <c r="G32" s="330"/>
      <c r="H32" s="330"/>
      <c r="I32" s="330"/>
      <c r="J32" s="330"/>
      <c r="K32" s="330"/>
      <c r="L32" s="330"/>
      <c r="M32" s="330"/>
      <c r="N32" s="330"/>
      <c r="O32" s="330"/>
      <c r="P32" s="330"/>
      <c r="Q32" s="330"/>
      <c r="R32" s="330"/>
      <c r="S32" s="330"/>
      <c r="T32" s="330"/>
      <c r="U32" s="330"/>
      <c r="V32" s="330"/>
      <c r="W32" s="330"/>
    </row>
    <row r="33" spans="1:23" x14ac:dyDescent="0.25">
      <c r="C33" s="256" t="str">
        <f>IF(C34="Rp","Rs","Rp")</f>
        <v>Rs</v>
      </c>
      <c r="D33" s="152">
        <v>18</v>
      </c>
      <c r="E33" s="257" t="str">
        <f>IF(C34="Rp","Ω","kΩ")</f>
        <v>Ω</v>
      </c>
      <c r="F33" s="330"/>
      <c r="G33" s="330"/>
      <c r="H33" s="330"/>
      <c r="I33" s="330"/>
      <c r="J33" s="330"/>
      <c r="K33" s="330"/>
      <c r="L33" s="330"/>
      <c r="M33" s="330"/>
      <c r="N33" s="330"/>
      <c r="O33" s="330"/>
      <c r="P33" s="330"/>
      <c r="Q33" s="330"/>
      <c r="R33" s="330"/>
      <c r="S33" s="330"/>
      <c r="T33" s="330"/>
      <c r="U33" s="330"/>
      <c r="V33" s="330"/>
      <c r="W33" s="330"/>
    </row>
    <row r="34" spans="1:23" x14ac:dyDescent="0.25">
      <c r="C34" s="250" t="s">
        <v>81</v>
      </c>
      <c r="D34" s="258">
        <f>1000/D33*D31/D32</f>
        <v>30.555555555555557</v>
      </c>
      <c r="E34" s="171" t="str">
        <f>IF(C34="Rp","kΩ","Ω")</f>
        <v>kΩ</v>
      </c>
      <c r="F34" s="330"/>
      <c r="G34" s="330"/>
      <c r="H34" s="330"/>
      <c r="I34" s="330"/>
      <c r="J34" s="330"/>
      <c r="K34" s="330"/>
      <c r="L34" s="330"/>
      <c r="M34" s="330"/>
      <c r="N34" s="330"/>
      <c r="O34" s="330"/>
      <c r="P34" s="330"/>
      <c r="Q34" s="330"/>
      <c r="R34" s="330"/>
      <c r="S34" s="330"/>
      <c r="T34" s="330"/>
      <c r="U34" s="330"/>
      <c r="V34" s="330"/>
      <c r="W34" s="330"/>
    </row>
    <row r="35" spans="1:23" x14ac:dyDescent="0.25">
      <c r="C35" s="256" t="s">
        <v>228</v>
      </c>
      <c r="D35" s="170">
        <f>(0.000001/(2*PI()*SQRT(D31*0.000001*D32*0.000000000001)))</f>
        <v>2.1460448148580196</v>
      </c>
      <c r="E35" s="171" t="s">
        <v>0</v>
      </c>
      <c r="F35" s="330"/>
      <c r="G35" s="330"/>
      <c r="H35" s="330"/>
      <c r="I35" s="330"/>
      <c r="J35" s="330"/>
      <c r="K35" s="330"/>
      <c r="L35" s="330"/>
      <c r="M35" s="330"/>
      <c r="N35" s="330"/>
      <c r="O35" s="330"/>
      <c r="P35" s="330"/>
      <c r="Q35" s="330"/>
      <c r="R35" s="330"/>
      <c r="S35" s="330"/>
      <c r="T35" s="330"/>
      <c r="U35" s="330"/>
      <c r="V35" s="330"/>
      <c r="W35" s="330"/>
    </row>
    <row r="36" spans="1:23" x14ac:dyDescent="0.25">
      <c r="C36" s="256" t="s">
        <v>83</v>
      </c>
      <c r="D36" s="172">
        <f>IF(C34="Rs",(1000/D34)*SQRT(D31/D32),(1000/D33)*SQRT(D31/D32))</f>
        <v>41.201102706087021</v>
      </c>
      <c r="E36" s="259"/>
      <c r="F36" s="330"/>
      <c r="G36" s="330"/>
      <c r="H36" s="330"/>
      <c r="I36" s="330"/>
      <c r="J36" s="330"/>
      <c r="K36" s="330"/>
      <c r="L36" s="330"/>
      <c r="M36" s="330"/>
      <c r="N36" s="330"/>
      <c r="O36" s="330"/>
      <c r="P36" s="330"/>
      <c r="Q36" s="330"/>
      <c r="R36" s="330"/>
      <c r="S36" s="330"/>
      <c r="T36" s="330"/>
      <c r="U36" s="330"/>
      <c r="V36" s="330"/>
      <c r="W36" s="330"/>
    </row>
    <row r="37" spans="1:23" x14ac:dyDescent="0.25">
      <c r="D37" s="330"/>
      <c r="E37" s="330"/>
      <c r="F37" s="330"/>
      <c r="G37" s="330"/>
      <c r="H37" s="330"/>
      <c r="I37" s="330"/>
      <c r="J37" s="330"/>
      <c r="K37" s="330"/>
      <c r="L37" s="330"/>
      <c r="M37" s="330"/>
      <c r="N37" s="330"/>
      <c r="O37" s="330"/>
      <c r="P37" s="330"/>
      <c r="Q37" s="330"/>
      <c r="R37" s="330"/>
      <c r="S37" s="330"/>
      <c r="T37" s="330"/>
      <c r="U37" s="330"/>
      <c r="V37" s="330"/>
      <c r="W37" s="330"/>
    </row>
    <row r="38" spans="1:23" ht="15.75" x14ac:dyDescent="0.25">
      <c r="B38" s="1"/>
      <c r="C38" s="260" t="s">
        <v>271</v>
      </c>
      <c r="D38" s="330"/>
      <c r="E38" s="330"/>
      <c r="F38" s="330"/>
      <c r="G38" s="330"/>
      <c r="H38" s="330"/>
      <c r="I38" s="330"/>
      <c r="J38" s="330"/>
      <c r="K38" s="330"/>
      <c r="L38" s="330"/>
      <c r="M38" s="330"/>
      <c r="N38" s="330"/>
      <c r="O38" s="330"/>
      <c r="P38" s="330"/>
      <c r="Q38" s="330"/>
      <c r="R38" s="330"/>
      <c r="S38" s="330"/>
      <c r="T38" s="330"/>
      <c r="U38" s="330"/>
      <c r="V38" s="330"/>
      <c r="W38" s="330"/>
    </row>
    <row r="39" spans="1:23" ht="45" x14ac:dyDescent="0.25">
      <c r="C39" s="261" t="s">
        <v>290</v>
      </c>
      <c r="D39" s="330"/>
      <c r="E39" s="330"/>
      <c r="F39" s="330"/>
      <c r="G39" s="330"/>
      <c r="H39" s="330"/>
      <c r="I39" s="330"/>
      <c r="J39" s="330"/>
      <c r="K39" s="330"/>
      <c r="L39" s="330"/>
      <c r="M39" s="330"/>
      <c r="N39" s="330"/>
      <c r="O39" s="330"/>
      <c r="P39" s="330"/>
      <c r="Q39" s="330"/>
      <c r="R39" s="330"/>
      <c r="S39" s="330"/>
      <c r="T39" s="330"/>
      <c r="U39" s="330"/>
      <c r="V39" s="330"/>
      <c r="W39" s="330"/>
    </row>
    <row r="40" spans="1:23" ht="45" x14ac:dyDescent="0.25">
      <c r="C40" s="262" t="s">
        <v>291</v>
      </c>
      <c r="D40" s="330"/>
      <c r="E40" s="330"/>
      <c r="F40" s="330"/>
      <c r="G40" s="330"/>
      <c r="H40" s="330"/>
      <c r="I40" s="330"/>
      <c r="J40" s="330"/>
      <c r="K40" s="330"/>
      <c r="L40" s="330"/>
      <c r="M40" s="330"/>
      <c r="N40" s="330"/>
      <c r="O40" s="330"/>
      <c r="P40" s="330"/>
      <c r="Q40" s="330"/>
      <c r="R40" s="330"/>
      <c r="S40" s="330"/>
      <c r="T40" s="330"/>
      <c r="U40" s="330"/>
      <c r="V40" s="330"/>
      <c r="W40" s="330"/>
    </row>
    <row r="41" spans="1:23" ht="45" x14ac:dyDescent="0.25">
      <c r="C41" s="263" t="s">
        <v>292</v>
      </c>
      <c r="D41" s="330"/>
      <c r="E41" s="330"/>
      <c r="F41" s="330"/>
      <c r="G41" s="330"/>
      <c r="H41" s="330"/>
      <c r="I41" s="330"/>
      <c r="J41" s="330"/>
      <c r="K41" s="330"/>
      <c r="L41" s="330"/>
      <c r="M41" s="330"/>
      <c r="N41" s="330"/>
      <c r="O41" s="330"/>
      <c r="P41" s="330"/>
      <c r="Q41" s="330"/>
      <c r="R41" s="330"/>
      <c r="S41" s="330"/>
      <c r="T41" s="330"/>
      <c r="U41" s="330"/>
      <c r="V41" s="330"/>
      <c r="W41" s="330"/>
    </row>
    <row r="42" spans="1:23" x14ac:dyDescent="0.25">
      <c r="A42" s="330"/>
      <c r="B42" s="330"/>
      <c r="C42" s="330"/>
      <c r="D42" s="330"/>
      <c r="E42" s="330"/>
      <c r="F42" s="330"/>
      <c r="G42" s="330"/>
      <c r="H42" s="330"/>
      <c r="I42" s="330"/>
      <c r="J42" s="330"/>
      <c r="K42" s="330"/>
      <c r="L42" s="330"/>
      <c r="M42" s="330"/>
      <c r="N42" s="330"/>
      <c r="O42" s="330"/>
      <c r="P42" s="330"/>
      <c r="Q42" s="330"/>
      <c r="R42" s="330"/>
      <c r="S42" s="330"/>
      <c r="T42" s="330"/>
      <c r="U42" s="330"/>
      <c r="V42" s="330"/>
      <c r="W42" s="330"/>
    </row>
    <row r="43" spans="1:23" x14ac:dyDescent="0.25">
      <c r="A43" s="330"/>
      <c r="B43" s="330"/>
      <c r="C43" s="330"/>
      <c r="D43" s="330"/>
      <c r="E43" s="330"/>
      <c r="F43" s="330"/>
      <c r="G43" s="330"/>
      <c r="H43" s="330"/>
      <c r="I43" s="330"/>
      <c r="J43" s="330"/>
      <c r="K43" s="330"/>
      <c r="L43" s="330"/>
      <c r="M43" s="330"/>
      <c r="N43" s="330"/>
      <c r="O43" s="330"/>
      <c r="P43" s="330"/>
      <c r="Q43" s="330"/>
      <c r="R43" s="330"/>
      <c r="S43" s="330"/>
      <c r="T43" s="330"/>
      <c r="U43" s="330"/>
      <c r="V43" s="330"/>
      <c r="W43" s="330"/>
    </row>
    <row r="44" spans="1:23" x14ac:dyDescent="0.25">
      <c r="A44" s="330"/>
      <c r="B44" s="330"/>
      <c r="C44" s="330"/>
      <c r="D44" s="330"/>
      <c r="E44" s="330"/>
      <c r="F44" s="330"/>
      <c r="G44" s="330"/>
      <c r="H44" s="805"/>
      <c r="I44" s="330"/>
      <c r="J44" s="330"/>
      <c r="K44" s="330"/>
      <c r="L44" s="330"/>
      <c r="M44" s="330"/>
      <c r="N44" s="330"/>
      <c r="O44" s="330"/>
      <c r="P44" s="330"/>
      <c r="Q44" s="330"/>
      <c r="R44" s="330"/>
      <c r="S44" s="330"/>
      <c r="T44" s="330"/>
      <c r="U44" s="330"/>
      <c r="V44" s="330"/>
      <c r="W44" s="330"/>
    </row>
    <row r="45" spans="1:23" x14ac:dyDescent="0.25">
      <c r="A45" s="330"/>
      <c r="B45" s="330"/>
      <c r="C45" s="330"/>
      <c r="D45" s="330"/>
      <c r="E45" s="330"/>
      <c r="F45" s="330"/>
      <c r="G45" s="330"/>
      <c r="H45" s="805"/>
      <c r="I45" s="330"/>
      <c r="J45" s="330"/>
      <c r="K45" s="330"/>
      <c r="L45" s="330"/>
      <c r="M45" s="330"/>
      <c r="N45" s="330"/>
      <c r="O45" s="330"/>
      <c r="P45" s="330"/>
      <c r="Q45" s="330"/>
      <c r="R45" s="330"/>
      <c r="S45" s="330"/>
      <c r="T45" s="330"/>
      <c r="U45" s="330"/>
      <c r="V45" s="330"/>
      <c r="W45" s="330"/>
    </row>
    <row r="46" spans="1:23" x14ac:dyDescent="0.25">
      <c r="A46" s="330"/>
      <c r="B46" s="330"/>
      <c r="C46" s="330"/>
      <c r="D46" s="330"/>
      <c r="E46" s="330"/>
      <c r="F46" s="330"/>
      <c r="G46" s="330"/>
      <c r="H46" s="805"/>
      <c r="I46" s="330"/>
      <c r="J46" s="330"/>
      <c r="K46" s="330"/>
      <c r="L46" s="330"/>
      <c r="M46" s="330"/>
      <c r="N46" s="330"/>
      <c r="O46" s="330"/>
      <c r="P46" s="330"/>
      <c r="Q46" s="330"/>
      <c r="R46" s="330"/>
      <c r="S46" s="330"/>
      <c r="T46" s="330"/>
      <c r="U46" s="330"/>
      <c r="V46" s="330"/>
      <c r="W46" s="330"/>
    </row>
    <row r="47" spans="1:23" x14ac:dyDescent="0.25">
      <c r="A47" s="330"/>
      <c r="B47" s="330"/>
      <c r="C47" s="330"/>
      <c r="D47" s="330"/>
      <c r="E47" s="330"/>
      <c r="F47" s="330"/>
      <c r="G47" s="330"/>
      <c r="H47" s="777"/>
      <c r="I47" s="330"/>
      <c r="J47" s="330"/>
      <c r="K47" s="330"/>
      <c r="L47" s="330"/>
      <c r="M47" s="330"/>
      <c r="N47" s="330"/>
      <c r="O47" s="330"/>
      <c r="P47" s="330"/>
      <c r="Q47" s="330"/>
      <c r="R47" s="330"/>
      <c r="S47" s="330"/>
      <c r="T47" s="330"/>
      <c r="U47" s="330"/>
      <c r="V47" s="330"/>
      <c r="W47" s="330"/>
    </row>
    <row r="48" spans="1:23" x14ac:dyDescent="0.25">
      <c r="A48" s="330"/>
      <c r="B48" s="330"/>
      <c r="C48" s="330"/>
      <c r="D48" s="330"/>
      <c r="E48" s="330"/>
      <c r="F48" s="330"/>
      <c r="G48" s="330"/>
      <c r="H48" s="330"/>
      <c r="I48" s="330"/>
      <c r="J48" s="330"/>
      <c r="K48" s="330"/>
      <c r="L48" s="330"/>
      <c r="M48" s="330"/>
      <c r="N48" s="330"/>
      <c r="O48" s="330"/>
      <c r="P48" s="330"/>
      <c r="Q48" s="330"/>
      <c r="R48" s="330"/>
      <c r="S48" s="330"/>
      <c r="T48" s="330"/>
      <c r="U48" s="330"/>
      <c r="V48" s="330"/>
      <c r="W48" s="330"/>
    </row>
    <row r="49" spans="1:23" x14ac:dyDescent="0.25">
      <c r="A49" s="330"/>
      <c r="B49" s="330"/>
      <c r="C49" s="330"/>
      <c r="D49" s="330"/>
      <c r="E49" s="330"/>
      <c r="F49" s="330"/>
      <c r="G49" s="330"/>
      <c r="H49" s="330"/>
      <c r="I49" s="330"/>
      <c r="J49" s="330"/>
      <c r="K49" s="330"/>
      <c r="L49" s="330"/>
      <c r="M49" s="330"/>
      <c r="N49" s="330"/>
      <c r="O49" s="330"/>
      <c r="P49" s="330"/>
      <c r="Q49" s="330"/>
      <c r="R49" s="330"/>
      <c r="S49" s="330"/>
      <c r="T49" s="330"/>
      <c r="U49" s="330"/>
      <c r="V49" s="330"/>
      <c r="W49" s="330"/>
    </row>
    <row r="50" spans="1:23" x14ac:dyDescent="0.25">
      <c r="A50" s="330"/>
      <c r="B50" s="330"/>
      <c r="C50" s="330"/>
      <c r="D50" s="330"/>
      <c r="E50" s="330"/>
      <c r="F50" s="330"/>
      <c r="G50" s="330"/>
      <c r="H50" s="330"/>
      <c r="I50" s="330"/>
      <c r="J50" s="330"/>
      <c r="K50" s="330"/>
      <c r="L50" s="330"/>
      <c r="M50" s="330"/>
      <c r="N50" s="330"/>
      <c r="O50" s="330"/>
      <c r="P50" s="330"/>
      <c r="Q50" s="330"/>
      <c r="R50" s="330"/>
      <c r="S50" s="330"/>
      <c r="T50" s="330"/>
      <c r="U50" s="330"/>
      <c r="V50" s="330"/>
      <c r="W50" s="330"/>
    </row>
    <row r="51" spans="1:23" x14ac:dyDescent="0.25">
      <c r="A51" s="330"/>
      <c r="B51" s="330"/>
      <c r="C51" s="330"/>
      <c r="D51" s="330"/>
      <c r="E51" s="330"/>
      <c r="F51" s="330"/>
      <c r="G51" s="330"/>
      <c r="H51" s="330"/>
      <c r="I51" s="330"/>
      <c r="J51" s="330"/>
      <c r="K51" s="330"/>
      <c r="L51" s="330"/>
      <c r="M51" s="330"/>
      <c r="N51" s="330"/>
      <c r="O51" s="330"/>
      <c r="P51" s="330"/>
      <c r="Q51" s="330"/>
      <c r="R51" s="330"/>
      <c r="S51" s="330"/>
      <c r="T51" s="330"/>
      <c r="U51" s="330"/>
      <c r="V51" s="330"/>
      <c r="W51" s="330"/>
    </row>
    <row r="52" spans="1:23" x14ac:dyDescent="0.25">
      <c r="A52" s="330"/>
      <c r="B52" s="330"/>
      <c r="C52" s="330"/>
      <c r="D52" s="330"/>
      <c r="E52" s="330"/>
      <c r="F52" s="330"/>
      <c r="G52" s="330"/>
      <c r="H52" s="330"/>
      <c r="I52" s="330"/>
      <c r="J52" s="330"/>
      <c r="K52" s="330"/>
      <c r="L52" s="330"/>
      <c r="M52" s="330"/>
      <c r="N52" s="330"/>
      <c r="O52" s="330"/>
      <c r="P52" s="330"/>
      <c r="Q52" s="330"/>
      <c r="R52" s="330"/>
      <c r="S52" s="330"/>
      <c r="T52" s="330"/>
      <c r="U52" s="330"/>
      <c r="V52" s="330"/>
      <c r="W52" s="330"/>
    </row>
    <row r="53" spans="1:23" x14ac:dyDescent="0.25">
      <c r="A53" s="330"/>
      <c r="B53" s="330"/>
      <c r="C53" s="330"/>
      <c r="D53" s="330"/>
      <c r="E53" s="330"/>
      <c r="F53" s="330"/>
      <c r="G53" s="330"/>
      <c r="H53" s="330"/>
      <c r="I53" s="330"/>
      <c r="J53" s="330"/>
      <c r="K53" s="330"/>
      <c r="L53" s="330"/>
      <c r="M53" s="330"/>
      <c r="N53" s="330"/>
      <c r="O53" s="330"/>
      <c r="P53" s="330"/>
      <c r="Q53" s="330"/>
      <c r="R53" s="330"/>
      <c r="S53" s="330"/>
      <c r="T53" s="330"/>
      <c r="U53" s="330"/>
      <c r="V53" s="330"/>
      <c r="W53" s="330"/>
    </row>
    <row r="54" spans="1:23" x14ac:dyDescent="0.25">
      <c r="A54" s="330"/>
      <c r="B54" s="330"/>
      <c r="C54" s="330"/>
      <c r="D54" s="330"/>
      <c r="E54" s="330"/>
      <c r="F54" s="330"/>
      <c r="G54" s="330"/>
      <c r="H54" s="330"/>
      <c r="I54" s="330"/>
      <c r="J54" s="330"/>
      <c r="K54" s="330"/>
      <c r="L54" s="330"/>
      <c r="M54" s="330"/>
      <c r="N54" s="330"/>
      <c r="O54" s="330"/>
      <c r="P54" s="330"/>
      <c r="Q54" s="330"/>
      <c r="R54" s="330"/>
      <c r="S54" s="330"/>
      <c r="T54" s="330"/>
      <c r="U54" s="330"/>
      <c r="V54" s="330"/>
      <c r="W54" s="330"/>
    </row>
    <row r="55" spans="1:23" x14ac:dyDescent="0.25">
      <c r="A55" s="330"/>
      <c r="B55" s="330"/>
      <c r="C55" s="330"/>
      <c r="D55" s="330"/>
      <c r="E55" s="330"/>
      <c r="F55" s="330"/>
      <c r="G55" s="330"/>
      <c r="H55" s="330"/>
      <c r="I55" s="330"/>
      <c r="J55" s="330"/>
      <c r="K55" s="330"/>
      <c r="L55" s="330"/>
      <c r="M55" s="330"/>
      <c r="N55" s="330"/>
      <c r="O55" s="330"/>
      <c r="P55" s="330"/>
      <c r="Q55" s="330"/>
      <c r="R55" s="330"/>
      <c r="S55" s="330"/>
      <c r="T55" s="330"/>
      <c r="U55" s="330"/>
      <c r="V55" s="330"/>
      <c r="W55" s="330"/>
    </row>
    <row r="56" spans="1:23" x14ac:dyDescent="0.25">
      <c r="A56" s="330"/>
      <c r="B56" s="330"/>
      <c r="C56" s="330"/>
      <c r="D56" s="330"/>
      <c r="E56" s="330"/>
      <c r="F56" s="330"/>
      <c r="G56" s="330"/>
      <c r="H56" s="330"/>
      <c r="I56" s="330"/>
      <c r="J56" s="330"/>
      <c r="K56" s="330"/>
      <c r="L56" s="330"/>
      <c r="M56" s="330"/>
      <c r="N56" s="330"/>
      <c r="O56" s="330"/>
      <c r="P56" s="330"/>
      <c r="Q56" s="330"/>
      <c r="R56" s="330"/>
      <c r="S56" s="330"/>
      <c r="T56" s="330"/>
      <c r="U56" s="330"/>
      <c r="V56" s="330"/>
      <c r="W56" s="330"/>
    </row>
    <row r="57" spans="1:23" x14ac:dyDescent="0.25">
      <c r="A57" s="330"/>
      <c r="B57" s="330"/>
      <c r="C57" s="330"/>
      <c r="D57" s="330"/>
      <c r="E57" s="330"/>
      <c r="F57" s="330"/>
      <c r="G57" s="330"/>
      <c r="H57" s="330"/>
      <c r="I57" s="330"/>
      <c r="J57" s="330"/>
      <c r="K57" s="330"/>
      <c r="L57" s="330"/>
      <c r="M57" s="330"/>
      <c r="N57" s="330"/>
      <c r="O57" s="330"/>
      <c r="P57" s="330"/>
      <c r="Q57" s="330"/>
      <c r="R57" s="330"/>
      <c r="S57" s="330"/>
      <c r="T57" s="330"/>
      <c r="U57" s="330"/>
      <c r="V57" s="330"/>
      <c r="W57" s="330"/>
    </row>
    <row r="58" spans="1:23" x14ac:dyDescent="0.25">
      <c r="A58" s="330"/>
      <c r="B58" s="330"/>
      <c r="C58" s="330"/>
      <c r="D58" s="330"/>
      <c r="E58" s="330"/>
      <c r="F58" s="330"/>
      <c r="G58" s="330"/>
      <c r="H58" s="330"/>
      <c r="I58" s="330"/>
      <c r="J58" s="330"/>
      <c r="K58" s="330"/>
      <c r="L58" s="330"/>
      <c r="M58" s="330"/>
      <c r="N58" s="330"/>
      <c r="O58" s="330"/>
      <c r="P58" s="330"/>
      <c r="Q58" s="330"/>
      <c r="R58" s="330"/>
      <c r="S58" s="330"/>
      <c r="T58" s="330"/>
      <c r="U58" s="330"/>
      <c r="V58" s="330"/>
      <c r="W58" s="330"/>
    </row>
    <row r="59" spans="1:23" x14ac:dyDescent="0.25">
      <c r="A59" s="330"/>
      <c r="B59" s="330"/>
      <c r="C59" s="330"/>
      <c r="D59" s="330"/>
      <c r="E59" s="330"/>
      <c r="F59" s="330"/>
      <c r="G59" s="330"/>
      <c r="H59" s="330"/>
      <c r="I59" s="330"/>
      <c r="J59" s="330"/>
      <c r="K59" s="330"/>
      <c r="L59" s="330"/>
      <c r="M59" s="330"/>
      <c r="N59" s="330"/>
      <c r="O59" s="330"/>
      <c r="P59" s="330"/>
      <c r="Q59" s="330"/>
      <c r="R59" s="330"/>
      <c r="S59" s="330"/>
      <c r="T59" s="330"/>
      <c r="U59" s="330"/>
      <c r="V59" s="330"/>
      <c r="W59" s="330"/>
    </row>
    <row r="60" spans="1:23" x14ac:dyDescent="0.25">
      <c r="A60" s="330"/>
      <c r="B60" s="330"/>
      <c r="C60" s="330"/>
      <c r="D60" s="330"/>
      <c r="E60" s="330"/>
      <c r="F60" s="330"/>
      <c r="G60" s="330"/>
      <c r="H60" s="330"/>
      <c r="I60" s="330"/>
      <c r="J60" s="330"/>
      <c r="K60" s="330"/>
      <c r="L60" s="330"/>
      <c r="M60" s="330"/>
      <c r="N60" s="330"/>
      <c r="O60" s="330"/>
      <c r="P60" s="330"/>
      <c r="Q60" s="330"/>
      <c r="R60" s="330"/>
      <c r="S60" s="330"/>
      <c r="T60" s="330"/>
      <c r="U60" s="330"/>
      <c r="V60" s="330"/>
      <c r="W60" s="330"/>
    </row>
    <row r="61" spans="1:23" x14ac:dyDescent="0.25">
      <c r="A61" s="330"/>
      <c r="B61" s="330"/>
      <c r="C61" s="330"/>
      <c r="D61" s="330"/>
      <c r="E61" s="330"/>
      <c r="F61" s="330"/>
      <c r="G61" s="330"/>
      <c r="H61" s="330"/>
      <c r="I61" s="330"/>
      <c r="J61" s="330"/>
      <c r="K61" s="330"/>
      <c r="L61" s="330"/>
      <c r="M61" s="330"/>
      <c r="N61" s="330"/>
      <c r="O61" s="330"/>
      <c r="P61" s="330"/>
      <c r="Q61" s="330"/>
      <c r="R61" s="330"/>
      <c r="S61" s="330"/>
      <c r="T61" s="330"/>
      <c r="U61" s="330"/>
      <c r="V61" s="330"/>
      <c r="W61" s="330"/>
    </row>
    <row r="62" spans="1:23" x14ac:dyDescent="0.25">
      <c r="A62" s="330"/>
      <c r="B62" s="330"/>
      <c r="C62" s="330"/>
      <c r="D62" s="330"/>
      <c r="E62" s="330"/>
      <c r="F62" s="330"/>
      <c r="G62" s="330"/>
      <c r="H62" s="330"/>
      <c r="I62" s="330"/>
      <c r="J62" s="330"/>
      <c r="K62" s="330"/>
      <c r="L62" s="330"/>
      <c r="M62" s="330"/>
      <c r="N62" s="330"/>
      <c r="O62" s="330"/>
      <c r="P62" s="330"/>
      <c r="Q62" s="330"/>
      <c r="R62" s="330"/>
      <c r="S62" s="330"/>
      <c r="T62" s="330"/>
      <c r="U62" s="330"/>
      <c r="V62" s="330"/>
      <c r="W62" s="330"/>
    </row>
    <row r="63" spans="1:23" x14ac:dyDescent="0.25">
      <c r="A63" s="330"/>
      <c r="B63" s="330"/>
      <c r="C63" s="330"/>
      <c r="D63" s="330"/>
      <c r="E63" s="330"/>
      <c r="F63" s="330"/>
      <c r="G63" s="330"/>
      <c r="H63" s="330"/>
      <c r="I63" s="330"/>
      <c r="J63" s="330"/>
      <c r="K63" s="330"/>
      <c r="L63" s="330"/>
      <c r="M63" s="330"/>
      <c r="N63" s="330"/>
      <c r="O63" s="330"/>
      <c r="P63" s="330"/>
      <c r="Q63" s="330"/>
      <c r="R63" s="330"/>
      <c r="S63" s="330"/>
      <c r="T63" s="330"/>
      <c r="U63" s="330"/>
      <c r="V63" s="330"/>
      <c r="W63" s="330"/>
    </row>
    <row r="64" spans="1:23" x14ac:dyDescent="0.25">
      <c r="A64" s="330"/>
      <c r="B64" s="330"/>
      <c r="C64" s="330"/>
      <c r="D64" s="330"/>
      <c r="E64" s="330"/>
      <c r="F64" s="330"/>
      <c r="G64" s="330"/>
      <c r="H64" s="330"/>
      <c r="I64" s="330"/>
      <c r="J64" s="330"/>
      <c r="K64" s="330"/>
      <c r="L64" s="330"/>
      <c r="M64" s="330"/>
      <c r="N64" s="330"/>
      <c r="O64" s="330"/>
      <c r="P64" s="330"/>
      <c r="Q64" s="330"/>
      <c r="R64" s="330"/>
      <c r="S64" s="330"/>
      <c r="T64" s="330"/>
      <c r="U64" s="330"/>
      <c r="V64" s="330"/>
      <c r="W64" s="330"/>
    </row>
    <row r="65" spans="1:23" x14ac:dyDescent="0.25">
      <c r="A65" s="330"/>
      <c r="B65" s="330"/>
      <c r="C65" s="330"/>
      <c r="D65" s="330"/>
      <c r="E65" s="330"/>
      <c r="F65" s="330"/>
      <c r="G65" s="330"/>
      <c r="H65" s="330"/>
      <c r="I65" s="330"/>
      <c r="J65" s="330"/>
      <c r="K65" s="330"/>
      <c r="L65" s="330"/>
      <c r="M65" s="330"/>
      <c r="N65" s="330"/>
      <c r="O65" s="330"/>
      <c r="P65" s="330"/>
      <c r="Q65" s="330"/>
      <c r="R65" s="330"/>
      <c r="S65" s="330"/>
      <c r="T65" s="330"/>
      <c r="U65" s="330"/>
      <c r="V65" s="330"/>
      <c r="W65" s="330"/>
    </row>
    <row r="66" spans="1:23" x14ac:dyDescent="0.25">
      <c r="A66" s="330"/>
      <c r="B66" s="330"/>
      <c r="C66" s="330"/>
      <c r="D66" s="330"/>
      <c r="E66" s="330"/>
      <c r="F66" s="330"/>
      <c r="G66" s="330"/>
      <c r="H66" s="330"/>
      <c r="I66" s="330"/>
      <c r="J66" s="330"/>
      <c r="K66" s="330"/>
      <c r="L66" s="330"/>
      <c r="M66" s="330"/>
      <c r="N66" s="330"/>
      <c r="O66" s="330"/>
      <c r="P66" s="330"/>
      <c r="Q66" s="330"/>
      <c r="R66" s="330"/>
      <c r="S66" s="330"/>
      <c r="T66" s="330"/>
      <c r="U66" s="330"/>
      <c r="V66" s="330"/>
      <c r="W66" s="330"/>
    </row>
    <row r="67" spans="1:23" x14ac:dyDescent="0.25">
      <c r="A67" s="330"/>
      <c r="B67" s="330"/>
      <c r="C67" s="330"/>
      <c r="D67" s="330"/>
      <c r="E67" s="330"/>
      <c r="F67" s="330"/>
      <c r="G67" s="330"/>
      <c r="H67" s="330"/>
      <c r="I67" s="330"/>
      <c r="J67" s="330"/>
      <c r="K67" s="330"/>
      <c r="L67" s="330"/>
      <c r="M67" s="330"/>
      <c r="N67" s="330"/>
      <c r="O67" s="330"/>
      <c r="P67" s="330"/>
      <c r="Q67" s="330"/>
      <c r="R67" s="330"/>
      <c r="S67" s="330"/>
      <c r="T67" s="330"/>
      <c r="U67" s="330"/>
      <c r="V67" s="330"/>
      <c r="W67" s="330"/>
    </row>
    <row r="68" spans="1:23" x14ac:dyDescent="0.25">
      <c r="A68" s="330"/>
      <c r="B68" s="330"/>
      <c r="C68" s="330"/>
      <c r="D68" s="330"/>
      <c r="E68" s="330"/>
      <c r="F68" s="330"/>
      <c r="G68" s="330"/>
      <c r="H68" s="330"/>
      <c r="I68" s="330"/>
      <c r="J68" s="330"/>
      <c r="K68" s="330"/>
      <c r="L68" s="330"/>
      <c r="M68" s="330"/>
      <c r="N68" s="330"/>
      <c r="O68" s="330"/>
      <c r="P68" s="330"/>
      <c r="Q68" s="330"/>
      <c r="R68" s="330"/>
      <c r="S68" s="330"/>
      <c r="T68" s="330"/>
      <c r="U68" s="330"/>
      <c r="V68" s="330"/>
      <c r="W68" s="330"/>
    </row>
    <row r="69" spans="1:23" x14ac:dyDescent="0.25">
      <c r="A69" s="330"/>
      <c r="B69" s="330"/>
      <c r="C69" s="330"/>
      <c r="D69" s="330"/>
      <c r="E69" s="330"/>
      <c r="F69" s="330"/>
      <c r="G69" s="330"/>
      <c r="H69" s="330"/>
      <c r="I69" s="330"/>
      <c r="J69" s="330"/>
      <c r="K69" s="330"/>
      <c r="L69" s="330"/>
      <c r="M69" s="330"/>
      <c r="N69" s="330"/>
      <c r="O69" s="330"/>
      <c r="P69" s="330"/>
      <c r="Q69" s="330"/>
      <c r="R69" s="330"/>
      <c r="S69" s="330"/>
      <c r="T69" s="330"/>
      <c r="U69" s="330"/>
      <c r="V69" s="330"/>
      <c r="W69" s="330"/>
    </row>
    <row r="70" spans="1:23" x14ac:dyDescent="0.25">
      <c r="A70" s="330"/>
      <c r="B70" s="330"/>
      <c r="C70" s="330"/>
      <c r="D70" s="330"/>
      <c r="E70" s="330"/>
      <c r="F70" s="330"/>
      <c r="G70" s="330"/>
      <c r="H70" s="330"/>
      <c r="I70" s="330"/>
      <c r="J70" s="330"/>
      <c r="K70" s="330"/>
      <c r="L70" s="330"/>
      <c r="M70" s="330"/>
      <c r="N70" s="330"/>
      <c r="O70" s="330"/>
      <c r="P70" s="330"/>
      <c r="Q70" s="330"/>
      <c r="R70" s="330"/>
      <c r="S70" s="330"/>
      <c r="T70" s="330"/>
      <c r="U70" s="330"/>
      <c r="V70" s="330"/>
      <c r="W70" s="330"/>
    </row>
    <row r="71" spans="1:23" x14ac:dyDescent="0.25">
      <c r="A71" s="330"/>
      <c r="B71" s="330"/>
      <c r="C71" s="330"/>
      <c r="D71" s="330"/>
      <c r="E71" s="330"/>
      <c r="F71" s="330"/>
      <c r="G71" s="330"/>
      <c r="H71" s="330"/>
      <c r="I71" s="330"/>
      <c r="J71" s="330"/>
      <c r="K71" s="330"/>
      <c r="L71" s="330"/>
      <c r="M71" s="330"/>
      <c r="N71" s="330"/>
      <c r="O71" s="330"/>
      <c r="P71" s="330"/>
      <c r="Q71" s="330"/>
      <c r="R71" s="330"/>
      <c r="S71" s="330"/>
      <c r="T71" s="330"/>
      <c r="U71" s="330"/>
      <c r="V71" s="330"/>
      <c r="W71" s="330"/>
    </row>
    <row r="72" spans="1:23" x14ac:dyDescent="0.25">
      <c r="A72" s="330"/>
      <c r="B72" s="330"/>
      <c r="C72" s="330"/>
      <c r="D72" s="330"/>
      <c r="E72" s="330"/>
      <c r="F72" s="330"/>
      <c r="G72" s="330"/>
      <c r="H72" s="330"/>
      <c r="I72" s="330"/>
      <c r="J72" s="330"/>
      <c r="K72" s="330"/>
      <c r="L72" s="330"/>
      <c r="M72" s="330"/>
      <c r="N72" s="330"/>
      <c r="O72" s="330"/>
      <c r="P72" s="330"/>
      <c r="Q72" s="330"/>
      <c r="R72" s="330"/>
      <c r="S72" s="330"/>
      <c r="T72" s="330"/>
      <c r="U72" s="330"/>
      <c r="V72" s="330"/>
      <c r="W72" s="330"/>
    </row>
    <row r="73" spans="1:23" x14ac:dyDescent="0.25">
      <c r="A73" s="330"/>
      <c r="B73" s="330"/>
      <c r="C73" s="330"/>
      <c r="D73" s="330"/>
      <c r="E73" s="330"/>
      <c r="F73" s="330"/>
      <c r="G73" s="330"/>
      <c r="H73" s="330"/>
      <c r="I73" s="330"/>
      <c r="J73" s="330"/>
      <c r="K73" s="330"/>
      <c r="L73" s="330"/>
      <c r="M73" s="330"/>
      <c r="N73" s="330"/>
      <c r="O73" s="330"/>
      <c r="P73" s="330"/>
      <c r="Q73" s="330"/>
      <c r="R73" s="330"/>
      <c r="S73" s="330"/>
      <c r="T73" s="330"/>
      <c r="U73" s="330"/>
      <c r="V73" s="330"/>
      <c r="W73" s="330"/>
    </row>
    <row r="74" spans="1:23" x14ac:dyDescent="0.25">
      <c r="A74" s="330"/>
      <c r="B74" s="330"/>
      <c r="C74" s="330"/>
      <c r="D74" s="330"/>
      <c r="E74" s="330"/>
      <c r="F74" s="330"/>
      <c r="G74" s="330"/>
      <c r="H74" s="330"/>
      <c r="I74" s="330"/>
      <c r="J74" s="330"/>
      <c r="K74" s="330"/>
      <c r="L74" s="330"/>
      <c r="M74" s="330"/>
      <c r="N74" s="330"/>
      <c r="O74" s="330"/>
      <c r="P74" s="330"/>
      <c r="Q74" s="330"/>
      <c r="R74" s="330"/>
      <c r="S74" s="330"/>
      <c r="T74" s="330"/>
      <c r="U74" s="330"/>
      <c r="V74" s="330"/>
      <c r="W74" s="330"/>
    </row>
    <row r="75" spans="1:23" x14ac:dyDescent="0.25">
      <c r="A75" s="330"/>
      <c r="B75" s="330"/>
      <c r="C75" s="330"/>
      <c r="D75" s="330"/>
      <c r="E75" s="330"/>
      <c r="F75" s="330"/>
      <c r="G75" s="330"/>
      <c r="H75" s="330"/>
      <c r="I75" s="330"/>
      <c r="J75" s="330"/>
      <c r="K75" s="330"/>
      <c r="L75" s="330"/>
      <c r="M75" s="330"/>
      <c r="N75" s="330"/>
      <c r="O75" s="330"/>
      <c r="P75" s="330"/>
      <c r="Q75" s="330"/>
      <c r="R75" s="330"/>
      <c r="S75" s="330"/>
      <c r="T75" s="330"/>
      <c r="U75" s="330"/>
      <c r="V75" s="330"/>
      <c r="W75" s="330"/>
    </row>
    <row r="76" spans="1:23" x14ac:dyDescent="0.25">
      <c r="A76" s="330"/>
      <c r="B76" s="330"/>
      <c r="C76" s="330"/>
      <c r="D76" s="330"/>
      <c r="E76" s="330"/>
      <c r="F76" s="330"/>
      <c r="G76" s="330"/>
      <c r="H76" s="330"/>
      <c r="I76" s="330"/>
      <c r="J76" s="330"/>
      <c r="K76" s="330"/>
      <c r="L76" s="330"/>
      <c r="M76" s="330"/>
      <c r="N76" s="330"/>
      <c r="O76" s="330"/>
      <c r="P76" s="330"/>
      <c r="Q76" s="330"/>
      <c r="R76" s="330"/>
      <c r="S76" s="330"/>
      <c r="T76" s="330"/>
      <c r="U76" s="330"/>
      <c r="V76" s="330"/>
      <c r="W76" s="330"/>
    </row>
    <row r="77" spans="1:23" x14ac:dyDescent="0.25">
      <c r="A77" s="330"/>
      <c r="B77" s="330"/>
      <c r="C77" s="330"/>
      <c r="D77" s="330"/>
      <c r="E77" s="330"/>
      <c r="F77" s="330"/>
      <c r="G77" s="330"/>
      <c r="H77" s="330"/>
      <c r="I77" s="330"/>
      <c r="J77" s="330"/>
      <c r="K77" s="330"/>
      <c r="L77" s="330"/>
      <c r="M77" s="330"/>
      <c r="N77" s="330"/>
      <c r="O77" s="330"/>
      <c r="P77" s="330"/>
      <c r="Q77" s="330"/>
      <c r="R77" s="330"/>
      <c r="S77" s="330"/>
      <c r="T77" s="330"/>
      <c r="U77" s="330"/>
      <c r="V77" s="330"/>
      <c r="W77" s="330"/>
    </row>
    <row r="78" spans="1:23" x14ac:dyDescent="0.25">
      <c r="A78" s="330"/>
      <c r="B78" s="330"/>
      <c r="C78" s="330"/>
      <c r="D78" s="330"/>
      <c r="E78" s="330"/>
      <c r="F78" s="330"/>
      <c r="G78" s="330"/>
      <c r="H78" s="330"/>
      <c r="I78" s="330"/>
      <c r="J78" s="330"/>
      <c r="K78" s="330"/>
      <c r="L78" s="330"/>
      <c r="M78" s="330"/>
      <c r="N78" s="330"/>
      <c r="O78" s="330"/>
      <c r="P78" s="330"/>
      <c r="Q78" s="330"/>
      <c r="R78" s="330"/>
      <c r="S78" s="330"/>
      <c r="T78" s="330"/>
      <c r="U78" s="330"/>
      <c r="V78" s="330"/>
      <c r="W78" s="330"/>
    </row>
    <row r="79" spans="1:23" x14ac:dyDescent="0.25">
      <c r="A79" s="330"/>
      <c r="B79" s="330"/>
      <c r="C79" s="330"/>
      <c r="D79" s="330"/>
      <c r="E79" s="330"/>
      <c r="F79" s="330"/>
      <c r="G79" s="330"/>
      <c r="H79" s="330"/>
      <c r="I79" s="330"/>
      <c r="J79" s="330"/>
      <c r="K79" s="330"/>
      <c r="L79" s="330"/>
      <c r="M79" s="330"/>
      <c r="N79" s="330"/>
      <c r="O79" s="330"/>
      <c r="P79" s="330"/>
      <c r="Q79" s="330"/>
      <c r="R79" s="330"/>
      <c r="S79" s="330"/>
      <c r="T79" s="330"/>
      <c r="U79" s="330"/>
      <c r="V79" s="330"/>
      <c r="W79" s="330"/>
    </row>
    <row r="80" spans="1:23" x14ac:dyDescent="0.25">
      <c r="A80" s="330"/>
      <c r="B80" s="330"/>
      <c r="C80" s="330"/>
      <c r="D80" s="330"/>
      <c r="E80" s="330"/>
      <c r="F80" s="330"/>
      <c r="G80" s="330"/>
      <c r="H80" s="330"/>
      <c r="I80" s="330"/>
      <c r="J80" s="330"/>
      <c r="K80" s="330"/>
      <c r="L80" s="330"/>
      <c r="M80" s="330"/>
      <c r="N80" s="330"/>
      <c r="O80" s="330"/>
      <c r="P80" s="330"/>
      <c r="Q80" s="330"/>
      <c r="R80" s="330"/>
      <c r="S80" s="330"/>
      <c r="T80" s="330"/>
      <c r="U80" s="330"/>
      <c r="V80" s="330"/>
      <c r="W80" s="330"/>
    </row>
    <row r="81" spans="1:23" x14ac:dyDescent="0.25">
      <c r="A81" s="330"/>
      <c r="B81" s="330"/>
      <c r="C81" s="330"/>
      <c r="D81" s="330"/>
      <c r="E81" s="330"/>
      <c r="F81" s="330"/>
      <c r="G81" s="330"/>
      <c r="H81" s="330"/>
      <c r="I81" s="330"/>
      <c r="J81" s="330"/>
      <c r="K81" s="330"/>
      <c r="L81" s="330"/>
      <c r="M81" s="330"/>
      <c r="N81" s="330"/>
      <c r="O81" s="330"/>
      <c r="P81" s="330"/>
      <c r="Q81" s="330"/>
      <c r="R81" s="330"/>
      <c r="S81" s="330"/>
      <c r="T81" s="330"/>
      <c r="U81" s="330"/>
      <c r="V81" s="330"/>
      <c r="W81" s="330"/>
    </row>
    <row r="82" spans="1:23" x14ac:dyDescent="0.25">
      <c r="A82" s="330"/>
      <c r="B82" s="330"/>
      <c r="C82" s="330"/>
      <c r="D82" s="330"/>
      <c r="E82" s="330"/>
      <c r="F82" s="330"/>
      <c r="G82" s="330"/>
      <c r="H82" s="330"/>
      <c r="I82" s="330"/>
      <c r="J82" s="330"/>
      <c r="K82" s="330"/>
      <c r="L82" s="330"/>
      <c r="M82" s="330"/>
      <c r="N82" s="330"/>
      <c r="O82" s="330"/>
      <c r="P82" s="330"/>
      <c r="Q82" s="330"/>
      <c r="R82" s="330"/>
      <c r="S82" s="330"/>
      <c r="T82" s="330"/>
      <c r="U82" s="330"/>
      <c r="V82" s="330"/>
      <c r="W82" s="330"/>
    </row>
    <row r="83" spans="1:23" x14ac:dyDescent="0.25">
      <c r="A83" s="330"/>
      <c r="B83" s="330"/>
      <c r="C83" s="330"/>
      <c r="D83" s="330"/>
      <c r="E83" s="330"/>
      <c r="F83" s="330"/>
      <c r="G83" s="330"/>
      <c r="H83" s="330"/>
      <c r="I83" s="330"/>
      <c r="J83" s="330"/>
      <c r="K83" s="330"/>
      <c r="L83" s="330"/>
      <c r="M83" s="330"/>
      <c r="N83" s="330"/>
      <c r="O83" s="330"/>
      <c r="P83" s="330"/>
      <c r="Q83" s="330"/>
      <c r="R83" s="330"/>
      <c r="S83" s="330"/>
      <c r="T83" s="330"/>
      <c r="U83" s="330"/>
      <c r="V83" s="330"/>
      <c r="W83" s="330"/>
    </row>
    <row r="84" spans="1:23" x14ac:dyDescent="0.25">
      <c r="A84" s="330"/>
      <c r="B84" s="330"/>
      <c r="C84" s="330"/>
      <c r="D84" s="330"/>
      <c r="E84" s="330"/>
      <c r="F84" s="330"/>
      <c r="G84" s="330"/>
      <c r="H84" s="330"/>
      <c r="I84" s="330"/>
      <c r="J84" s="330"/>
      <c r="K84" s="330"/>
      <c r="L84" s="330"/>
      <c r="M84" s="330"/>
      <c r="N84" s="330"/>
      <c r="O84" s="330"/>
      <c r="P84" s="330"/>
      <c r="Q84" s="330"/>
      <c r="R84" s="330"/>
      <c r="S84" s="330"/>
      <c r="T84" s="330"/>
      <c r="U84" s="330"/>
      <c r="V84" s="330"/>
      <c r="W84" s="330"/>
    </row>
    <row r="85" spans="1:23" x14ac:dyDescent="0.25">
      <c r="A85" s="330"/>
      <c r="B85" s="330"/>
      <c r="C85" s="330"/>
      <c r="D85" s="330"/>
      <c r="E85" s="330"/>
      <c r="F85" s="330"/>
      <c r="G85" s="330"/>
      <c r="H85" s="330"/>
      <c r="I85" s="330"/>
      <c r="J85" s="330"/>
      <c r="K85" s="330"/>
      <c r="L85" s="330"/>
      <c r="M85" s="330"/>
      <c r="N85" s="330"/>
      <c r="O85" s="330"/>
      <c r="P85" s="330"/>
      <c r="Q85" s="330"/>
      <c r="R85" s="330"/>
      <c r="S85" s="330"/>
      <c r="T85" s="330"/>
      <c r="U85" s="330"/>
      <c r="V85" s="330"/>
      <c r="W85" s="330"/>
    </row>
    <row r="86" spans="1:23" x14ac:dyDescent="0.25">
      <c r="A86" s="330"/>
      <c r="B86" s="330"/>
      <c r="C86" s="330"/>
      <c r="D86" s="330"/>
      <c r="E86" s="330"/>
      <c r="F86" s="330"/>
      <c r="G86" s="330"/>
      <c r="H86" s="330"/>
      <c r="I86" s="330"/>
      <c r="J86" s="330"/>
      <c r="K86" s="330"/>
      <c r="L86" s="330"/>
      <c r="M86" s="330"/>
      <c r="N86" s="330"/>
      <c r="O86" s="330"/>
      <c r="P86" s="330"/>
      <c r="Q86" s="330"/>
      <c r="R86" s="330"/>
      <c r="S86" s="330"/>
      <c r="T86" s="330"/>
      <c r="U86" s="330"/>
      <c r="V86" s="330"/>
      <c r="W86" s="330"/>
    </row>
    <row r="87" spans="1:23" x14ac:dyDescent="0.25">
      <c r="A87" s="330"/>
      <c r="B87" s="330"/>
      <c r="C87" s="330"/>
      <c r="D87" s="330"/>
      <c r="E87" s="330"/>
      <c r="F87" s="330"/>
      <c r="G87" s="330"/>
      <c r="H87" s="330"/>
      <c r="I87" s="330"/>
      <c r="J87" s="330"/>
      <c r="K87" s="330"/>
      <c r="L87" s="330"/>
      <c r="M87" s="330"/>
      <c r="N87" s="330"/>
      <c r="O87" s="330"/>
      <c r="P87" s="330"/>
      <c r="Q87" s="330"/>
      <c r="R87" s="330"/>
      <c r="S87" s="330"/>
      <c r="T87" s="330"/>
      <c r="U87" s="330"/>
      <c r="V87" s="330"/>
      <c r="W87" s="330"/>
    </row>
    <row r="88" spans="1:23" x14ac:dyDescent="0.25">
      <c r="A88" s="330"/>
      <c r="B88" s="330"/>
      <c r="C88" s="330"/>
      <c r="D88" s="330"/>
      <c r="E88" s="330"/>
      <c r="F88" s="330"/>
      <c r="G88" s="330"/>
      <c r="H88" s="330"/>
      <c r="I88" s="330"/>
      <c r="J88" s="330"/>
      <c r="K88" s="330"/>
      <c r="L88" s="330"/>
      <c r="M88" s="330"/>
      <c r="N88" s="330"/>
      <c r="O88" s="330"/>
      <c r="P88" s="330"/>
      <c r="Q88" s="330"/>
      <c r="R88" s="330"/>
      <c r="S88" s="330"/>
      <c r="T88" s="330"/>
      <c r="U88" s="330"/>
      <c r="V88" s="330"/>
      <c r="W88" s="330"/>
    </row>
    <row r="89" spans="1:23" x14ac:dyDescent="0.25">
      <c r="A89" s="330"/>
      <c r="B89" s="330"/>
      <c r="C89" s="330"/>
      <c r="D89" s="330"/>
      <c r="E89" s="330"/>
      <c r="F89" s="330"/>
      <c r="G89" s="330"/>
      <c r="H89" s="330"/>
      <c r="I89" s="330"/>
      <c r="J89" s="330"/>
      <c r="K89" s="330"/>
      <c r="L89" s="330"/>
      <c r="M89" s="330"/>
      <c r="N89" s="330"/>
      <c r="O89" s="330"/>
      <c r="P89" s="330"/>
      <c r="Q89" s="330"/>
      <c r="R89" s="330"/>
      <c r="S89" s="330"/>
      <c r="T89" s="330"/>
      <c r="U89" s="330"/>
      <c r="V89" s="330"/>
      <c r="W89" s="330"/>
    </row>
    <row r="90" spans="1:23" x14ac:dyDescent="0.25">
      <c r="A90" s="330"/>
      <c r="B90" s="330"/>
      <c r="C90" s="330"/>
      <c r="D90" s="330"/>
      <c r="E90" s="330"/>
      <c r="F90" s="330"/>
      <c r="G90" s="330"/>
      <c r="H90" s="330"/>
      <c r="I90" s="330"/>
      <c r="J90" s="330"/>
      <c r="K90" s="330"/>
      <c r="L90" s="330"/>
      <c r="M90" s="330"/>
      <c r="N90" s="330"/>
      <c r="O90" s="330"/>
      <c r="P90" s="330"/>
      <c r="Q90" s="330"/>
      <c r="R90" s="330"/>
      <c r="S90" s="330"/>
      <c r="T90" s="330"/>
      <c r="U90" s="330"/>
      <c r="V90" s="330"/>
      <c r="W90" s="330"/>
    </row>
    <row r="91" spans="1:23" x14ac:dyDescent="0.25">
      <c r="A91" s="330"/>
      <c r="B91" s="330"/>
      <c r="C91" s="330"/>
      <c r="D91" s="330"/>
      <c r="E91" s="330"/>
      <c r="F91" s="330"/>
      <c r="G91" s="330"/>
      <c r="H91" s="330"/>
      <c r="I91" s="330"/>
      <c r="J91" s="330"/>
      <c r="K91" s="330"/>
      <c r="L91" s="330"/>
      <c r="M91" s="330"/>
      <c r="N91" s="330"/>
      <c r="O91" s="330"/>
      <c r="P91" s="330"/>
      <c r="Q91" s="330"/>
      <c r="R91" s="330"/>
      <c r="S91" s="330"/>
      <c r="T91" s="330"/>
      <c r="U91" s="330"/>
      <c r="V91" s="330"/>
      <c r="W91" s="330"/>
    </row>
    <row r="92" spans="1:23" x14ac:dyDescent="0.25">
      <c r="A92" s="330"/>
      <c r="B92" s="330"/>
      <c r="C92" s="330"/>
      <c r="D92" s="330"/>
      <c r="E92" s="330"/>
      <c r="F92" s="330"/>
      <c r="G92" s="330"/>
      <c r="H92" s="330"/>
      <c r="I92" s="330"/>
      <c r="J92" s="330"/>
      <c r="K92" s="330"/>
      <c r="L92" s="330"/>
      <c r="M92" s="330"/>
      <c r="N92" s="330"/>
      <c r="O92" s="330"/>
      <c r="P92" s="330"/>
      <c r="Q92" s="330"/>
      <c r="R92" s="330"/>
      <c r="S92" s="330"/>
      <c r="T92" s="330"/>
      <c r="U92" s="330"/>
      <c r="V92" s="330"/>
      <c r="W92" s="330"/>
    </row>
    <row r="93" spans="1:23" x14ac:dyDescent="0.25">
      <c r="A93" s="330"/>
      <c r="B93" s="330"/>
      <c r="C93" s="330"/>
      <c r="D93" s="330"/>
      <c r="E93" s="330"/>
      <c r="F93" s="330"/>
      <c r="G93" s="330"/>
      <c r="H93" s="330"/>
      <c r="I93" s="330"/>
      <c r="J93" s="330"/>
      <c r="K93" s="330"/>
      <c r="L93" s="330"/>
      <c r="M93" s="330"/>
      <c r="N93" s="330"/>
      <c r="O93" s="330"/>
      <c r="P93" s="330"/>
      <c r="Q93" s="330"/>
      <c r="R93" s="330"/>
      <c r="S93" s="330"/>
      <c r="T93" s="330"/>
      <c r="U93" s="330"/>
      <c r="V93" s="330"/>
      <c r="W93" s="330"/>
    </row>
    <row r="94" spans="1:23" x14ac:dyDescent="0.25">
      <c r="A94" s="330"/>
      <c r="B94" s="330"/>
      <c r="C94" s="330"/>
      <c r="D94" s="330"/>
      <c r="E94" s="330"/>
      <c r="F94" s="330"/>
      <c r="G94" s="330"/>
      <c r="H94" s="330"/>
      <c r="I94" s="330"/>
      <c r="J94" s="330"/>
      <c r="K94" s="330"/>
      <c r="L94" s="330"/>
      <c r="M94" s="330"/>
      <c r="N94" s="330"/>
      <c r="O94" s="330"/>
      <c r="P94" s="330"/>
      <c r="Q94" s="330"/>
      <c r="R94" s="330"/>
      <c r="S94" s="330"/>
      <c r="T94" s="330"/>
      <c r="U94" s="330"/>
      <c r="V94" s="330"/>
      <c r="W94" s="330"/>
    </row>
    <row r="95" spans="1:23" x14ac:dyDescent="0.25">
      <c r="A95" s="330"/>
      <c r="B95" s="330"/>
      <c r="C95" s="330"/>
      <c r="D95" s="330"/>
      <c r="E95" s="330"/>
      <c r="F95" s="330"/>
      <c r="G95" s="330"/>
      <c r="H95" s="330"/>
      <c r="I95" s="330"/>
      <c r="J95" s="330"/>
      <c r="K95" s="330"/>
      <c r="L95" s="330"/>
      <c r="M95" s="330"/>
      <c r="N95" s="330"/>
      <c r="O95" s="330"/>
      <c r="P95" s="330"/>
      <c r="Q95" s="330"/>
      <c r="R95" s="330"/>
      <c r="S95" s="330"/>
      <c r="T95" s="330"/>
      <c r="U95" s="330"/>
      <c r="V95" s="330"/>
      <c r="W95" s="330"/>
    </row>
    <row r="96" spans="1:23" x14ac:dyDescent="0.25">
      <c r="A96" s="330"/>
      <c r="B96" s="330"/>
      <c r="C96" s="330"/>
      <c r="D96" s="330"/>
      <c r="E96" s="330"/>
      <c r="F96" s="330"/>
      <c r="G96" s="330"/>
      <c r="H96" s="330"/>
      <c r="I96" s="330"/>
      <c r="J96" s="330"/>
      <c r="K96" s="330"/>
      <c r="L96" s="330"/>
      <c r="M96" s="330"/>
      <c r="N96" s="330"/>
      <c r="O96" s="330"/>
      <c r="P96" s="330"/>
      <c r="Q96" s="330"/>
      <c r="R96" s="330"/>
      <c r="S96" s="330"/>
      <c r="T96" s="330"/>
      <c r="U96" s="330"/>
      <c r="V96" s="330"/>
      <c r="W96" s="330"/>
    </row>
    <row r="97" spans="1:23" x14ac:dyDescent="0.25">
      <c r="A97" s="330"/>
      <c r="B97" s="330"/>
      <c r="C97" s="330"/>
      <c r="D97" s="330"/>
      <c r="E97" s="330"/>
      <c r="F97" s="330"/>
      <c r="G97" s="330"/>
      <c r="H97" s="330"/>
      <c r="I97" s="330"/>
      <c r="J97" s="330"/>
      <c r="K97" s="330"/>
      <c r="L97" s="330"/>
      <c r="M97" s="330"/>
      <c r="N97" s="330"/>
      <c r="O97" s="330"/>
      <c r="P97" s="330"/>
      <c r="Q97" s="330"/>
      <c r="R97" s="330"/>
      <c r="S97" s="330"/>
      <c r="T97" s="330"/>
      <c r="U97" s="330"/>
      <c r="V97" s="330"/>
      <c r="W97" s="330"/>
    </row>
    <row r="98" spans="1:23" x14ac:dyDescent="0.25">
      <c r="A98" s="330"/>
      <c r="B98" s="330"/>
      <c r="C98" s="330"/>
      <c r="D98" s="330"/>
      <c r="E98" s="330"/>
      <c r="F98" s="330"/>
      <c r="G98" s="330"/>
      <c r="H98" s="330"/>
      <c r="I98" s="330"/>
      <c r="J98" s="330"/>
      <c r="K98" s="330"/>
      <c r="L98" s="330"/>
      <c r="M98" s="330"/>
      <c r="N98" s="330"/>
      <c r="O98" s="330"/>
      <c r="P98" s="330"/>
      <c r="Q98" s="330"/>
      <c r="R98" s="330"/>
      <c r="S98" s="330"/>
      <c r="T98" s="330"/>
      <c r="U98" s="330"/>
      <c r="V98" s="330"/>
      <c r="W98" s="330"/>
    </row>
    <row r="99" spans="1:23" x14ac:dyDescent="0.25">
      <c r="A99" s="330"/>
      <c r="B99" s="330"/>
      <c r="C99" s="330"/>
      <c r="D99" s="330"/>
      <c r="E99" s="330"/>
      <c r="F99" s="330"/>
      <c r="G99" s="330"/>
      <c r="H99" s="330"/>
      <c r="I99" s="330"/>
      <c r="J99" s="330"/>
      <c r="K99" s="330"/>
      <c r="L99" s="330"/>
      <c r="M99" s="330"/>
      <c r="N99" s="330"/>
      <c r="O99" s="330"/>
      <c r="P99" s="330"/>
      <c r="Q99" s="330"/>
      <c r="R99" s="330"/>
      <c r="S99" s="330"/>
      <c r="T99" s="330"/>
      <c r="U99" s="330"/>
      <c r="V99" s="330"/>
      <c r="W99" s="330"/>
    </row>
    <row r="100" spans="1:23" x14ac:dyDescent="0.25">
      <c r="A100" s="330"/>
      <c r="B100" s="330"/>
      <c r="C100" s="330"/>
      <c r="D100" s="330"/>
      <c r="E100" s="330"/>
      <c r="F100" s="330"/>
      <c r="G100" s="330"/>
      <c r="H100" s="330"/>
      <c r="I100" s="330"/>
      <c r="J100" s="330"/>
      <c r="K100" s="330"/>
      <c r="L100" s="330"/>
      <c r="M100" s="330"/>
      <c r="N100" s="330"/>
      <c r="O100" s="330"/>
      <c r="P100" s="330"/>
      <c r="Q100" s="330"/>
      <c r="R100" s="330"/>
      <c r="S100" s="330"/>
      <c r="T100" s="330"/>
      <c r="U100" s="330"/>
      <c r="V100" s="330"/>
      <c r="W100" s="330"/>
    </row>
    <row r="101" spans="1:23" x14ac:dyDescent="0.25">
      <c r="A101" s="330"/>
      <c r="B101" s="330"/>
      <c r="C101" s="330"/>
      <c r="D101" s="330"/>
      <c r="E101" s="330"/>
      <c r="F101" s="330"/>
      <c r="G101" s="330"/>
      <c r="H101" s="330"/>
      <c r="I101" s="330"/>
      <c r="J101" s="330"/>
      <c r="K101" s="330"/>
      <c r="L101" s="330"/>
      <c r="M101" s="330"/>
      <c r="N101" s="330"/>
      <c r="O101" s="330"/>
      <c r="P101" s="330"/>
      <c r="Q101" s="330"/>
      <c r="R101" s="330"/>
      <c r="S101" s="330"/>
      <c r="T101" s="330"/>
      <c r="U101" s="330"/>
      <c r="V101" s="330"/>
      <c r="W101" s="330"/>
    </row>
    <row r="102" spans="1:23" x14ac:dyDescent="0.25">
      <c r="A102" s="2" t="s">
        <v>1408</v>
      </c>
      <c r="F102" s="330"/>
      <c r="G102" s="330"/>
      <c r="H102" s="330"/>
      <c r="I102" s="330"/>
      <c r="J102" s="330"/>
      <c r="K102" s="330"/>
      <c r="L102" s="330"/>
      <c r="M102" s="330"/>
      <c r="N102" s="330"/>
      <c r="O102" s="330"/>
      <c r="P102" s="330"/>
      <c r="Q102" s="330"/>
      <c r="R102" s="330"/>
      <c r="S102" s="330"/>
      <c r="T102" s="330"/>
      <c r="U102" s="330"/>
      <c r="V102" s="330"/>
      <c r="W102" s="330"/>
    </row>
    <row r="103" spans="1:23" x14ac:dyDescent="0.25">
      <c r="F103" s="330"/>
      <c r="G103" s="330"/>
      <c r="H103" s="330"/>
      <c r="I103" s="330"/>
      <c r="J103" s="330"/>
      <c r="K103" s="330"/>
      <c r="L103" s="330"/>
      <c r="M103" s="330"/>
      <c r="N103" s="330"/>
      <c r="O103" s="330"/>
      <c r="P103" s="330"/>
      <c r="Q103" s="330"/>
      <c r="R103" s="330"/>
      <c r="S103" s="330"/>
      <c r="T103" s="330"/>
      <c r="U103" s="330"/>
      <c r="V103" s="330"/>
      <c r="W103" s="330"/>
    </row>
    <row r="104" spans="1:23" x14ac:dyDescent="0.25">
      <c r="F104" s="330"/>
      <c r="G104" s="330"/>
      <c r="H104" s="330"/>
      <c r="I104" s="330"/>
      <c r="J104" s="330"/>
      <c r="K104" s="330"/>
      <c r="L104" s="330"/>
      <c r="M104" s="330"/>
      <c r="N104" s="330"/>
      <c r="O104" s="330"/>
      <c r="P104" s="330"/>
      <c r="Q104" s="330"/>
      <c r="R104" s="330"/>
      <c r="S104" s="330"/>
      <c r="T104" s="330"/>
      <c r="U104" s="330"/>
      <c r="V104" s="330"/>
      <c r="W104" s="330"/>
    </row>
    <row r="105" spans="1:23" x14ac:dyDescent="0.25">
      <c r="F105" s="330"/>
      <c r="G105" s="330"/>
      <c r="H105" s="330"/>
      <c r="I105" s="330"/>
      <c r="J105" s="330"/>
      <c r="K105" s="330"/>
      <c r="L105" s="330"/>
      <c r="M105" s="330"/>
      <c r="N105" s="330"/>
      <c r="O105" s="330"/>
      <c r="P105" s="330"/>
      <c r="Q105" s="330"/>
      <c r="R105" s="330"/>
      <c r="S105" s="330"/>
      <c r="T105" s="330"/>
      <c r="U105" s="330"/>
      <c r="V105" s="330"/>
      <c r="W105" s="330"/>
    </row>
    <row r="106" spans="1:23" x14ac:dyDescent="0.25">
      <c r="F106" s="330"/>
      <c r="G106" s="330"/>
      <c r="H106" s="330"/>
      <c r="I106" s="330"/>
      <c r="J106" s="330"/>
      <c r="K106" s="330"/>
      <c r="L106" s="330"/>
      <c r="M106" s="330"/>
      <c r="N106" s="330"/>
      <c r="O106" s="330"/>
      <c r="P106" s="330"/>
      <c r="Q106" s="330"/>
      <c r="R106" s="330"/>
      <c r="S106" s="330"/>
      <c r="T106" s="330"/>
      <c r="U106" s="330"/>
      <c r="V106" s="330"/>
      <c r="W106" s="330"/>
    </row>
    <row r="107" spans="1:23" x14ac:dyDescent="0.25">
      <c r="F107" s="330"/>
      <c r="G107" s="330"/>
      <c r="H107" s="330"/>
      <c r="I107" s="330"/>
      <c r="J107" s="330"/>
      <c r="K107" s="330"/>
      <c r="L107" s="330"/>
      <c r="M107" s="330"/>
      <c r="N107" s="330"/>
      <c r="O107" s="330"/>
      <c r="P107" s="330"/>
      <c r="Q107" s="330"/>
      <c r="R107" s="330"/>
      <c r="S107" s="330"/>
      <c r="T107" s="330"/>
      <c r="U107" s="330"/>
      <c r="V107" s="330"/>
      <c r="W107" s="330"/>
    </row>
    <row r="108" spans="1:23" x14ac:dyDescent="0.25">
      <c r="F108" s="330"/>
      <c r="G108" s="330"/>
      <c r="H108" s="330"/>
      <c r="I108" s="330"/>
      <c r="J108" s="330"/>
      <c r="K108" s="330"/>
      <c r="L108" s="330"/>
      <c r="M108" s="330"/>
      <c r="N108" s="330"/>
      <c r="O108" s="330"/>
      <c r="P108" s="330"/>
      <c r="Q108" s="330"/>
      <c r="R108" s="330"/>
      <c r="S108" s="330"/>
      <c r="T108" s="330"/>
      <c r="U108" s="330"/>
      <c r="V108" s="330"/>
      <c r="W108" s="330"/>
    </row>
    <row r="109" spans="1:23" x14ac:dyDescent="0.25">
      <c r="F109" s="330"/>
      <c r="G109" s="330"/>
      <c r="H109" s="330"/>
      <c r="I109" s="330"/>
      <c r="J109" s="330"/>
      <c r="K109" s="330"/>
      <c r="L109" s="330"/>
      <c r="M109" s="330"/>
      <c r="N109" s="330"/>
      <c r="O109" s="330"/>
      <c r="P109" s="330"/>
      <c r="Q109" s="330"/>
      <c r="R109" s="330"/>
      <c r="S109" s="330"/>
      <c r="T109" s="330"/>
      <c r="U109" s="330"/>
      <c r="V109" s="330"/>
      <c r="W109" s="330"/>
    </row>
    <row r="110" spans="1:23" x14ac:dyDescent="0.25">
      <c r="F110" s="330"/>
      <c r="G110" s="330"/>
      <c r="H110" s="330"/>
      <c r="I110" s="330"/>
      <c r="J110" s="330"/>
      <c r="K110" s="330"/>
      <c r="L110" s="330"/>
      <c r="M110" s="330"/>
      <c r="N110" s="330"/>
      <c r="O110" s="330"/>
      <c r="P110" s="330"/>
      <c r="Q110" s="330"/>
      <c r="R110" s="330"/>
      <c r="S110" s="330"/>
      <c r="T110" s="330"/>
      <c r="U110" s="330"/>
      <c r="V110" s="330"/>
      <c r="W110" s="330"/>
    </row>
    <row r="111" spans="1:23" x14ac:dyDescent="0.25">
      <c r="F111" s="330"/>
      <c r="G111" s="330"/>
      <c r="H111" s="330"/>
      <c r="I111" s="330"/>
      <c r="J111" s="330"/>
      <c r="K111" s="330"/>
      <c r="L111" s="330"/>
      <c r="M111" s="330"/>
      <c r="N111" s="330"/>
      <c r="O111" s="330"/>
      <c r="P111" s="330"/>
      <c r="Q111" s="330"/>
      <c r="R111" s="330"/>
      <c r="S111" s="330"/>
      <c r="T111" s="330"/>
      <c r="U111" s="330"/>
      <c r="V111" s="330"/>
      <c r="W111" s="330"/>
    </row>
    <row r="112" spans="1:23" x14ac:dyDescent="0.25">
      <c r="F112" s="330"/>
      <c r="G112" s="330"/>
      <c r="H112" s="330"/>
      <c r="I112" s="330"/>
      <c r="J112" s="330"/>
      <c r="K112" s="330"/>
      <c r="L112" s="330"/>
      <c r="M112" s="330"/>
      <c r="N112" s="330"/>
      <c r="O112" s="330"/>
      <c r="P112" s="330"/>
      <c r="Q112" s="330"/>
      <c r="R112" s="330"/>
      <c r="S112" s="330"/>
      <c r="T112" s="330"/>
      <c r="U112" s="330"/>
      <c r="V112" s="330"/>
      <c r="W112" s="330"/>
    </row>
    <row r="113" spans="6:23" x14ac:dyDescent="0.25">
      <c r="F113" s="330"/>
      <c r="G113" s="330"/>
      <c r="H113" s="330"/>
      <c r="I113" s="330"/>
      <c r="J113" s="330"/>
      <c r="K113" s="330"/>
      <c r="L113" s="330"/>
      <c r="M113" s="330"/>
      <c r="N113" s="330"/>
      <c r="O113" s="330"/>
      <c r="P113" s="330"/>
      <c r="Q113" s="330"/>
      <c r="R113" s="330"/>
      <c r="S113" s="330"/>
      <c r="T113" s="330"/>
      <c r="U113" s="330"/>
      <c r="V113" s="330"/>
      <c r="W113" s="330"/>
    </row>
    <row r="114" spans="6:23" x14ac:dyDescent="0.25">
      <c r="F114" s="330"/>
      <c r="G114" s="330"/>
      <c r="H114" s="330"/>
      <c r="I114" s="330"/>
      <c r="J114" s="330"/>
      <c r="K114" s="330"/>
      <c r="L114" s="330"/>
      <c r="M114" s="330"/>
      <c r="N114" s="330"/>
      <c r="O114" s="330"/>
      <c r="P114" s="330"/>
      <c r="Q114" s="330"/>
      <c r="R114" s="330"/>
      <c r="S114" s="330"/>
      <c r="T114" s="330"/>
      <c r="U114" s="330"/>
      <c r="V114" s="330"/>
      <c r="W114" s="330"/>
    </row>
    <row r="115" spans="6:23" x14ac:dyDescent="0.25">
      <c r="F115" s="330"/>
      <c r="G115" s="330"/>
      <c r="H115" s="330"/>
      <c r="I115" s="330"/>
      <c r="J115" s="330"/>
      <c r="K115" s="330"/>
      <c r="L115" s="330"/>
      <c r="M115" s="330"/>
      <c r="N115" s="330"/>
      <c r="O115" s="330"/>
      <c r="P115" s="330"/>
      <c r="Q115" s="330"/>
      <c r="R115" s="330"/>
      <c r="S115" s="330"/>
      <c r="T115" s="330"/>
      <c r="U115" s="330"/>
      <c r="V115" s="330"/>
      <c r="W115" s="330"/>
    </row>
    <row r="116" spans="6:23" x14ac:dyDescent="0.25">
      <c r="F116" s="330"/>
      <c r="G116" s="330"/>
      <c r="H116" s="330"/>
      <c r="I116" s="330"/>
      <c r="J116" s="330"/>
      <c r="K116" s="330"/>
      <c r="L116" s="330"/>
      <c r="M116" s="330"/>
      <c r="N116" s="330"/>
      <c r="O116" s="330"/>
      <c r="P116" s="330"/>
      <c r="Q116" s="330"/>
      <c r="R116" s="330"/>
      <c r="S116" s="330"/>
      <c r="T116" s="330"/>
      <c r="U116" s="330"/>
      <c r="V116" s="330"/>
      <c r="W116" s="330"/>
    </row>
    <row r="117" spans="6:23" x14ac:dyDescent="0.25">
      <c r="F117" s="330"/>
      <c r="G117" s="330"/>
      <c r="H117" s="330"/>
      <c r="I117" s="330"/>
      <c r="J117" s="330"/>
      <c r="K117" s="330"/>
      <c r="L117" s="330"/>
      <c r="M117" s="330"/>
      <c r="N117" s="330"/>
      <c r="O117" s="330"/>
      <c r="P117" s="330"/>
      <c r="Q117" s="330"/>
      <c r="R117" s="330"/>
      <c r="S117" s="330"/>
      <c r="T117" s="330"/>
      <c r="U117" s="330"/>
      <c r="V117" s="330"/>
      <c r="W117" s="330"/>
    </row>
    <row r="118" spans="6:23" x14ac:dyDescent="0.25">
      <c r="F118" s="330"/>
      <c r="G118" s="330"/>
      <c r="H118" s="330"/>
      <c r="I118" s="330"/>
      <c r="J118" s="330"/>
      <c r="K118" s="330"/>
      <c r="L118" s="330"/>
      <c r="M118" s="330"/>
      <c r="N118" s="330"/>
      <c r="O118" s="330"/>
      <c r="P118" s="330"/>
      <c r="Q118" s="330"/>
      <c r="R118" s="330"/>
      <c r="S118" s="330"/>
      <c r="T118" s="330"/>
      <c r="U118" s="330"/>
      <c r="V118" s="330"/>
      <c r="W118" s="330"/>
    </row>
    <row r="119" spans="6:23" x14ac:dyDescent="0.25">
      <c r="F119" s="330"/>
      <c r="G119" s="330"/>
      <c r="H119" s="330"/>
      <c r="I119" s="330"/>
      <c r="J119" s="330"/>
      <c r="K119" s="330"/>
      <c r="L119" s="330"/>
      <c r="M119" s="330"/>
      <c r="N119" s="330"/>
      <c r="O119" s="330"/>
      <c r="P119" s="330"/>
      <c r="Q119" s="330"/>
      <c r="R119" s="330"/>
      <c r="S119" s="330"/>
      <c r="T119" s="330"/>
      <c r="U119" s="330"/>
      <c r="V119" s="330"/>
      <c r="W119" s="330"/>
    </row>
    <row r="120" spans="6:23" x14ac:dyDescent="0.25">
      <c r="F120" s="330"/>
      <c r="G120" s="330"/>
      <c r="H120" s="330"/>
      <c r="I120" s="330"/>
      <c r="J120" s="330"/>
      <c r="K120" s="330"/>
      <c r="L120" s="330"/>
      <c r="M120" s="330"/>
      <c r="N120" s="330"/>
      <c r="O120" s="330"/>
      <c r="P120" s="330"/>
      <c r="Q120" s="330"/>
      <c r="R120" s="330"/>
      <c r="S120" s="330"/>
      <c r="T120" s="330"/>
      <c r="U120" s="330"/>
      <c r="V120" s="330"/>
      <c r="W120" s="330"/>
    </row>
    <row r="121" spans="6:23" x14ac:dyDescent="0.25">
      <c r="F121" s="330"/>
      <c r="G121" s="330"/>
      <c r="H121" s="330"/>
      <c r="I121" s="330"/>
      <c r="J121" s="330"/>
      <c r="K121" s="330"/>
      <c r="L121" s="330"/>
      <c r="M121" s="330"/>
      <c r="N121" s="330"/>
      <c r="O121" s="330"/>
      <c r="P121" s="330"/>
      <c r="Q121" s="330"/>
      <c r="R121" s="330"/>
      <c r="S121" s="330"/>
      <c r="T121" s="330"/>
      <c r="U121" s="330"/>
      <c r="V121" s="330"/>
      <c r="W121" s="330"/>
    </row>
    <row r="122" spans="6:23" x14ac:dyDescent="0.25">
      <c r="F122" s="330"/>
      <c r="G122" s="330"/>
      <c r="H122" s="330"/>
      <c r="I122" s="330"/>
      <c r="J122" s="330"/>
      <c r="K122" s="330"/>
      <c r="L122" s="330"/>
      <c r="M122" s="330"/>
      <c r="N122" s="330"/>
      <c r="O122" s="330"/>
      <c r="P122" s="330"/>
      <c r="Q122" s="330"/>
      <c r="R122" s="330"/>
      <c r="S122" s="330"/>
      <c r="T122" s="330"/>
      <c r="U122" s="330"/>
      <c r="V122" s="330"/>
      <c r="W122" s="330"/>
    </row>
    <row r="123" spans="6:23" x14ac:dyDescent="0.25">
      <c r="F123" s="330"/>
      <c r="G123" s="330"/>
      <c r="H123" s="330"/>
      <c r="I123" s="330"/>
      <c r="J123" s="330"/>
      <c r="K123" s="330"/>
      <c r="L123" s="330"/>
      <c r="M123" s="330"/>
      <c r="N123" s="330"/>
      <c r="O123" s="330"/>
      <c r="P123" s="330"/>
      <c r="Q123" s="330"/>
      <c r="R123" s="330"/>
      <c r="S123" s="330"/>
      <c r="T123" s="330"/>
      <c r="U123" s="330"/>
      <c r="V123" s="330"/>
      <c r="W123" s="330"/>
    </row>
    <row r="124" spans="6:23" x14ac:dyDescent="0.25">
      <c r="F124" s="330"/>
      <c r="G124" s="330"/>
      <c r="H124" s="330"/>
      <c r="I124" s="330"/>
      <c r="J124" s="330"/>
      <c r="K124" s="330"/>
      <c r="L124" s="330"/>
      <c r="M124" s="330"/>
      <c r="N124" s="330"/>
      <c r="O124" s="330"/>
      <c r="P124" s="330"/>
      <c r="Q124" s="330"/>
      <c r="R124" s="330"/>
      <c r="S124" s="330"/>
      <c r="T124" s="330"/>
      <c r="U124" s="330"/>
      <c r="V124" s="330"/>
      <c r="W124" s="330"/>
    </row>
    <row r="125" spans="6:23" x14ac:dyDescent="0.25">
      <c r="F125" s="330"/>
      <c r="G125" s="330"/>
      <c r="H125" s="330"/>
      <c r="I125" s="330"/>
      <c r="J125" s="330"/>
      <c r="K125" s="330"/>
      <c r="L125" s="330"/>
      <c r="M125" s="330"/>
      <c r="N125" s="330"/>
      <c r="O125" s="330"/>
      <c r="P125" s="330"/>
      <c r="Q125" s="330"/>
      <c r="R125" s="330"/>
      <c r="S125" s="330"/>
      <c r="T125" s="330"/>
      <c r="U125" s="330"/>
      <c r="V125" s="330"/>
      <c r="W125" s="330"/>
    </row>
    <row r="126" spans="6:23" x14ac:dyDescent="0.25">
      <c r="F126" s="330"/>
      <c r="G126" s="330"/>
      <c r="H126" s="330"/>
      <c r="I126" s="330"/>
      <c r="J126" s="330"/>
      <c r="K126" s="330"/>
      <c r="L126" s="330"/>
      <c r="M126" s="330"/>
      <c r="N126" s="330"/>
      <c r="O126" s="330"/>
      <c r="P126" s="330"/>
      <c r="Q126" s="330"/>
      <c r="R126" s="330"/>
      <c r="S126" s="330"/>
      <c r="T126" s="330"/>
      <c r="U126" s="330"/>
      <c r="V126" s="330"/>
      <c r="W126" s="330"/>
    </row>
    <row r="127" spans="6:23" x14ac:dyDescent="0.25">
      <c r="F127" s="330"/>
      <c r="G127" s="330"/>
      <c r="H127" s="330"/>
      <c r="I127" s="330"/>
      <c r="J127" s="330"/>
      <c r="K127" s="330"/>
      <c r="L127" s="330"/>
      <c r="M127" s="330"/>
      <c r="N127" s="330"/>
      <c r="O127" s="330"/>
      <c r="P127" s="330"/>
      <c r="Q127" s="330"/>
      <c r="R127" s="330"/>
      <c r="S127" s="330"/>
      <c r="T127" s="330"/>
      <c r="U127" s="330"/>
      <c r="V127" s="330"/>
      <c r="W127" s="330"/>
    </row>
    <row r="128" spans="6:23" x14ac:dyDescent="0.25">
      <c r="F128" s="330"/>
      <c r="G128" s="330"/>
      <c r="H128" s="330"/>
      <c r="I128" s="330"/>
      <c r="J128" s="330"/>
      <c r="K128" s="330"/>
      <c r="L128" s="330"/>
      <c r="M128" s="330"/>
      <c r="N128" s="330"/>
      <c r="O128" s="330"/>
      <c r="P128" s="330"/>
      <c r="Q128" s="330"/>
      <c r="R128" s="330"/>
      <c r="S128" s="330"/>
      <c r="T128" s="330"/>
      <c r="U128" s="330"/>
      <c r="V128" s="330"/>
      <c r="W128" s="330"/>
    </row>
    <row r="129" spans="6:23" x14ac:dyDescent="0.25">
      <c r="F129" s="330"/>
      <c r="G129" s="330"/>
      <c r="H129" s="330"/>
      <c r="I129" s="330"/>
      <c r="J129" s="330"/>
      <c r="K129" s="330"/>
      <c r="L129" s="330"/>
      <c r="M129" s="330"/>
      <c r="N129" s="330"/>
      <c r="O129" s="330"/>
      <c r="P129" s="330"/>
      <c r="Q129" s="330"/>
      <c r="R129" s="330"/>
      <c r="S129" s="330"/>
      <c r="T129" s="330"/>
      <c r="U129" s="330"/>
      <c r="V129" s="330"/>
      <c r="W129" s="330"/>
    </row>
    <row r="130" spans="6:23" x14ac:dyDescent="0.25">
      <c r="F130" s="330"/>
      <c r="G130" s="330"/>
      <c r="H130" s="330"/>
      <c r="I130" s="330"/>
      <c r="J130" s="330"/>
      <c r="K130" s="330"/>
      <c r="L130" s="330"/>
      <c r="M130" s="330"/>
      <c r="N130" s="330"/>
      <c r="O130" s="330"/>
      <c r="P130" s="330"/>
      <c r="Q130" s="330"/>
      <c r="R130" s="330"/>
      <c r="S130" s="330"/>
      <c r="T130" s="330"/>
      <c r="U130" s="330"/>
      <c r="V130" s="330"/>
      <c r="W130" s="330"/>
    </row>
    <row r="131" spans="6:23" x14ac:dyDescent="0.25">
      <c r="F131" s="330"/>
      <c r="G131" s="330"/>
      <c r="H131" s="330"/>
      <c r="I131" s="330"/>
      <c r="J131" s="330"/>
      <c r="K131" s="330"/>
      <c r="L131" s="330"/>
      <c r="M131" s="330"/>
      <c r="N131" s="330"/>
      <c r="O131" s="330"/>
      <c r="P131" s="330"/>
      <c r="Q131" s="330"/>
      <c r="R131" s="330"/>
      <c r="S131" s="330"/>
      <c r="T131" s="330"/>
      <c r="U131" s="330"/>
      <c r="V131" s="330"/>
      <c r="W131" s="330"/>
    </row>
    <row r="132" spans="6:23" x14ac:dyDescent="0.25">
      <c r="F132" s="330"/>
      <c r="G132" s="330"/>
      <c r="H132" s="330"/>
      <c r="I132" s="330"/>
      <c r="J132" s="330"/>
      <c r="K132" s="330"/>
      <c r="L132" s="330"/>
      <c r="M132" s="330"/>
      <c r="N132" s="330"/>
      <c r="O132" s="330"/>
      <c r="P132" s="330"/>
      <c r="Q132" s="330"/>
      <c r="R132" s="330"/>
      <c r="S132" s="330"/>
      <c r="T132" s="330"/>
      <c r="U132" s="330"/>
      <c r="V132" s="330"/>
      <c r="W132" s="330"/>
    </row>
    <row r="133" spans="6:23" x14ac:dyDescent="0.25">
      <c r="F133" s="330"/>
      <c r="G133" s="330"/>
      <c r="H133" s="330"/>
      <c r="I133" s="330"/>
      <c r="J133" s="330"/>
      <c r="K133" s="330"/>
      <c r="L133" s="330"/>
      <c r="M133" s="330"/>
      <c r="N133" s="330"/>
      <c r="O133" s="330"/>
      <c r="P133" s="330"/>
      <c r="Q133" s="330"/>
      <c r="R133" s="330"/>
      <c r="S133" s="330"/>
      <c r="T133" s="330"/>
      <c r="U133" s="330"/>
      <c r="V133" s="330"/>
      <c r="W133" s="330"/>
    </row>
    <row r="134" spans="6:23" x14ac:dyDescent="0.25">
      <c r="F134" s="330"/>
      <c r="G134" s="330"/>
      <c r="H134" s="330"/>
      <c r="I134" s="330"/>
      <c r="J134" s="330"/>
      <c r="K134" s="330"/>
      <c r="L134" s="330"/>
      <c r="M134" s="330"/>
      <c r="N134" s="330"/>
      <c r="O134" s="330"/>
      <c r="P134" s="330"/>
      <c r="Q134" s="330"/>
      <c r="R134" s="330"/>
      <c r="S134" s="330"/>
      <c r="T134" s="330"/>
      <c r="U134" s="330"/>
      <c r="V134" s="330"/>
      <c r="W134" s="330"/>
    </row>
    <row r="135" spans="6:23" x14ac:dyDescent="0.25">
      <c r="F135" s="330"/>
      <c r="G135" s="330"/>
      <c r="H135" s="330"/>
      <c r="I135" s="330"/>
      <c r="J135" s="330"/>
      <c r="K135" s="330"/>
      <c r="L135" s="330"/>
      <c r="M135" s="330"/>
      <c r="N135" s="330"/>
      <c r="O135" s="330"/>
      <c r="P135" s="330"/>
      <c r="Q135" s="330"/>
      <c r="R135" s="330"/>
      <c r="S135" s="330"/>
      <c r="T135" s="330"/>
      <c r="U135" s="330"/>
      <c r="V135" s="330"/>
      <c r="W135" s="330"/>
    </row>
    <row r="136" spans="6:23" x14ac:dyDescent="0.25">
      <c r="F136" s="330"/>
      <c r="G136" s="330"/>
      <c r="H136" s="330"/>
      <c r="I136" s="330"/>
      <c r="J136" s="330"/>
      <c r="K136" s="330"/>
      <c r="L136" s="330"/>
      <c r="M136" s="330"/>
      <c r="N136" s="330"/>
      <c r="O136" s="330"/>
      <c r="P136" s="330"/>
      <c r="Q136" s="330"/>
      <c r="R136" s="330"/>
      <c r="S136" s="330"/>
      <c r="T136" s="330"/>
      <c r="U136" s="330"/>
      <c r="V136" s="330"/>
      <c r="W136" s="330"/>
    </row>
    <row r="137" spans="6:23" x14ac:dyDescent="0.25">
      <c r="F137" s="330"/>
      <c r="G137" s="330"/>
      <c r="H137" s="330"/>
      <c r="I137" s="330"/>
      <c r="J137" s="330"/>
      <c r="K137" s="330"/>
      <c r="L137" s="330"/>
      <c r="M137" s="330"/>
      <c r="N137" s="330"/>
      <c r="O137" s="330"/>
      <c r="P137" s="330"/>
      <c r="Q137" s="330"/>
      <c r="R137" s="330"/>
      <c r="S137" s="330"/>
      <c r="T137" s="330"/>
      <c r="U137" s="330"/>
      <c r="V137" s="330"/>
      <c r="W137" s="330"/>
    </row>
    <row r="138" spans="6:23" x14ac:dyDescent="0.25">
      <c r="F138" s="330"/>
      <c r="G138" s="330"/>
      <c r="H138" s="330"/>
      <c r="I138" s="330"/>
      <c r="J138" s="330"/>
      <c r="K138" s="330"/>
      <c r="L138" s="330"/>
      <c r="M138" s="330"/>
      <c r="N138" s="330"/>
      <c r="O138" s="330"/>
      <c r="P138" s="330"/>
      <c r="Q138" s="330"/>
      <c r="R138" s="330"/>
      <c r="S138" s="330"/>
      <c r="T138" s="330"/>
      <c r="U138" s="330"/>
      <c r="V138" s="330"/>
      <c r="W138" s="330"/>
    </row>
    <row r="139" spans="6:23" x14ac:dyDescent="0.25">
      <c r="F139" s="330"/>
      <c r="G139" s="330"/>
      <c r="H139" s="330"/>
      <c r="I139" s="330"/>
      <c r="J139" s="330"/>
      <c r="K139" s="330"/>
      <c r="L139" s="330"/>
      <c r="M139" s="330"/>
      <c r="N139" s="330"/>
      <c r="O139" s="330"/>
      <c r="P139" s="330"/>
      <c r="Q139" s="330"/>
      <c r="R139" s="330"/>
      <c r="S139" s="330"/>
      <c r="T139" s="330"/>
      <c r="U139" s="330"/>
      <c r="V139" s="330"/>
      <c r="W139" s="330"/>
    </row>
    <row r="140" spans="6:23" x14ac:dyDescent="0.25">
      <c r="F140" s="330"/>
      <c r="G140" s="330"/>
      <c r="H140" s="330"/>
      <c r="I140" s="330"/>
      <c r="J140" s="330"/>
      <c r="K140" s="330"/>
      <c r="L140" s="330"/>
      <c r="M140" s="330"/>
      <c r="N140" s="330"/>
      <c r="O140" s="330"/>
      <c r="P140" s="330"/>
      <c r="Q140" s="330"/>
      <c r="R140" s="330"/>
      <c r="S140" s="330"/>
      <c r="T140" s="330"/>
      <c r="U140" s="330"/>
      <c r="V140" s="330"/>
      <c r="W140" s="330"/>
    </row>
    <row r="141" spans="6:23" x14ac:dyDescent="0.25">
      <c r="F141" s="330"/>
      <c r="G141" s="330"/>
      <c r="H141" s="330"/>
      <c r="I141" s="330"/>
      <c r="J141" s="330"/>
      <c r="K141" s="330"/>
      <c r="L141" s="330"/>
      <c r="M141" s="330"/>
      <c r="N141" s="330"/>
      <c r="O141" s="330"/>
      <c r="P141" s="330"/>
      <c r="Q141" s="330"/>
      <c r="R141" s="330"/>
      <c r="S141" s="330"/>
      <c r="T141" s="330"/>
      <c r="U141" s="330"/>
      <c r="V141" s="330"/>
      <c r="W141" s="330"/>
    </row>
    <row r="142" spans="6:23" x14ac:dyDescent="0.25">
      <c r="F142" s="330"/>
      <c r="G142" s="330"/>
      <c r="H142" s="330"/>
      <c r="I142" s="330"/>
      <c r="J142" s="330"/>
      <c r="K142" s="330"/>
      <c r="L142" s="330"/>
      <c r="M142" s="330"/>
      <c r="N142" s="330"/>
      <c r="O142" s="330"/>
      <c r="P142" s="330"/>
      <c r="Q142" s="330"/>
      <c r="R142" s="330"/>
      <c r="S142" s="330"/>
      <c r="T142" s="330"/>
      <c r="U142" s="330"/>
      <c r="V142" s="330"/>
      <c r="W142" s="330"/>
    </row>
    <row r="143" spans="6:23" x14ac:dyDescent="0.25">
      <c r="F143" s="330"/>
      <c r="G143" s="330"/>
      <c r="H143" s="330"/>
      <c r="I143" s="330"/>
      <c r="J143" s="330"/>
      <c r="K143" s="330"/>
      <c r="L143" s="330"/>
      <c r="M143" s="330"/>
      <c r="N143" s="330"/>
      <c r="O143" s="330"/>
      <c r="P143" s="330"/>
      <c r="Q143" s="330"/>
      <c r="R143" s="330"/>
      <c r="S143" s="330"/>
      <c r="T143" s="330"/>
      <c r="U143" s="330"/>
      <c r="V143" s="330"/>
      <c r="W143" s="330"/>
    </row>
    <row r="144" spans="6:23" x14ac:dyDescent="0.25">
      <c r="F144" s="330"/>
      <c r="G144" s="330"/>
      <c r="H144" s="330"/>
      <c r="I144" s="330"/>
      <c r="J144" s="330"/>
      <c r="K144" s="330"/>
      <c r="L144" s="330"/>
      <c r="M144" s="330"/>
      <c r="N144" s="330"/>
      <c r="O144" s="330"/>
      <c r="P144" s="330"/>
      <c r="Q144" s="330"/>
      <c r="R144" s="330"/>
      <c r="S144" s="330"/>
      <c r="T144" s="330"/>
      <c r="U144" s="330"/>
      <c r="V144" s="330"/>
      <c r="W144" s="330"/>
    </row>
    <row r="145" spans="6:23" x14ac:dyDescent="0.25">
      <c r="F145" s="330"/>
      <c r="G145" s="330"/>
      <c r="H145" s="330"/>
      <c r="I145" s="330"/>
      <c r="J145" s="330"/>
      <c r="K145" s="330"/>
      <c r="L145" s="330"/>
      <c r="M145" s="330"/>
      <c r="N145" s="330"/>
      <c r="O145" s="330"/>
      <c r="P145" s="330"/>
      <c r="Q145" s="330"/>
      <c r="R145" s="330"/>
      <c r="S145" s="330"/>
      <c r="T145" s="330"/>
      <c r="U145" s="330"/>
      <c r="V145" s="330"/>
      <c r="W145" s="330"/>
    </row>
    <row r="146" spans="6:23" x14ac:dyDescent="0.25">
      <c r="F146" s="330"/>
      <c r="G146" s="330"/>
      <c r="H146" s="330"/>
      <c r="I146" s="330"/>
      <c r="J146" s="330"/>
      <c r="K146" s="330"/>
      <c r="L146" s="330"/>
      <c r="M146" s="330"/>
      <c r="N146" s="330"/>
      <c r="O146" s="330"/>
      <c r="P146" s="330"/>
      <c r="Q146" s="330"/>
      <c r="R146" s="330"/>
      <c r="S146" s="330"/>
      <c r="T146" s="330"/>
      <c r="U146" s="330"/>
      <c r="V146" s="330"/>
      <c r="W146" s="330"/>
    </row>
    <row r="147" spans="6:23" x14ac:dyDescent="0.25">
      <c r="F147" s="330"/>
      <c r="G147" s="330"/>
      <c r="H147" s="330"/>
      <c r="I147" s="330"/>
      <c r="J147" s="330"/>
      <c r="K147" s="330"/>
      <c r="L147" s="330"/>
      <c r="M147" s="330"/>
      <c r="N147" s="330"/>
      <c r="O147" s="330"/>
      <c r="P147" s="330"/>
      <c r="Q147" s="330"/>
      <c r="R147" s="330"/>
      <c r="S147" s="330"/>
      <c r="T147" s="330"/>
      <c r="U147" s="330"/>
      <c r="V147" s="330"/>
      <c r="W147" s="330"/>
    </row>
    <row r="148" spans="6:23" x14ac:dyDescent="0.25">
      <c r="F148" s="330"/>
      <c r="G148" s="330"/>
      <c r="H148" s="330"/>
      <c r="I148" s="330"/>
      <c r="J148" s="330"/>
      <c r="K148" s="330"/>
      <c r="L148" s="330"/>
      <c r="M148" s="330"/>
      <c r="N148" s="330"/>
      <c r="O148" s="330"/>
      <c r="P148" s="330"/>
      <c r="Q148" s="330"/>
      <c r="R148" s="330"/>
      <c r="S148" s="330"/>
      <c r="T148" s="330"/>
      <c r="U148" s="330"/>
      <c r="V148" s="330"/>
      <c r="W148" s="330"/>
    </row>
    <row r="149" spans="6:23" x14ac:dyDescent="0.25">
      <c r="F149" s="330"/>
      <c r="G149" s="330"/>
      <c r="H149" s="330"/>
      <c r="I149" s="330"/>
      <c r="J149" s="330"/>
      <c r="K149" s="330"/>
      <c r="L149" s="330"/>
      <c r="M149" s="330"/>
      <c r="N149" s="330"/>
      <c r="O149" s="330"/>
      <c r="P149" s="330"/>
      <c r="Q149" s="330"/>
      <c r="R149" s="330"/>
      <c r="S149" s="330"/>
      <c r="T149" s="330"/>
      <c r="U149" s="330"/>
      <c r="V149" s="330"/>
      <c r="W149" s="330"/>
    </row>
    <row r="150" spans="6:23" x14ac:dyDescent="0.25">
      <c r="F150" s="330"/>
      <c r="G150" s="330"/>
      <c r="H150" s="330"/>
      <c r="I150" s="330"/>
      <c r="J150" s="330"/>
      <c r="K150" s="330"/>
      <c r="L150" s="330"/>
      <c r="M150" s="330"/>
      <c r="N150" s="330"/>
      <c r="O150" s="330"/>
      <c r="P150" s="330"/>
      <c r="Q150" s="330"/>
      <c r="R150" s="330"/>
      <c r="S150" s="330"/>
      <c r="T150" s="330"/>
      <c r="U150" s="330"/>
      <c r="V150" s="330"/>
      <c r="W150" s="330"/>
    </row>
    <row r="151" spans="6:23" x14ac:dyDescent="0.25">
      <c r="F151" s="330"/>
      <c r="G151" s="330"/>
      <c r="H151" s="330"/>
      <c r="I151" s="330"/>
      <c r="J151" s="330"/>
      <c r="K151" s="330"/>
      <c r="L151" s="330"/>
      <c r="M151" s="330"/>
      <c r="N151" s="330"/>
      <c r="O151" s="330"/>
      <c r="P151" s="330"/>
      <c r="Q151" s="330"/>
      <c r="R151" s="330"/>
      <c r="S151" s="330"/>
      <c r="T151" s="330"/>
      <c r="U151" s="330"/>
      <c r="V151" s="330"/>
      <c r="W151" s="330"/>
    </row>
    <row r="152" spans="6:23" x14ac:dyDescent="0.25">
      <c r="F152" s="330"/>
      <c r="G152" s="330"/>
      <c r="H152" s="330"/>
      <c r="I152" s="330"/>
      <c r="J152" s="330"/>
      <c r="K152" s="330"/>
      <c r="L152" s="330"/>
      <c r="M152" s="330"/>
      <c r="N152" s="330"/>
      <c r="O152" s="330"/>
      <c r="P152" s="330"/>
      <c r="Q152" s="330"/>
      <c r="R152" s="330"/>
      <c r="S152" s="330"/>
      <c r="T152" s="330"/>
      <c r="U152" s="330"/>
      <c r="V152" s="330"/>
      <c r="W152" s="330"/>
    </row>
    <row r="153" spans="6:23" x14ac:dyDescent="0.25">
      <c r="F153" s="330"/>
      <c r="G153" s="330"/>
      <c r="H153" s="330"/>
      <c r="I153" s="330"/>
      <c r="J153" s="330"/>
      <c r="K153" s="330"/>
      <c r="L153" s="330"/>
      <c r="M153" s="330"/>
      <c r="N153" s="330"/>
      <c r="O153" s="330"/>
      <c r="P153" s="330"/>
      <c r="Q153" s="330"/>
      <c r="R153" s="330"/>
      <c r="S153" s="330"/>
      <c r="T153" s="330"/>
      <c r="U153" s="330"/>
      <c r="V153" s="330"/>
      <c r="W153" s="330"/>
    </row>
    <row r="154" spans="6:23" x14ac:dyDescent="0.25">
      <c r="F154" s="330"/>
      <c r="G154" s="330"/>
      <c r="H154" s="330"/>
      <c r="I154" s="330"/>
      <c r="J154" s="330"/>
      <c r="K154" s="330"/>
      <c r="L154" s="330"/>
      <c r="M154" s="330"/>
      <c r="N154" s="330"/>
      <c r="O154" s="330"/>
      <c r="P154" s="330"/>
      <c r="Q154" s="330"/>
      <c r="R154" s="330"/>
      <c r="S154" s="330"/>
      <c r="T154" s="330"/>
      <c r="U154" s="330"/>
      <c r="V154" s="330"/>
      <c r="W154" s="330"/>
    </row>
    <row r="155" spans="6:23" x14ac:dyDescent="0.25">
      <c r="F155" s="330"/>
      <c r="G155" s="330"/>
      <c r="H155" s="330"/>
      <c r="I155" s="330"/>
      <c r="J155" s="330"/>
      <c r="K155" s="330"/>
      <c r="L155" s="330"/>
      <c r="M155" s="330"/>
      <c r="N155" s="330"/>
      <c r="O155" s="330"/>
      <c r="P155" s="330"/>
      <c r="Q155" s="330"/>
      <c r="R155" s="330"/>
      <c r="S155" s="330"/>
      <c r="T155" s="330"/>
      <c r="U155" s="330"/>
      <c r="V155" s="330"/>
      <c r="W155" s="330"/>
    </row>
    <row r="156" spans="6:23" x14ac:dyDescent="0.25">
      <c r="F156" s="330"/>
      <c r="G156" s="330"/>
      <c r="H156" s="330"/>
      <c r="I156" s="330"/>
      <c r="J156" s="330"/>
      <c r="K156" s="330"/>
      <c r="L156" s="330"/>
      <c r="M156" s="330"/>
      <c r="N156" s="330"/>
      <c r="O156" s="330"/>
      <c r="P156" s="330"/>
      <c r="Q156" s="330"/>
      <c r="R156" s="330"/>
      <c r="S156" s="330"/>
      <c r="T156" s="330"/>
      <c r="U156" s="330"/>
      <c r="V156" s="330"/>
      <c r="W156" s="330"/>
    </row>
    <row r="157" spans="6:23" x14ac:dyDescent="0.25">
      <c r="F157" s="330"/>
      <c r="G157" s="330"/>
      <c r="H157" s="330"/>
      <c r="I157" s="330"/>
      <c r="J157" s="330"/>
      <c r="K157" s="330"/>
      <c r="L157" s="330"/>
      <c r="M157" s="330"/>
      <c r="N157" s="330"/>
      <c r="O157" s="330"/>
      <c r="P157" s="330"/>
      <c r="Q157" s="330"/>
      <c r="R157" s="330"/>
      <c r="S157" s="330"/>
      <c r="T157" s="330"/>
      <c r="U157" s="330"/>
      <c r="V157" s="330"/>
      <c r="W157" s="330"/>
    </row>
    <row r="158" spans="6:23" x14ac:dyDescent="0.25">
      <c r="F158" s="330"/>
      <c r="G158" s="330"/>
      <c r="H158" s="330"/>
      <c r="I158" s="330"/>
      <c r="J158" s="330"/>
      <c r="K158" s="330"/>
      <c r="L158" s="330"/>
      <c r="M158" s="330"/>
      <c r="N158" s="330"/>
      <c r="O158" s="330"/>
      <c r="P158" s="330"/>
      <c r="Q158" s="330"/>
      <c r="R158" s="330"/>
      <c r="S158" s="330"/>
      <c r="T158" s="330"/>
      <c r="U158" s="330"/>
      <c r="V158" s="330"/>
      <c r="W158" s="330"/>
    </row>
    <row r="159" spans="6:23" x14ac:dyDescent="0.25">
      <c r="F159" s="330"/>
      <c r="G159" s="330"/>
      <c r="H159" s="330"/>
      <c r="I159" s="330"/>
      <c r="J159" s="330"/>
      <c r="K159" s="330"/>
      <c r="L159" s="330"/>
      <c r="M159" s="330"/>
      <c r="N159" s="330"/>
      <c r="O159" s="330"/>
      <c r="P159" s="330"/>
      <c r="Q159" s="330"/>
      <c r="R159" s="330"/>
      <c r="S159" s="330"/>
      <c r="T159" s="330"/>
      <c r="U159" s="330"/>
      <c r="V159" s="330"/>
      <c r="W159" s="330"/>
    </row>
    <row r="160" spans="6:23" x14ac:dyDescent="0.25">
      <c r="F160" s="330"/>
      <c r="G160" s="330"/>
      <c r="H160" s="330"/>
      <c r="I160" s="330"/>
      <c r="J160" s="330"/>
      <c r="K160" s="330"/>
      <c r="L160" s="330"/>
      <c r="M160" s="330"/>
      <c r="N160" s="330"/>
      <c r="O160" s="330"/>
      <c r="P160" s="330"/>
      <c r="Q160" s="330"/>
      <c r="R160" s="330"/>
      <c r="S160" s="330"/>
      <c r="T160" s="330"/>
      <c r="U160" s="330"/>
      <c r="V160" s="330"/>
      <c r="W160" s="330"/>
    </row>
    <row r="161" spans="6:23" x14ac:dyDescent="0.25">
      <c r="F161" s="330"/>
      <c r="G161" s="330"/>
      <c r="H161" s="330"/>
      <c r="I161" s="330"/>
      <c r="J161" s="330"/>
      <c r="K161" s="330"/>
      <c r="L161" s="330"/>
      <c r="M161" s="330"/>
      <c r="N161" s="330"/>
      <c r="O161" s="330"/>
      <c r="P161" s="330"/>
      <c r="Q161" s="330"/>
      <c r="R161" s="330"/>
      <c r="S161" s="330"/>
      <c r="T161" s="330"/>
      <c r="U161" s="330"/>
      <c r="V161" s="330"/>
      <c r="W161" s="330"/>
    </row>
    <row r="162" spans="6:23" x14ac:dyDescent="0.25">
      <c r="F162" s="330"/>
      <c r="G162" s="330"/>
      <c r="H162" s="330"/>
      <c r="I162" s="330"/>
      <c r="J162" s="330"/>
      <c r="K162" s="330"/>
      <c r="L162" s="330"/>
      <c r="M162" s="330"/>
      <c r="N162" s="330"/>
      <c r="O162" s="330"/>
      <c r="P162" s="330"/>
      <c r="Q162" s="330"/>
      <c r="R162" s="330"/>
      <c r="S162" s="330"/>
      <c r="T162" s="330"/>
      <c r="U162" s="330"/>
      <c r="V162" s="330"/>
      <c r="W162" s="330"/>
    </row>
    <row r="163" spans="6:23" x14ac:dyDescent="0.25">
      <c r="F163" s="330"/>
      <c r="G163" s="330"/>
      <c r="H163" s="330"/>
      <c r="I163" s="330"/>
      <c r="J163" s="330"/>
      <c r="K163" s="330"/>
      <c r="L163" s="330"/>
      <c r="M163" s="330"/>
      <c r="N163" s="330"/>
      <c r="O163" s="330"/>
      <c r="P163" s="330"/>
      <c r="Q163" s="330"/>
      <c r="R163" s="330"/>
      <c r="S163" s="330"/>
      <c r="T163" s="330"/>
      <c r="U163" s="330"/>
      <c r="V163" s="330"/>
      <c r="W163" s="330"/>
    </row>
    <row r="164" spans="6:23" x14ac:dyDescent="0.25">
      <c r="F164" s="330"/>
      <c r="G164" s="330"/>
      <c r="H164" s="330"/>
      <c r="I164" s="330"/>
      <c r="J164" s="330"/>
      <c r="K164" s="330"/>
      <c r="L164" s="330"/>
      <c r="M164" s="330"/>
      <c r="N164" s="330"/>
      <c r="O164" s="330"/>
      <c r="P164" s="330"/>
      <c r="Q164" s="330"/>
      <c r="R164" s="330"/>
      <c r="S164" s="330"/>
      <c r="T164" s="330"/>
      <c r="U164" s="330"/>
      <c r="V164" s="330"/>
      <c r="W164" s="330"/>
    </row>
    <row r="165" spans="6:23" x14ac:dyDescent="0.25">
      <c r="F165" s="330"/>
      <c r="G165" s="330"/>
      <c r="H165" s="330"/>
      <c r="I165" s="330"/>
      <c r="J165" s="330"/>
      <c r="K165" s="330"/>
      <c r="L165" s="330"/>
      <c r="M165" s="330"/>
      <c r="N165" s="330"/>
      <c r="O165" s="330"/>
      <c r="P165" s="330"/>
      <c r="Q165" s="330"/>
      <c r="R165" s="330"/>
      <c r="S165" s="330"/>
      <c r="T165" s="330"/>
      <c r="U165" s="330"/>
      <c r="V165" s="330"/>
      <c r="W165" s="330"/>
    </row>
    <row r="166" spans="6:23" x14ac:dyDescent="0.25">
      <c r="F166" s="330"/>
      <c r="G166" s="330"/>
      <c r="H166" s="330"/>
      <c r="I166" s="330"/>
      <c r="J166" s="330"/>
      <c r="K166" s="330"/>
      <c r="L166" s="330"/>
      <c r="M166" s="330"/>
      <c r="N166" s="330"/>
      <c r="O166" s="330"/>
      <c r="P166" s="330"/>
      <c r="Q166" s="330"/>
      <c r="R166" s="330"/>
      <c r="S166" s="330"/>
      <c r="T166" s="330"/>
      <c r="U166" s="330"/>
      <c r="V166" s="330"/>
      <c r="W166" s="330"/>
    </row>
    <row r="167" spans="6:23" x14ac:dyDescent="0.25">
      <c r="F167" s="330"/>
      <c r="G167" s="330"/>
      <c r="H167" s="330"/>
      <c r="I167" s="330"/>
      <c r="J167" s="330"/>
      <c r="K167" s="330"/>
      <c r="L167" s="330"/>
      <c r="M167" s="330"/>
      <c r="N167" s="330"/>
      <c r="O167" s="330"/>
      <c r="P167" s="330"/>
      <c r="Q167" s="330"/>
      <c r="R167" s="330"/>
      <c r="S167" s="330"/>
      <c r="T167" s="330"/>
      <c r="U167" s="330"/>
      <c r="V167" s="330"/>
      <c r="W167" s="330"/>
    </row>
    <row r="168" spans="6:23" x14ac:dyDescent="0.25">
      <c r="F168" s="330"/>
      <c r="G168" s="330"/>
      <c r="H168" s="330"/>
      <c r="I168" s="330"/>
      <c r="J168" s="330"/>
      <c r="K168" s="330"/>
      <c r="L168" s="330"/>
      <c r="M168" s="330"/>
      <c r="N168" s="330"/>
      <c r="O168" s="330"/>
      <c r="P168" s="330"/>
      <c r="Q168" s="330"/>
      <c r="R168" s="330"/>
      <c r="S168" s="330"/>
      <c r="T168" s="330"/>
      <c r="U168" s="330"/>
      <c r="V168" s="330"/>
      <c r="W168" s="330"/>
    </row>
    <row r="169" spans="6:23" x14ac:dyDescent="0.25">
      <c r="F169" s="330"/>
      <c r="G169" s="330"/>
      <c r="H169" s="330"/>
      <c r="I169" s="330"/>
      <c r="J169" s="330"/>
      <c r="K169" s="330"/>
      <c r="L169" s="330"/>
      <c r="M169" s="330"/>
      <c r="N169" s="330"/>
      <c r="O169" s="330"/>
      <c r="P169" s="330"/>
      <c r="Q169" s="330"/>
      <c r="R169" s="330"/>
      <c r="S169" s="330"/>
      <c r="T169" s="330"/>
      <c r="U169" s="330"/>
      <c r="V169" s="330"/>
      <c r="W169" s="330"/>
    </row>
    <row r="170" spans="6:23" x14ac:dyDescent="0.25">
      <c r="F170" s="330"/>
      <c r="G170" s="330"/>
      <c r="H170" s="330"/>
      <c r="I170" s="330"/>
      <c r="J170" s="330"/>
      <c r="K170" s="330"/>
      <c r="L170" s="330"/>
      <c r="M170" s="330"/>
      <c r="N170" s="330"/>
      <c r="O170" s="330"/>
      <c r="P170" s="330"/>
      <c r="Q170" s="330"/>
      <c r="R170" s="330"/>
      <c r="S170" s="330"/>
      <c r="T170" s="330"/>
      <c r="U170" s="330"/>
      <c r="V170" s="330"/>
      <c r="W170" s="330"/>
    </row>
    <row r="171" spans="6:23" x14ac:dyDescent="0.25">
      <c r="F171" s="330"/>
      <c r="G171" s="330"/>
      <c r="H171" s="330"/>
      <c r="I171" s="330"/>
      <c r="J171" s="330"/>
      <c r="K171" s="330"/>
      <c r="L171" s="330"/>
      <c r="M171" s="330"/>
      <c r="N171" s="330"/>
      <c r="O171" s="330"/>
      <c r="P171" s="330"/>
      <c r="Q171" s="330"/>
      <c r="R171" s="330"/>
      <c r="S171" s="330"/>
      <c r="T171" s="330"/>
      <c r="U171" s="330"/>
      <c r="V171" s="330"/>
      <c r="W171" s="330"/>
    </row>
    <row r="172" spans="6:23" x14ac:dyDescent="0.25">
      <c r="F172" s="330"/>
      <c r="G172" s="330"/>
      <c r="H172" s="330"/>
      <c r="I172" s="330"/>
      <c r="J172" s="330"/>
      <c r="K172" s="330"/>
      <c r="L172" s="330"/>
      <c r="M172" s="330"/>
      <c r="N172" s="330"/>
      <c r="O172" s="330"/>
      <c r="P172" s="330"/>
      <c r="Q172" s="330"/>
      <c r="R172" s="330"/>
      <c r="S172" s="330"/>
      <c r="T172" s="330"/>
      <c r="U172" s="330"/>
      <c r="V172" s="330"/>
      <c r="W172" s="330"/>
    </row>
    <row r="173" spans="6:23" x14ac:dyDescent="0.25">
      <c r="F173" s="330"/>
      <c r="G173" s="330"/>
      <c r="H173" s="330"/>
      <c r="I173" s="330"/>
      <c r="J173" s="330"/>
      <c r="K173" s="330"/>
      <c r="L173" s="330"/>
      <c r="M173" s="330"/>
      <c r="N173" s="330"/>
      <c r="O173" s="330"/>
      <c r="P173" s="330"/>
      <c r="Q173" s="330"/>
      <c r="R173" s="330"/>
      <c r="S173" s="330"/>
      <c r="T173" s="330"/>
      <c r="U173" s="330"/>
      <c r="V173" s="330"/>
      <c r="W173" s="330"/>
    </row>
    <row r="174" spans="6:23" x14ac:dyDescent="0.25">
      <c r="F174" s="330"/>
      <c r="G174" s="330"/>
      <c r="H174" s="330"/>
      <c r="I174" s="330"/>
      <c r="J174" s="330"/>
      <c r="K174" s="330"/>
      <c r="L174" s="330"/>
      <c r="M174" s="330"/>
      <c r="N174" s="330"/>
      <c r="O174" s="330"/>
      <c r="P174" s="330"/>
      <c r="Q174" s="330"/>
      <c r="R174" s="330"/>
      <c r="S174" s="330"/>
      <c r="T174" s="330"/>
      <c r="U174" s="330"/>
      <c r="V174" s="330"/>
      <c r="W174" s="330"/>
    </row>
    <row r="175" spans="6:23" x14ac:dyDescent="0.25">
      <c r="F175" s="330"/>
      <c r="G175" s="330"/>
      <c r="H175" s="330"/>
      <c r="I175" s="330"/>
      <c r="J175" s="330"/>
      <c r="K175" s="330"/>
      <c r="L175" s="330"/>
      <c r="M175" s="330"/>
      <c r="N175" s="330"/>
      <c r="O175" s="330"/>
      <c r="P175" s="330"/>
      <c r="Q175" s="330"/>
      <c r="R175" s="330"/>
      <c r="S175" s="330"/>
      <c r="T175" s="330"/>
      <c r="U175" s="330"/>
      <c r="V175" s="330"/>
      <c r="W175" s="330"/>
    </row>
    <row r="176" spans="6:23" x14ac:dyDescent="0.25">
      <c r="F176" s="330"/>
      <c r="G176" s="330"/>
      <c r="H176" s="330"/>
      <c r="I176" s="330"/>
      <c r="J176" s="330"/>
      <c r="K176" s="330"/>
      <c r="L176" s="330"/>
      <c r="M176" s="330"/>
      <c r="N176" s="330"/>
      <c r="O176" s="330"/>
      <c r="P176" s="330"/>
      <c r="Q176" s="330"/>
      <c r="R176" s="330"/>
      <c r="S176" s="330"/>
      <c r="T176" s="330"/>
      <c r="U176" s="330"/>
      <c r="V176" s="330"/>
      <c r="W176" s="330"/>
    </row>
    <row r="177" spans="6:23" x14ac:dyDescent="0.25">
      <c r="F177" s="330"/>
      <c r="G177" s="330"/>
      <c r="H177" s="330"/>
      <c r="I177" s="330"/>
      <c r="J177" s="330"/>
      <c r="K177" s="330"/>
      <c r="L177" s="330"/>
      <c r="M177" s="330"/>
      <c r="N177" s="330"/>
      <c r="O177" s="330"/>
      <c r="P177" s="330"/>
      <c r="Q177" s="330"/>
      <c r="R177" s="330"/>
      <c r="S177" s="330"/>
      <c r="T177" s="330"/>
      <c r="U177" s="330"/>
      <c r="V177" s="330"/>
      <c r="W177" s="330"/>
    </row>
    <row r="178" spans="6:23" x14ac:dyDescent="0.25">
      <c r="F178" s="330"/>
      <c r="G178" s="330"/>
      <c r="H178" s="330"/>
      <c r="I178" s="330"/>
      <c r="J178" s="330"/>
      <c r="K178" s="330"/>
      <c r="L178" s="330"/>
      <c r="M178" s="330"/>
      <c r="N178" s="330"/>
      <c r="O178" s="330"/>
      <c r="P178" s="330"/>
      <c r="Q178" s="330"/>
      <c r="R178" s="330"/>
      <c r="S178" s="330"/>
      <c r="T178" s="330"/>
      <c r="U178" s="330"/>
      <c r="V178" s="330"/>
      <c r="W178" s="330"/>
    </row>
    <row r="179" spans="6:23" x14ac:dyDescent="0.25">
      <c r="F179" s="330"/>
      <c r="G179" s="330"/>
      <c r="H179" s="330"/>
      <c r="I179" s="330"/>
      <c r="J179" s="330"/>
      <c r="K179" s="330"/>
      <c r="L179" s="330"/>
      <c r="M179" s="330"/>
      <c r="N179" s="330"/>
      <c r="O179" s="330"/>
      <c r="P179" s="330"/>
      <c r="Q179" s="330"/>
      <c r="R179" s="330"/>
      <c r="S179" s="330"/>
      <c r="T179" s="330"/>
      <c r="U179" s="330"/>
      <c r="V179" s="330"/>
      <c r="W179" s="330"/>
    </row>
    <row r="180" spans="6:23" x14ac:dyDescent="0.25">
      <c r="F180" s="330"/>
      <c r="G180" s="330"/>
      <c r="H180" s="330"/>
      <c r="I180" s="330"/>
      <c r="J180" s="330"/>
      <c r="K180" s="330"/>
      <c r="L180" s="330"/>
      <c r="M180" s="330"/>
      <c r="N180" s="330"/>
      <c r="O180" s="330"/>
      <c r="P180" s="330"/>
      <c r="Q180" s="330"/>
      <c r="R180" s="330"/>
      <c r="S180" s="330"/>
      <c r="T180" s="330"/>
      <c r="U180" s="330"/>
      <c r="V180" s="330"/>
      <c r="W180" s="330"/>
    </row>
    <row r="181" spans="6:23" x14ac:dyDescent="0.25">
      <c r="F181" s="330"/>
      <c r="G181" s="330"/>
      <c r="H181" s="330"/>
      <c r="I181" s="330"/>
      <c r="J181" s="330"/>
      <c r="K181" s="330"/>
      <c r="L181" s="330"/>
      <c r="M181" s="330"/>
      <c r="N181" s="330"/>
      <c r="O181" s="330"/>
      <c r="P181" s="330"/>
      <c r="Q181" s="330"/>
      <c r="R181" s="330"/>
      <c r="S181" s="330"/>
      <c r="T181" s="330"/>
      <c r="U181" s="330"/>
      <c r="V181" s="330"/>
      <c r="W181" s="330"/>
    </row>
    <row r="182" spans="6:23" x14ac:dyDescent="0.25">
      <c r="F182" s="330"/>
      <c r="G182" s="330"/>
      <c r="H182" s="330"/>
      <c r="I182" s="330"/>
      <c r="J182" s="330"/>
      <c r="K182" s="330"/>
      <c r="L182" s="330"/>
      <c r="M182" s="330"/>
      <c r="N182" s="330"/>
      <c r="O182" s="330"/>
      <c r="P182" s="330"/>
      <c r="Q182" s="330"/>
      <c r="R182" s="330"/>
      <c r="S182" s="330"/>
      <c r="T182" s="330"/>
      <c r="U182" s="330"/>
      <c r="V182" s="330"/>
      <c r="W182" s="330"/>
    </row>
    <row r="183" spans="6:23" x14ac:dyDescent="0.25">
      <c r="F183" s="330"/>
      <c r="G183" s="330"/>
      <c r="H183" s="330"/>
      <c r="I183" s="330"/>
      <c r="J183" s="330"/>
      <c r="K183" s="330"/>
      <c r="L183" s="330"/>
      <c r="M183" s="330"/>
      <c r="N183" s="330"/>
      <c r="O183" s="330"/>
      <c r="P183" s="330"/>
      <c r="Q183" s="330"/>
      <c r="R183" s="330"/>
      <c r="S183" s="330"/>
      <c r="T183" s="330"/>
      <c r="U183" s="330"/>
      <c r="V183" s="330"/>
      <c r="W183" s="330"/>
    </row>
    <row r="184" spans="6:23" x14ac:dyDescent="0.25">
      <c r="F184" s="330"/>
      <c r="G184" s="330"/>
      <c r="H184" s="330"/>
      <c r="I184" s="330"/>
      <c r="J184" s="330"/>
      <c r="K184" s="330"/>
      <c r="L184" s="330"/>
      <c r="M184" s="330"/>
      <c r="N184" s="330"/>
      <c r="O184" s="330"/>
      <c r="P184" s="330"/>
      <c r="Q184" s="330"/>
      <c r="R184" s="330"/>
      <c r="S184" s="330"/>
      <c r="T184" s="330"/>
      <c r="U184" s="330"/>
      <c r="V184" s="330"/>
      <c r="W184" s="330"/>
    </row>
    <row r="185" spans="6:23" x14ac:dyDescent="0.25">
      <c r="F185" s="330"/>
      <c r="G185" s="330"/>
      <c r="H185" s="330"/>
      <c r="I185" s="330"/>
      <c r="J185" s="330"/>
      <c r="K185" s="330"/>
      <c r="L185" s="330"/>
      <c r="M185" s="330"/>
      <c r="N185" s="330"/>
      <c r="O185" s="330"/>
      <c r="P185" s="330"/>
      <c r="Q185" s="330"/>
      <c r="R185" s="330"/>
      <c r="S185" s="330"/>
      <c r="T185" s="330"/>
      <c r="U185" s="330"/>
      <c r="V185" s="330"/>
      <c r="W185" s="330"/>
    </row>
    <row r="186" spans="6:23" x14ac:dyDescent="0.25">
      <c r="F186" s="330"/>
      <c r="G186" s="330"/>
      <c r="H186" s="330"/>
      <c r="I186" s="330"/>
      <c r="J186" s="330"/>
      <c r="K186" s="330"/>
      <c r="L186" s="330"/>
      <c r="M186" s="330"/>
      <c r="N186" s="330"/>
      <c r="O186" s="330"/>
      <c r="P186" s="330"/>
      <c r="Q186" s="330"/>
      <c r="R186" s="330"/>
      <c r="S186" s="330"/>
      <c r="T186" s="330"/>
      <c r="U186" s="330"/>
      <c r="V186" s="330"/>
      <c r="W186" s="330"/>
    </row>
    <row r="187" spans="6:23" x14ac:dyDescent="0.25">
      <c r="F187" s="330"/>
      <c r="G187" s="330"/>
      <c r="H187" s="330"/>
      <c r="I187" s="330"/>
      <c r="J187" s="330"/>
      <c r="K187" s="330"/>
      <c r="L187" s="330"/>
      <c r="M187" s="330"/>
      <c r="N187" s="330"/>
      <c r="O187" s="330"/>
      <c r="P187" s="330"/>
      <c r="Q187" s="330"/>
      <c r="R187" s="330"/>
      <c r="S187" s="330"/>
      <c r="T187" s="330"/>
      <c r="U187" s="330"/>
      <c r="V187" s="330"/>
      <c r="W187" s="330"/>
    </row>
    <row r="188" spans="6:23" x14ac:dyDescent="0.25">
      <c r="F188" s="330"/>
      <c r="G188" s="330"/>
      <c r="H188" s="330"/>
      <c r="I188" s="330"/>
      <c r="J188" s="330"/>
      <c r="K188" s="330"/>
      <c r="L188" s="330"/>
      <c r="M188" s="330"/>
      <c r="N188" s="330"/>
      <c r="O188" s="330"/>
      <c r="P188" s="330"/>
      <c r="Q188" s="330"/>
      <c r="R188" s="330"/>
      <c r="S188" s="330"/>
      <c r="T188" s="330"/>
      <c r="U188" s="330"/>
      <c r="V188" s="330"/>
      <c r="W188" s="330"/>
    </row>
    <row r="189" spans="6:23" x14ac:dyDescent="0.25">
      <c r="F189" s="330"/>
      <c r="G189" s="330"/>
      <c r="H189" s="330"/>
      <c r="I189" s="330"/>
      <c r="J189" s="330"/>
      <c r="K189" s="330"/>
      <c r="L189" s="330"/>
      <c r="M189" s="330"/>
      <c r="N189" s="330"/>
      <c r="O189" s="330"/>
      <c r="P189" s="330"/>
      <c r="Q189" s="330"/>
      <c r="R189" s="330"/>
      <c r="S189" s="330"/>
      <c r="T189" s="330"/>
      <c r="U189" s="330"/>
      <c r="V189" s="330"/>
      <c r="W189" s="330"/>
    </row>
    <row r="190" spans="6:23" x14ac:dyDescent="0.25">
      <c r="F190" s="330"/>
      <c r="G190" s="330"/>
      <c r="H190" s="330"/>
      <c r="I190" s="330"/>
      <c r="J190" s="330"/>
      <c r="K190" s="330"/>
      <c r="L190" s="330"/>
      <c r="M190" s="330"/>
      <c r="N190" s="330"/>
      <c r="O190" s="330"/>
      <c r="P190" s="330"/>
      <c r="Q190" s="330"/>
      <c r="R190" s="330"/>
      <c r="S190" s="330"/>
      <c r="T190" s="330"/>
      <c r="U190" s="330"/>
      <c r="V190" s="330"/>
      <c r="W190" s="330"/>
    </row>
    <row r="191" spans="6:23" x14ac:dyDescent="0.25">
      <c r="F191" s="330"/>
      <c r="G191" s="330"/>
      <c r="H191" s="330"/>
      <c r="I191" s="330"/>
      <c r="J191" s="330"/>
      <c r="K191" s="330"/>
      <c r="L191" s="330"/>
      <c r="M191" s="330"/>
      <c r="N191" s="330"/>
      <c r="O191" s="330"/>
      <c r="P191" s="330"/>
      <c r="Q191" s="330"/>
      <c r="R191" s="330"/>
      <c r="S191" s="330"/>
      <c r="T191" s="330"/>
      <c r="U191" s="330"/>
      <c r="V191" s="330"/>
      <c r="W191" s="330"/>
    </row>
    <row r="192" spans="6:23" x14ac:dyDescent="0.25">
      <c r="F192" s="330"/>
      <c r="G192" s="330"/>
      <c r="H192" s="330"/>
      <c r="I192" s="330"/>
      <c r="J192" s="330"/>
      <c r="K192" s="330"/>
      <c r="L192" s="330"/>
      <c r="M192" s="330"/>
      <c r="N192" s="330"/>
      <c r="O192" s="330"/>
      <c r="P192" s="330"/>
      <c r="Q192" s="330"/>
      <c r="R192" s="330"/>
      <c r="S192" s="330"/>
      <c r="T192" s="330"/>
      <c r="U192" s="330"/>
      <c r="V192" s="330"/>
      <c r="W192" s="330"/>
    </row>
    <row r="193" spans="6:23" x14ac:dyDescent="0.25">
      <c r="F193" s="330"/>
      <c r="G193" s="330"/>
      <c r="H193" s="330"/>
      <c r="I193" s="330"/>
      <c r="J193" s="330"/>
      <c r="K193" s="330"/>
      <c r="L193" s="330"/>
      <c r="M193" s="330"/>
      <c r="N193" s="330"/>
      <c r="O193" s="330"/>
      <c r="P193" s="330"/>
      <c r="Q193" s="330"/>
      <c r="R193" s="330"/>
      <c r="S193" s="330"/>
      <c r="T193" s="330"/>
      <c r="U193" s="330"/>
      <c r="V193" s="330"/>
      <c r="W193" s="330"/>
    </row>
    <row r="194" spans="6:23" x14ac:dyDescent="0.25">
      <c r="F194" s="330"/>
      <c r="G194" s="330"/>
      <c r="H194" s="330"/>
      <c r="I194" s="330"/>
      <c r="J194" s="330"/>
      <c r="K194" s="330"/>
      <c r="L194" s="330"/>
      <c r="M194" s="330"/>
      <c r="N194" s="330"/>
      <c r="O194" s="330"/>
      <c r="P194" s="330"/>
      <c r="Q194" s="330"/>
      <c r="R194" s="330"/>
      <c r="S194" s="330"/>
      <c r="T194" s="330"/>
      <c r="U194" s="330"/>
      <c r="V194" s="330"/>
      <c r="W194" s="330"/>
    </row>
    <row r="195" spans="6:23" x14ac:dyDescent="0.25">
      <c r="F195" s="330"/>
      <c r="G195" s="330"/>
      <c r="H195" s="330"/>
      <c r="I195" s="330"/>
      <c r="J195" s="330"/>
      <c r="K195" s="330"/>
      <c r="L195" s="330"/>
      <c r="M195" s="330"/>
      <c r="N195" s="330"/>
      <c r="O195" s="330"/>
      <c r="P195" s="330"/>
      <c r="Q195" s="330"/>
      <c r="R195" s="330"/>
      <c r="S195" s="330"/>
      <c r="T195" s="330"/>
      <c r="U195" s="330"/>
      <c r="V195" s="330"/>
      <c r="W195" s="330"/>
    </row>
    <row r="196" spans="6:23" x14ac:dyDescent="0.25">
      <c r="F196" s="330"/>
      <c r="G196" s="330"/>
      <c r="H196" s="330"/>
      <c r="I196" s="330"/>
      <c r="J196" s="330"/>
      <c r="K196" s="330"/>
      <c r="L196" s="330"/>
      <c r="M196" s="330"/>
      <c r="N196" s="330"/>
      <c r="O196" s="330"/>
      <c r="P196" s="330"/>
      <c r="Q196" s="330"/>
      <c r="R196" s="330"/>
      <c r="S196" s="330"/>
      <c r="T196" s="330"/>
      <c r="U196" s="330"/>
      <c r="V196" s="330"/>
      <c r="W196" s="330"/>
    </row>
    <row r="197" spans="6:23" x14ac:dyDescent="0.25">
      <c r="F197" s="330"/>
      <c r="G197" s="330"/>
      <c r="H197" s="330"/>
      <c r="I197" s="330"/>
      <c r="J197" s="330"/>
      <c r="K197" s="330"/>
      <c r="L197" s="330"/>
      <c r="M197" s="330"/>
      <c r="N197" s="330"/>
      <c r="O197" s="330"/>
      <c r="P197" s="330"/>
      <c r="Q197" s="330"/>
      <c r="R197" s="330"/>
      <c r="S197" s="330"/>
      <c r="T197" s="330"/>
      <c r="U197" s="330"/>
      <c r="V197" s="330"/>
      <c r="W197" s="330"/>
    </row>
    <row r="198" spans="6:23" x14ac:dyDescent="0.25">
      <c r="F198" s="330"/>
      <c r="G198" s="330"/>
      <c r="H198" s="330"/>
      <c r="I198" s="330"/>
      <c r="J198" s="330"/>
      <c r="K198" s="330"/>
      <c r="L198" s="330"/>
      <c r="M198" s="330"/>
      <c r="N198" s="330"/>
      <c r="O198" s="330"/>
      <c r="P198" s="330"/>
      <c r="Q198" s="330"/>
      <c r="R198" s="330"/>
      <c r="S198" s="330"/>
      <c r="T198" s="330"/>
      <c r="U198" s="330"/>
      <c r="V198" s="330"/>
      <c r="W198" s="330"/>
    </row>
    <row r="199" spans="6:23" x14ac:dyDescent="0.25">
      <c r="F199" s="330"/>
      <c r="G199" s="330"/>
      <c r="H199" s="330"/>
      <c r="I199" s="330"/>
      <c r="J199" s="330"/>
      <c r="K199" s="330"/>
      <c r="L199" s="330"/>
      <c r="M199" s="330"/>
      <c r="N199" s="330"/>
      <c r="O199" s="330"/>
      <c r="P199" s="330"/>
      <c r="Q199" s="330"/>
      <c r="R199" s="330"/>
      <c r="S199" s="330"/>
      <c r="T199" s="330"/>
      <c r="U199" s="330"/>
      <c r="V199" s="330"/>
      <c r="W199" s="330"/>
    </row>
    <row r="200" spans="6:23" x14ac:dyDescent="0.25">
      <c r="F200" s="330"/>
      <c r="G200" s="330"/>
      <c r="H200" s="330"/>
      <c r="I200" s="330"/>
      <c r="J200" s="330"/>
      <c r="K200" s="330"/>
      <c r="L200" s="330"/>
      <c r="M200" s="330"/>
      <c r="N200" s="330"/>
      <c r="O200" s="330"/>
      <c r="P200" s="330"/>
      <c r="Q200" s="330"/>
      <c r="R200" s="330"/>
      <c r="S200" s="330"/>
      <c r="T200" s="330"/>
      <c r="U200" s="330"/>
      <c r="V200" s="330"/>
      <c r="W200" s="330"/>
    </row>
    <row r="201" spans="6:23" x14ac:dyDescent="0.25">
      <c r="F201" s="330"/>
      <c r="G201" s="330"/>
      <c r="H201" s="330"/>
      <c r="I201" s="330"/>
      <c r="J201" s="330"/>
      <c r="K201" s="330"/>
      <c r="L201" s="330"/>
      <c r="M201" s="330"/>
      <c r="N201" s="330"/>
      <c r="O201" s="330"/>
      <c r="P201" s="330"/>
      <c r="Q201" s="330"/>
      <c r="R201" s="330"/>
      <c r="S201" s="330"/>
      <c r="T201" s="330"/>
      <c r="U201" s="330"/>
      <c r="V201" s="330"/>
      <c r="W201" s="330"/>
    </row>
    <row r="202" spans="6:23" x14ac:dyDescent="0.25">
      <c r="F202" s="330"/>
      <c r="G202" s="330"/>
      <c r="H202" s="330"/>
      <c r="I202" s="330"/>
      <c r="J202" s="330"/>
      <c r="K202" s="330"/>
      <c r="L202" s="330"/>
      <c r="M202" s="330"/>
      <c r="N202" s="330"/>
      <c r="O202" s="330"/>
      <c r="P202" s="330"/>
      <c r="Q202" s="330"/>
      <c r="R202" s="330"/>
      <c r="S202" s="330"/>
      <c r="T202" s="330"/>
      <c r="U202" s="330"/>
      <c r="V202" s="330"/>
      <c r="W202" s="330"/>
    </row>
    <row r="203" spans="6:23" x14ac:dyDescent="0.25">
      <c r="F203" s="330"/>
      <c r="G203" s="330"/>
      <c r="H203" s="330"/>
      <c r="I203" s="330"/>
      <c r="J203" s="330"/>
      <c r="K203" s="330"/>
      <c r="L203" s="330"/>
      <c r="M203" s="330"/>
      <c r="N203" s="330"/>
      <c r="O203" s="330"/>
      <c r="P203" s="330"/>
      <c r="Q203" s="330"/>
      <c r="R203" s="330"/>
      <c r="S203" s="330"/>
      <c r="T203" s="330"/>
      <c r="U203" s="330"/>
      <c r="V203" s="330"/>
      <c r="W203" s="330"/>
    </row>
    <row r="204" spans="6:23" x14ac:dyDescent="0.25">
      <c r="F204" s="330"/>
      <c r="G204" s="330"/>
      <c r="H204" s="330"/>
      <c r="I204" s="330"/>
      <c r="J204" s="330"/>
      <c r="K204" s="330"/>
      <c r="L204" s="330"/>
      <c r="M204" s="330"/>
      <c r="N204" s="330"/>
      <c r="O204" s="330"/>
      <c r="P204" s="330"/>
      <c r="Q204" s="330"/>
      <c r="R204" s="330"/>
      <c r="S204" s="330"/>
      <c r="T204" s="330"/>
      <c r="U204" s="330"/>
      <c r="V204" s="330"/>
      <c r="W204" s="330"/>
    </row>
    <row r="205" spans="6:23" x14ac:dyDescent="0.25">
      <c r="F205" s="330"/>
      <c r="G205" s="330"/>
      <c r="H205" s="330"/>
      <c r="I205" s="330"/>
      <c r="J205" s="330"/>
      <c r="K205" s="330"/>
      <c r="L205" s="330"/>
      <c r="M205" s="330"/>
      <c r="N205" s="330"/>
      <c r="O205" s="330"/>
      <c r="P205" s="330"/>
      <c r="Q205" s="330"/>
      <c r="R205" s="330"/>
      <c r="S205" s="330"/>
      <c r="T205" s="330"/>
      <c r="U205" s="330"/>
      <c r="V205" s="330"/>
      <c r="W205" s="330"/>
    </row>
    <row r="206" spans="6:23" x14ac:dyDescent="0.25">
      <c r="F206" s="330"/>
      <c r="G206" s="330"/>
      <c r="H206" s="330"/>
      <c r="I206" s="330"/>
      <c r="J206" s="330"/>
      <c r="K206" s="330"/>
      <c r="L206" s="330"/>
      <c r="M206" s="330"/>
      <c r="N206" s="330"/>
      <c r="O206" s="330"/>
      <c r="P206" s="330"/>
      <c r="Q206" s="330"/>
      <c r="R206" s="330"/>
      <c r="S206" s="330"/>
      <c r="T206" s="330"/>
      <c r="U206" s="330"/>
      <c r="V206" s="330"/>
      <c r="W206" s="330"/>
    </row>
    <row r="207" spans="6:23" x14ac:dyDescent="0.25">
      <c r="F207" s="330"/>
      <c r="G207" s="330"/>
      <c r="H207" s="330"/>
      <c r="I207" s="330"/>
      <c r="J207" s="330"/>
      <c r="K207" s="330"/>
      <c r="L207" s="330"/>
      <c r="M207" s="330"/>
      <c r="N207" s="330"/>
      <c r="O207" s="330"/>
      <c r="P207" s="330"/>
      <c r="Q207" s="330"/>
      <c r="R207" s="330"/>
      <c r="S207" s="330"/>
      <c r="T207" s="330"/>
      <c r="U207" s="330"/>
      <c r="V207" s="330"/>
      <c r="W207" s="330"/>
    </row>
    <row r="208" spans="6:23" x14ac:dyDescent="0.25">
      <c r="F208" s="330"/>
      <c r="G208" s="330"/>
      <c r="H208" s="330"/>
      <c r="I208" s="330"/>
      <c r="J208" s="330"/>
      <c r="K208" s="330"/>
      <c r="L208" s="330"/>
      <c r="M208" s="330"/>
      <c r="N208" s="330"/>
      <c r="O208" s="330"/>
      <c r="P208" s="330"/>
      <c r="Q208" s="330"/>
      <c r="R208" s="330"/>
      <c r="S208" s="330"/>
      <c r="T208" s="330"/>
      <c r="U208" s="330"/>
      <c r="V208" s="330"/>
      <c r="W208" s="330"/>
    </row>
    <row r="209" spans="6:23" x14ac:dyDescent="0.25">
      <c r="F209" s="330"/>
      <c r="G209" s="330"/>
      <c r="H209" s="330"/>
      <c r="I209" s="330"/>
      <c r="J209" s="330"/>
      <c r="K209" s="330"/>
      <c r="L209" s="330"/>
      <c r="M209" s="330"/>
      <c r="N209" s="330"/>
      <c r="O209" s="330"/>
      <c r="P209" s="330"/>
      <c r="Q209" s="330"/>
      <c r="R209" s="330"/>
      <c r="S209" s="330"/>
      <c r="T209" s="330"/>
      <c r="U209" s="330"/>
      <c r="V209" s="330"/>
      <c r="W209" s="330"/>
    </row>
    <row r="210" spans="6:23" x14ac:dyDescent="0.25">
      <c r="F210" s="330"/>
      <c r="G210" s="330"/>
      <c r="H210" s="330"/>
      <c r="I210" s="330"/>
      <c r="J210" s="330"/>
      <c r="K210" s="330"/>
      <c r="L210" s="330"/>
      <c r="M210" s="330"/>
      <c r="N210" s="330"/>
      <c r="O210" s="330"/>
      <c r="P210" s="330"/>
      <c r="Q210" s="330"/>
      <c r="R210" s="330"/>
      <c r="S210" s="330"/>
      <c r="T210" s="330"/>
      <c r="U210" s="330"/>
      <c r="V210" s="330"/>
      <c r="W210" s="330"/>
    </row>
    <row r="211" spans="6:23" x14ac:dyDescent="0.25">
      <c r="F211" s="330"/>
      <c r="G211" s="330"/>
      <c r="H211" s="330"/>
      <c r="I211" s="330"/>
      <c r="J211" s="330"/>
      <c r="K211" s="330"/>
      <c r="L211" s="330"/>
      <c r="M211" s="330"/>
      <c r="N211" s="330"/>
      <c r="O211" s="330"/>
      <c r="P211" s="330"/>
      <c r="Q211" s="330"/>
      <c r="R211" s="330"/>
      <c r="S211" s="330"/>
      <c r="T211" s="330"/>
      <c r="U211" s="330"/>
      <c r="V211" s="330"/>
      <c r="W211" s="330"/>
    </row>
    <row r="212" spans="6:23" x14ac:dyDescent="0.25">
      <c r="F212" s="330"/>
      <c r="G212" s="330"/>
      <c r="H212" s="330"/>
      <c r="I212" s="330"/>
      <c r="J212" s="330"/>
      <c r="K212" s="330"/>
      <c r="L212" s="330"/>
      <c r="M212" s="330"/>
      <c r="N212" s="330"/>
      <c r="O212" s="330"/>
      <c r="P212" s="330"/>
      <c r="Q212" s="330"/>
      <c r="R212" s="330"/>
      <c r="S212" s="330"/>
      <c r="T212" s="330"/>
      <c r="U212" s="330"/>
      <c r="V212" s="330"/>
      <c r="W212" s="330"/>
    </row>
    <row r="213" spans="6:23" x14ac:dyDescent="0.25">
      <c r="F213" s="330"/>
      <c r="G213" s="330"/>
      <c r="H213" s="330"/>
      <c r="I213" s="330"/>
      <c r="J213" s="330"/>
      <c r="K213" s="330"/>
      <c r="L213" s="330"/>
      <c r="M213" s="330"/>
      <c r="N213" s="330"/>
      <c r="O213" s="330"/>
      <c r="P213" s="330"/>
      <c r="Q213" s="330"/>
      <c r="R213" s="330"/>
      <c r="S213" s="330"/>
      <c r="T213" s="330"/>
      <c r="U213" s="330"/>
      <c r="V213" s="330"/>
      <c r="W213" s="330"/>
    </row>
    <row r="214" spans="6:23" x14ac:dyDescent="0.25">
      <c r="F214" s="330"/>
      <c r="G214" s="330"/>
      <c r="H214" s="330"/>
      <c r="I214" s="330"/>
      <c r="J214" s="330"/>
      <c r="K214" s="330"/>
      <c r="L214" s="330"/>
      <c r="M214" s="330"/>
      <c r="N214" s="330"/>
      <c r="O214" s="330"/>
      <c r="P214" s="330"/>
      <c r="Q214" s="330"/>
      <c r="R214" s="330"/>
      <c r="S214" s="330"/>
      <c r="T214" s="330"/>
      <c r="U214" s="330"/>
      <c r="V214" s="330"/>
      <c r="W214" s="330"/>
    </row>
    <row r="215" spans="6:23" x14ac:dyDescent="0.25">
      <c r="F215" s="330"/>
      <c r="G215" s="330"/>
      <c r="H215" s="330"/>
      <c r="I215" s="330"/>
      <c r="J215" s="330"/>
      <c r="K215" s="330"/>
      <c r="L215" s="330"/>
      <c r="M215" s="330"/>
      <c r="N215" s="330"/>
      <c r="O215" s="330"/>
      <c r="P215" s="330"/>
      <c r="Q215" s="330"/>
      <c r="R215" s="330"/>
      <c r="S215" s="330"/>
      <c r="T215" s="330"/>
      <c r="U215" s="330"/>
      <c r="V215" s="330"/>
      <c r="W215" s="330"/>
    </row>
    <row r="216" spans="6:23" x14ac:dyDescent="0.25">
      <c r="F216" s="330"/>
      <c r="G216" s="330"/>
      <c r="H216" s="330"/>
      <c r="I216" s="330"/>
      <c r="J216" s="330"/>
      <c r="K216" s="330"/>
      <c r="L216" s="330"/>
      <c r="M216" s="330"/>
      <c r="N216" s="330"/>
      <c r="O216" s="330"/>
      <c r="P216" s="330"/>
      <c r="Q216" s="330"/>
      <c r="R216" s="330"/>
      <c r="S216" s="330"/>
      <c r="T216" s="330"/>
      <c r="U216" s="330"/>
      <c r="V216" s="330"/>
      <c r="W216" s="330"/>
    </row>
    <row r="217" spans="6:23" x14ac:dyDescent="0.25">
      <c r="F217" s="330"/>
      <c r="G217" s="330"/>
      <c r="H217" s="330"/>
      <c r="I217" s="330"/>
      <c r="J217" s="330"/>
      <c r="K217" s="330"/>
      <c r="L217" s="330"/>
      <c r="M217" s="330"/>
      <c r="N217" s="330"/>
      <c r="O217" s="330"/>
      <c r="P217" s="330"/>
      <c r="Q217" s="330"/>
      <c r="R217" s="330"/>
      <c r="S217" s="330"/>
      <c r="T217" s="330"/>
      <c r="U217" s="330"/>
      <c r="V217" s="330"/>
      <c r="W217" s="330"/>
    </row>
    <row r="218" spans="6:23" x14ac:dyDescent="0.25">
      <c r="F218" s="330"/>
      <c r="G218" s="330"/>
      <c r="H218" s="330"/>
      <c r="I218" s="330"/>
      <c r="J218" s="330"/>
      <c r="K218" s="330"/>
      <c r="L218" s="330"/>
      <c r="M218" s="330"/>
      <c r="N218" s="330"/>
      <c r="O218" s="330"/>
      <c r="P218" s="330"/>
      <c r="Q218" s="330"/>
      <c r="R218" s="330"/>
      <c r="S218" s="330"/>
      <c r="T218" s="330"/>
      <c r="U218" s="330"/>
      <c r="V218" s="330"/>
      <c r="W218" s="330"/>
    </row>
    <row r="219" spans="6:23" x14ac:dyDescent="0.25">
      <c r="F219" s="330"/>
      <c r="G219" s="330"/>
      <c r="H219" s="330"/>
      <c r="I219" s="330"/>
      <c r="J219" s="330"/>
      <c r="K219" s="330"/>
      <c r="L219" s="330"/>
      <c r="M219" s="330"/>
      <c r="N219" s="330"/>
      <c r="O219" s="330"/>
      <c r="P219" s="330"/>
      <c r="Q219" s="330"/>
      <c r="R219" s="330"/>
      <c r="S219" s="330"/>
      <c r="T219" s="330"/>
      <c r="U219" s="330"/>
      <c r="V219" s="330"/>
      <c r="W219" s="330"/>
    </row>
    <row r="220" spans="6:23" x14ac:dyDescent="0.25">
      <c r="F220" s="330"/>
      <c r="G220" s="330"/>
      <c r="H220" s="330"/>
      <c r="I220" s="330"/>
      <c r="J220" s="330"/>
      <c r="K220" s="330"/>
      <c r="L220" s="330"/>
      <c r="M220" s="330"/>
      <c r="N220" s="330"/>
      <c r="O220" s="330"/>
      <c r="P220" s="330"/>
      <c r="Q220" s="330"/>
      <c r="R220" s="330"/>
      <c r="S220" s="330"/>
      <c r="T220" s="330"/>
      <c r="U220" s="330"/>
      <c r="V220" s="330"/>
      <c r="W220" s="330"/>
    </row>
    <row r="221" spans="6:23" x14ac:dyDescent="0.25">
      <c r="F221" s="330"/>
      <c r="G221" s="330"/>
      <c r="H221" s="330"/>
      <c r="I221" s="330"/>
      <c r="J221" s="330"/>
      <c r="K221" s="330"/>
      <c r="L221" s="330"/>
      <c r="M221" s="330"/>
      <c r="N221" s="330"/>
      <c r="O221" s="330"/>
      <c r="P221" s="330"/>
      <c r="Q221" s="330"/>
      <c r="R221" s="330"/>
      <c r="S221" s="330"/>
      <c r="T221" s="330"/>
      <c r="U221" s="330"/>
      <c r="V221" s="330"/>
      <c r="W221" s="330"/>
    </row>
    <row r="222" spans="6:23" x14ac:dyDescent="0.25">
      <c r="F222" s="330"/>
      <c r="G222" s="330"/>
      <c r="H222" s="330"/>
      <c r="I222" s="330"/>
      <c r="J222" s="330"/>
      <c r="K222" s="330"/>
      <c r="L222" s="330"/>
      <c r="M222" s="330"/>
      <c r="N222" s="330"/>
      <c r="O222" s="330"/>
      <c r="P222" s="330"/>
      <c r="Q222" s="330"/>
      <c r="R222" s="330"/>
      <c r="S222" s="330"/>
      <c r="T222" s="330"/>
      <c r="U222" s="330"/>
      <c r="V222" s="330"/>
      <c r="W222" s="330"/>
    </row>
    <row r="223" spans="6:23" x14ac:dyDescent="0.25">
      <c r="F223" s="330"/>
      <c r="G223" s="330"/>
      <c r="H223" s="330"/>
      <c r="I223" s="330"/>
      <c r="J223" s="330"/>
      <c r="K223" s="330"/>
      <c r="L223" s="330"/>
      <c r="M223" s="330"/>
      <c r="N223" s="330"/>
      <c r="O223" s="330"/>
      <c r="P223" s="330"/>
      <c r="Q223" s="330"/>
      <c r="R223" s="330"/>
      <c r="S223" s="330"/>
      <c r="T223" s="330"/>
      <c r="U223" s="330"/>
      <c r="V223" s="330"/>
      <c r="W223" s="330"/>
    </row>
    <row r="224" spans="6:23" x14ac:dyDescent="0.25">
      <c r="F224" s="330"/>
      <c r="G224" s="330"/>
      <c r="H224" s="330"/>
      <c r="I224" s="330"/>
      <c r="J224" s="330"/>
      <c r="K224" s="330"/>
      <c r="L224" s="330"/>
      <c r="M224" s="330"/>
      <c r="N224" s="330"/>
      <c r="O224" s="330"/>
      <c r="P224" s="330"/>
      <c r="Q224" s="330"/>
      <c r="R224" s="330"/>
      <c r="S224" s="330"/>
      <c r="T224" s="330"/>
      <c r="U224" s="330"/>
      <c r="V224" s="330"/>
      <c r="W224" s="330"/>
    </row>
    <row r="225" spans="6:23" x14ac:dyDescent="0.25">
      <c r="F225" s="330"/>
      <c r="G225" s="330"/>
      <c r="H225" s="330"/>
      <c r="I225" s="330"/>
      <c r="J225" s="330"/>
      <c r="K225" s="330"/>
      <c r="L225" s="330"/>
      <c r="M225" s="330"/>
      <c r="N225" s="330"/>
      <c r="O225" s="330"/>
      <c r="P225" s="330"/>
      <c r="Q225" s="330"/>
      <c r="R225" s="330"/>
      <c r="S225" s="330"/>
      <c r="T225" s="330"/>
      <c r="U225" s="330"/>
      <c r="V225" s="330"/>
      <c r="W225" s="330"/>
    </row>
    <row r="226" spans="6:23" x14ac:dyDescent="0.25">
      <c r="F226" s="330"/>
      <c r="G226" s="330"/>
      <c r="H226" s="330"/>
      <c r="I226" s="330"/>
      <c r="J226" s="330"/>
      <c r="K226" s="330"/>
      <c r="L226" s="330"/>
      <c r="M226" s="330"/>
      <c r="N226" s="330"/>
      <c r="O226" s="330"/>
      <c r="P226" s="330"/>
      <c r="Q226" s="330"/>
      <c r="R226" s="330"/>
      <c r="S226" s="330"/>
      <c r="T226" s="330"/>
      <c r="U226" s="330"/>
      <c r="V226" s="330"/>
      <c r="W226" s="330"/>
    </row>
    <row r="227" spans="6:23" x14ac:dyDescent="0.25">
      <c r="F227" s="330"/>
      <c r="G227" s="330"/>
      <c r="H227" s="330"/>
      <c r="I227" s="330"/>
      <c r="J227" s="330"/>
      <c r="K227" s="330"/>
      <c r="L227" s="330"/>
      <c r="M227" s="330"/>
      <c r="N227" s="330"/>
      <c r="O227" s="330"/>
      <c r="P227" s="330"/>
      <c r="Q227" s="330"/>
      <c r="R227" s="330"/>
      <c r="S227" s="330"/>
      <c r="T227" s="330"/>
      <c r="U227" s="330"/>
      <c r="V227" s="330"/>
      <c r="W227" s="330"/>
    </row>
    <row r="228" spans="6:23" x14ac:dyDescent="0.25">
      <c r="F228" s="330"/>
      <c r="G228" s="330"/>
      <c r="H228" s="330"/>
      <c r="I228" s="330"/>
      <c r="J228" s="330"/>
      <c r="K228" s="330"/>
      <c r="L228" s="330"/>
      <c r="M228" s="330"/>
      <c r="N228" s="330"/>
      <c r="O228" s="330"/>
      <c r="P228" s="330"/>
      <c r="Q228" s="330"/>
      <c r="R228" s="330"/>
      <c r="S228" s="330"/>
      <c r="T228" s="330"/>
      <c r="U228" s="330"/>
      <c r="V228" s="330"/>
      <c r="W228" s="330"/>
    </row>
    <row r="229" spans="6:23" x14ac:dyDescent="0.25">
      <c r="F229" s="330"/>
      <c r="G229" s="330"/>
      <c r="H229" s="330"/>
      <c r="I229" s="330"/>
      <c r="J229" s="330"/>
      <c r="K229" s="330"/>
      <c r="L229" s="330"/>
      <c r="M229" s="330"/>
      <c r="N229" s="330"/>
      <c r="O229" s="330"/>
      <c r="P229" s="330"/>
      <c r="Q229" s="330"/>
      <c r="R229" s="330"/>
      <c r="S229" s="330"/>
      <c r="T229" s="330"/>
      <c r="U229" s="330"/>
      <c r="V229" s="330"/>
      <c r="W229" s="330"/>
    </row>
    <row r="230" spans="6:23" x14ac:dyDescent="0.25">
      <c r="F230" s="330"/>
      <c r="G230" s="330"/>
      <c r="H230" s="330"/>
      <c r="I230" s="330"/>
      <c r="J230" s="330"/>
      <c r="K230" s="330"/>
      <c r="L230" s="330"/>
      <c r="M230" s="330"/>
      <c r="N230" s="330"/>
      <c r="O230" s="330"/>
      <c r="P230" s="330"/>
      <c r="Q230" s="330"/>
      <c r="R230" s="330"/>
      <c r="S230" s="330"/>
      <c r="T230" s="330"/>
      <c r="U230" s="330"/>
      <c r="V230" s="330"/>
      <c r="W230" s="330"/>
    </row>
    <row r="231" spans="6:23" x14ac:dyDescent="0.25">
      <c r="F231" s="330"/>
      <c r="G231" s="330"/>
      <c r="H231" s="330"/>
      <c r="I231" s="330"/>
      <c r="J231" s="330"/>
      <c r="K231" s="330"/>
      <c r="L231" s="330"/>
      <c r="M231" s="330"/>
      <c r="N231" s="330"/>
      <c r="O231" s="330"/>
      <c r="P231" s="330"/>
      <c r="Q231" s="330"/>
      <c r="R231" s="330"/>
      <c r="S231" s="330"/>
      <c r="T231" s="330"/>
      <c r="U231" s="330"/>
      <c r="V231" s="330"/>
      <c r="W231" s="330"/>
    </row>
    <row r="232" spans="6:23" x14ac:dyDescent="0.25">
      <c r="F232" s="330"/>
      <c r="G232" s="330"/>
      <c r="H232" s="330"/>
      <c r="I232" s="330"/>
      <c r="J232" s="330"/>
      <c r="K232" s="330"/>
      <c r="L232" s="330"/>
      <c r="M232" s="330"/>
      <c r="N232" s="330"/>
      <c r="O232" s="330"/>
      <c r="P232" s="330"/>
      <c r="Q232" s="330"/>
      <c r="R232" s="330"/>
      <c r="S232" s="330"/>
      <c r="T232" s="330"/>
      <c r="U232" s="330"/>
      <c r="V232" s="330"/>
      <c r="W232" s="330"/>
    </row>
    <row r="233" spans="6:23" x14ac:dyDescent="0.25">
      <c r="F233" s="330"/>
      <c r="G233" s="330"/>
      <c r="H233" s="330"/>
      <c r="I233" s="330"/>
      <c r="J233" s="330"/>
      <c r="K233" s="330"/>
      <c r="L233" s="330"/>
      <c r="M233" s="330"/>
      <c r="N233" s="330"/>
      <c r="O233" s="330"/>
      <c r="P233" s="330"/>
      <c r="Q233" s="330"/>
      <c r="R233" s="330"/>
      <c r="S233" s="330"/>
      <c r="T233" s="330"/>
      <c r="U233" s="330"/>
      <c r="V233" s="330"/>
      <c r="W233" s="330"/>
    </row>
    <row r="234" spans="6:23" x14ac:dyDescent="0.25">
      <c r="F234" s="330"/>
      <c r="G234" s="330"/>
      <c r="H234" s="330"/>
      <c r="I234" s="330"/>
      <c r="J234" s="330"/>
      <c r="K234" s="330"/>
      <c r="L234" s="330"/>
      <c r="M234" s="330"/>
      <c r="N234" s="330"/>
      <c r="O234" s="330"/>
      <c r="P234" s="330"/>
      <c r="Q234" s="330"/>
      <c r="R234" s="330"/>
      <c r="S234" s="330"/>
      <c r="T234" s="330"/>
      <c r="U234" s="330"/>
      <c r="V234" s="330"/>
      <c r="W234" s="330"/>
    </row>
    <row r="235" spans="6:23" x14ac:dyDescent="0.25">
      <c r="F235" s="330"/>
      <c r="G235" s="330"/>
      <c r="H235" s="330"/>
      <c r="I235" s="330"/>
      <c r="J235" s="330"/>
      <c r="K235" s="330"/>
      <c r="L235" s="330"/>
      <c r="M235" s="330"/>
      <c r="N235" s="330"/>
      <c r="O235" s="330"/>
      <c r="P235" s="330"/>
      <c r="Q235" s="330"/>
      <c r="R235" s="330"/>
      <c r="S235" s="330"/>
      <c r="T235" s="330"/>
      <c r="U235" s="330"/>
      <c r="V235" s="330"/>
      <c r="W235" s="330"/>
    </row>
    <row r="236" spans="6:23" x14ac:dyDescent="0.25">
      <c r="F236" s="330"/>
      <c r="G236" s="330"/>
      <c r="H236" s="330"/>
      <c r="I236" s="330"/>
      <c r="J236" s="330"/>
      <c r="K236" s="330"/>
      <c r="L236" s="330"/>
      <c r="M236" s="330"/>
      <c r="N236" s="330"/>
      <c r="O236" s="330"/>
      <c r="P236" s="330"/>
      <c r="Q236" s="330"/>
      <c r="R236" s="330"/>
      <c r="S236" s="330"/>
      <c r="T236" s="330"/>
      <c r="U236" s="330"/>
      <c r="V236" s="330"/>
      <c r="W236" s="330"/>
    </row>
    <row r="237" spans="6:23" x14ac:dyDescent="0.25">
      <c r="F237" s="330"/>
      <c r="G237" s="330"/>
      <c r="H237" s="330"/>
      <c r="I237" s="330"/>
      <c r="J237" s="330"/>
      <c r="K237" s="330"/>
      <c r="L237" s="330"/>
      <c r="M237" s="330"/>
      <c r="N237" s="330"/>
      <c r="O237" s="330"/>
      <c r="P237" s="330"/>
      <c r="Q237" s="330"/>
      <c r="R237" s="330"/>
      <c r="S237" s="330"/>
      <c r="T237" s="330"/>
      <c r="U237" s="330"/>
      <c r="V237" s="330"/>
      <c r="W237" s="330"/>
    </row>
    <row r="238" spans="6:23" x14ac:dyDescent="0.25">
      <c r="F238" s="330"/>
      <c r="G238" s="330"/>
      <c r="H238" s="330"/>
      <c r="I238" s="330"/>
      <c r="J238" s="330"/>
      <c r="K238" s="330"/>
      <c r="L238" s="330"/>
      <c r="M238" s="330"/>
      <c r="N238" s="330"/>
      <c r="O238" s="330"/>
      <c r="P238" s="330"/>
      <c r="Q238" s="330"/>
      <c r="R238" s="330"/>
      <c r="S238" s="330"/>
      <c r="T238" s="330"/>
      <c r="U238" s="330"/>
      <c r="V238" s="330"/>
      <c r="W238" s="330"/>
    </row>
    <row r="239" spans="6:23" x14ac:dyDescent="0.25">
      <c r="F239" s="330"/>
      <c r="G239" s="330"/>
      <c r="H239" s="330"/>
      <c r="I239" s="330"/>
      <c r="J239" s="330"/>
      <c r="K239" s="330"/>
      <c r="L239" s="330"/>
      <c r="M239" s="330"/>
      <c r="N239" s="330"/>
      <c r="O239" s="330"/>
      <c r="P239" s="330"/>
      <c r="Q239" s="330"/>
      <c r="R239" s="330"/>
      <c r="S239" s="330"/>
      <c r="T239" s="330"/>
      <c r="U239" s="330"/>
      <c r="V239" s="330"/>
      <c r="W239" s="330"/>
    </row>
    <row r="240" spans="6:23" x14ac:dyDescent="0.25">
      <c r="F240" s="330"/>
      <c r="G240" s="330"/>
      <c r="H240" s="330"/>
      <c r="I240" s="330"/>
      <c r="J240" s="330"/>
      <c r="K240" s="330"/>
      <c r="L240" s="330"/>
      <c r="M240" s="330"/>
      <c r="N240" s="330"/>
      <c r="O240" s="330"/>
      <c r="P240" s="330"/>
      <c r="Q240" s="330"/>
      <c r="R240" s="330"/>
      <c r="S240" s="330"/>
      <c r="T240" s="330"/>
      <c r="U240" s="330"/>
      <c r="V240" s="330"/>
      <c r="W240" s="330"/>
    </row>
    <row r="241" spans="6:23" x14ac:dyDescent="0.25">
      <c r="F241" s="330"/>
      <c r="G241" s="330"/>
      <c r="H241" s="330"/>
      <c r="I241" s="330"/>
      <c r="J241" s="330"/>
      <c r="K241" s="330"/>
      <c r="L241" s="330"/>
      <c r="M241" s="330"/>
      <c r="N241" s="330"/>
      <c r="O241" s="330"/>
      <c r="P241" s="330"/>
      <c r="Q241" s="330"/>
      <c r="R241" s="330"/>
      <c r="S241" s="330"/>
      <c r="T241" s="330"/>
      <c r="U241" s="330"/>
      <c r="V241" s="330"/>
      <c r="W241" s="330"/>
    </row>
    <row r="242" spans="6:23" x14ac:dyDescent="0.25">
      <c r="F242" s="330"/>
      <c r="G242" s="330"/>
      <c r="H242" s="330"/>
      <c r="I242" s="330"/>
      <c r="J242" s="330"/>
      <c r="K242" s="330"/>
      <c r="L242" s="330"/>
      <c r="M242" s="330"/>
      <c r="N242" s="330"/>
      <c r="O242" s="330"/>
      <c r="P242" s="330"/>
      <c r="Q242" s="330"/>
      <c r="R242" s="330"/>
      <c r="S242" s="330"/>
      <c r="T242" s="330"/>
      <c r="U242" s="330"/>
      <c r="V242" s="330"/>
      <c r="W242" s="330"/>
    </row>
    <row r="243" spans="6:23" x14ac:dyDescent="0.25">
      <c r="F243" s="330"/>
      <c r="G243" s="330"/>
      <c r="H243" s="330"/>
      <c r="I243" s="330"/>
      <c r="J243" s="330"/>
      <c r="K243" s="330"/>
      <c r="L243" s="330"/>
      <c r="M243" s="330"/>
      <c r="N243" s="330"/>
      <c r="O243" s="330"/>
      <c r="P243" s="330"/>
      <c r="Q243" s="330"/>
      <c r="R243" s="330"/>
      <c r="S243" s="330"/>
      <c r="T243" s="330"/>
      <c r="U243" s="330"/>
      <c r="V243" s="330"/>
      <c r="W243" s="330"/>
    </row>
    <row r="244" spans="6:23" x14ac:dyDescent="0.25">
      <c r="F244" s="330"/>
      <c r="G244" s="330"/>
      <c r="H244" s="330"/>
      <c r="I244" s="330"/>
      <c r="J244" s="330"/>
      <c r="K244" s="330"/>
      <c r="L244" s="330"/>
      <c r="M244" s="330"/>
      <c r="N244" s="330"/>
      <c r="O244" s="330"/>
      <c r="P244" s="330"/>
      <c r="Q244" s="330"/>
      <c r="R244" s="330"/>
      <c r="S244" s="330"/>
      <c r="T244" s="330"/>
      <c r="U244" s="330"/>
      <c r="V244" s="330"/>
      <c r="W244" s="330"/>
    </row>
    <row r="245" spans="6:23" x14ac:dyDescent="0.25">
      <c r="F245" s="330"/>
      <c r="G245" s="330"/>
      <c r="H245" s="330"/>
      <c r="I245" s="330"/>
      <c r="J245" s="330"/>
      <c r="K245" s="330"/>
      <c r="L245" s="330"/>
      <c r="M245" s="330"/>
      <c r="N245" s="330"/>
      <c r="O245" s="330"/>
      <c r="P245" s="330"/>
      <c r="Q245" s="330"/>
      <c r="R245" s="330"/>
      <c r="S245" s="330"/>
      <c r="T245" s="330"/>
      <c r="U245" s="330"/>
      <c r="V245" s="330"/>
      <c r="W245" s="330"/>
    </row>
    <row r="246" spans="6:23" x14ac:dyDescent="0.25">
      <c r="F246" s="330"/>
      <c r="G246" s="330"/>
      <c r="H246" s="330"/>
      <c r="I246" s="330"/>
      <c r="J246" s="330"/>
      <c r="K246" s="330"/>
      <c r="L246" s="330"/>
      <c r="M246" s="330"/>
      <c r="N246" s="330"/>
      <c r="O246" s="330"/>
      <c r="P246" s="330"/>
      <c r="Q246" s="330"/>
      <c r="R246" s="330"/>
      <c r="S246" s="330"/>
      <c r="T246" s="330"/>
      <c r="U246" s="330"/>
      <c r="V246" s="330"/>
      <c r="W246" s="330"/>
    </row>
    <row r="247" spans="6:23" x14ac:dyDescent="0.25">
      <c r="F247" s="330"/>
      <c r="G247" s="330"/>
      <c r="H247" s="330"/>
      <c r="I247" s="330"/>
      <c r="J247" s="330"/>
      <c r="K247" s="330"/>
      <c r="L247" s="330"/>
      <c r="M247" s="330"/>
      <c r="N247" s="330"/>
      <c r="O247" s="330"/>
      <c r="P247" s="330"/>
      <c r="Q247" s="330"/>
      <c r="R247" s="330"/>
      <c r="S247" s="330"/>
      <c r="T247" s="330"/>
      <c r="U247" s="330"/>
      <c r="V247" s="330"/>
      <c r="W247" s="330"/>
    </row>
    <row r="248" spans="6:23" x14ac:dyDescent="0.25">
      <c r="F248" s="330"/>
      <c r="G248" s="330"/>
      <c r="H248" s="330"/>
      <c r="I248" s="330"/>
      <c r="J248" s="330"/>
      <c r="K248" s="330"/>
      <c r="L248" s="330"/>
      <c r="M248" s="330"/>
      <c r="N248" s="330"/>
      <c r="O248" s="330"/>
      <c r="P248" s="330"/>
      <c r="Q248" s="330"/>
      <c r="R248" s="330"/>
      <c r="S248" s="330"/>
      <c r="T248" s="330"/>
      <c r="U248" s="330"/>
      <c r="V248" s="330"/>
      <c r="W248" s="330"/>
    </row>
    <row r="249" spans="6:23" x14ac:dyDescent="0.25">
      <c r="F249" s="330"/>
      <c r="G249" s="330"/>
      <c r="H249" s="330"/>
      <c r="I249" s="330"/>
      <c r="J249" s="330"/>
      <c r="K249" s="330"/>
      <c r="L249" s="330"/>
      <c r="M249" s="330"/>
      <c r="N249" s="330"/>
      <c r="O249" s="330"/>
      <c r="P249" s="330"/>
      <c r="Q249" s="330"/>
      <c r="R249" s="330"/>
      <c r="S249" s="330"/>
      <c r="T249" s="330"/>
      <c r="U249" s="330"/>
      <c r="V249" s="330"/>
      <c r="W249" s="33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46C7D331-4E79-4A18-B77C-8CB98971270C}"/>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885825</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abSelected="1" topLeftCell="A11" zoomScale="115" zoomScaleNormal="115" workbookViewId="0">
      <selection activeCell="F24" sqref="F24"/>
    </sheetView>
  </sheetViews>
  <sheetFormatPr defaultRowHeight="15" x14ac:dyDescent="0.25"/>
  <cols>
    <col min="1" max="1" width="6.7109375" style="2" customWidth="1"/>
    <col min="2" max="2" width="42.140625" style="2" customWidth="1"/>
    <col min="3" max="3" width="9.140625" style="2"/>
    <col min="4" max="4" width="18.42578125" style="185" customWidth="1"/>
    <col min="5" max="5" width="8.5703125" style="185" customWidth="1"/>
    <col min="6" max="6" width="52" style="188" customWidth="1"/>
    <col min="7" max="7" width="9.42578125" style="2" customWidth="1"/>
    <col min="8" max="9" width="8.7109375" style="2" customWidth="1"/>
    <col min="10" max="243" width="9.140625" style="2"/>
    <col min="244" max="244" width="6.7109375" style="2" customWidth="1"/>
    <col min="245" max="245" width="42.140625" style="2" customWidth="1"/>
    <col min="246" max="246" width="9.140625" style="2"/>
    <col min="247" max="247" width="17.42578125" style="2" customWidth="1"/>
    <col min="248" max="248" width="8.5703125" style="2" customWidth="1"/>
    <col min="249" max="249" width="0" style="2" hidden="1" customWidth="1"/>
    <col min="250" max="250" width="44.85546875" style="2" customWidth="1"/>
    <col min="251" max="252" width="9.140625" style="2"/>
    <col min="253" max="253" width="3.140625" style="2" customWidth="1"/>
    <col min="254" max="254" width="3.85546875" style="2" customWidth="1"/>
    <col min="255" max="255" width="8.5703125" style="2" customWidth="1"/>
    <col min="256" max="256" width="8.85546875" style="2" customWidth="1"/>
    <col min="257" max="257" width="7.42578125" style="2" customWidth="1"/>
    <col min="258" max="258" width="8.28515625" style="2" customWidth="1"/>
    <col min="259" max="259" width="8" style="2" customWidth="1"/>
    <col min="260" max="260" width="8.140625" style="2" customWidth="1"/>
    <col min="261" max="261" width="9" style="2" customWidth="1"/>
    <col min="262" max="262" width="9.140625" style="2" customWidth="1"/>
    <col min="263" max="263" width="8.5703125" style="2" customWidth="1"/>
    <col min="264" max="264" width="11.42578125" style="2" customWidth="1"/>
    <col min="265" max="499" width="9.140625" style="2"/>
    <col min="500" max="500" width="6.7109375" style="2" customWidth="1"/>
    <col min="501" max="501" width="42.140625" style="2" customWidth="1"/>
    <col min="502" max="502" width="9.140625" style="2"/>
    <col min="503" max="503" width="17.42578125" style="2" customWidth="1"/>
    <col min="504" max="504" width="8.5703125" style="2" customWidth="1"/>
    <col min="505" max="505" width="0" style="2" hidden="1" customWidth="1"/>
    <col min="506" max="506" width="44.85546875" style="2" customWidth="1"/>
    <col min="507" max="508" width="9.140625" style="2"/>
    <col min="509" max="509" width="3.140625" style="2" customWidth="1"/>
    <col min="510" max="510" width="3.85546875" style="2" customWidth="1"/>
    <col min="511" max="511" width="8.5703125" style="2" customWidth="1"/>
    <col min="512" max="512" width="8.85546875" style="2" customWidth="1"/>
    <col min="513" max="513" width="7.42578125" style="2" customWidth="1"/>
    <col min="514" max="514" width="8.28515625" style="2" customWidth="1"/>
    <col min="515" max="515" width="8" style="2" customWidth="1"/>
    <col min="516" max="516" width="8.140625" style="2" customWidth="1"/>
    <col min="517" max="517" width="9" style="2" customWidth="1"/>
    <col min="518" max="518" width="9.140625" style="2" customWidth="1"/>
    <col min="519" max="519" width="8.5703125" style="2" customWidth="1"/>
    <col min="520" max="520" width="11.42578125" style="2" customWidth="1"/>
    <col min="521" max="755" width="9.140625" style="2"/>
    <col min="756" max="756" width="6.7109375" style="2" customWidth="1"/>
    <col min="757" max="757" width="42.140625" style="2" customWidth="1"/>
    <col min="758" max="758" width="9.140625" style="2"/>
    <col min="759" max="759" width="17.42578125" style="2" customWidth="1"/>
    <col min="760" max="760" width="8.5703125" style="2" customWidth="1"/>
    <col min="761" max="761" width="0" style="2" hidden="1" customWidth="1"/>
    <col min="762" max="762" width="44.85546875" style="2" customWidth="1"/>
    <col min="763" max="764" width="9.140625" style="2"/>
    <col min="765" max="765" width="3.140625" style="2" customWidth="1"/>
    <col min="766" max="766" width="3.85546875" style="2" customWidth="1"/>
    <col min="767" max="767" width="8.5703125" style="2" customWidth="1"/>
    <col min="768" max="768" width="8.85546875" style="2" customWidth="1"/>
    <col min="769" max="769" width="7.42578125" style="2" customWidth="1"/>
    <col min="770" max="770" width="8.28515625" style="2" customWidth="1"/>
    <col min="771" max="771" width="8" style="2" customWidth="1"/>
    <col min="772" max="772" width="8.140625" style="2" customWidth="1"/>
    <col min="773" max="773" width="9" style="2" customWidth="1"/>
    <col min="774" max="774" width="9.140625" style="2" customWidth="1"/>
    <col min="775" max="775" width="8.5703125" style="2" customWidth="1"/>
    <col min="776" max="776" width="11.42578125" style="2" customWidth="1"/>
    <col min="777" max="1011" width="9.140625" style="2"/>
    <col min="1012" max="1012" width="6.7109375" style="2" customWidth="1"/>
    <col min="1013" max="1013" width="42.140625" style="2" customWidth="1"/>
    <col min="1014" max="1014" width="9.140625" style="2"/>
    <col min="1015" max="1015" width="17.42578125" style="2" customWidth="1"/>
    <col min="1016" max="1016" width="8.5703125" style="2" customWidth="1"/>
    <col min="1017" max="1017" width="0" style="2" hidden="1" customWidth="1"/>
    <col min="1018" max="1018" width="44.85546875" style="2" customWidth="1"/>
    <col min="1019" max="1020" width="9.140625" style="2"/>
    <col min="1021" max="1021" width="3.140625" style="2" customWidth="1"/>
    <col min="1022" max="1022" width="3.85546875" style="2" customWidth="1"/>
    <col min="1023" max="1023" width="8.5703125" style="2" customWidth="1"/>
    <col min="1024" max="1024" width="8.85546875" style="2" customWidth="1"/>
    <col min="1025" max="1025" width="7.42578125" style="2" customWidth="1"/>
    <col min="1026" max="1026" width="8.28515625" style="2" customWidth="1"/>
    <col min="1027" max="1027" width="8" style="2" customWidth="1"/>
    <col min="1028" max="1028" width="8.140625" style="2" customWidth="1"/>
    <col min="1029" max="1029" width="9" style="2" customWidth="1"/>
    <col min="1030" max="1030" width="9.140625" style="2" customWidth="1"/>
    <col min="1031" max="1031" width="8.5703125" style="2" customWidth="1"/>
    <col min="1032" max="1032" width="11.42578125" style="2" customWidth="1"/>
    <col min="1033" max="1267" width="9.140625" style="2"/>
    <col min="1268" max="1268" width="6.7109375" style="2" customWidth="1"/>
    <col min="1269" max="1269" width="42.140625" style="2" customWidth="1"/>
    <col min="1270" max="1270" width="9.140625" style="2"/>
    <col min="1271" max="1271" width="17.42578125" style="2" customWidth="1"/>
    <col min="1272" max="1272" width="8.5703125" style="2" customWidth="1"/>
    <col min="1273" max="1273" width="0" style="2" hidden="1" customWidth="1"/>
    <col min="1274" max="1274" width="44.85546875" style="2" customWidth="1"/>
    <col min="1275" max="1276" width="9.140625" style="2"/>
    <col min="1277" max="1277" width="3.140625" style="2" customWidth="1"/>
    <col min="1278" max="1278" width="3.85546875" style="2" customWidth="1"/>
    <col min="1279" max="1279" width="8.5703125" style="2" customWidth="1"/>
    <col min="1280" max="1280" width="8.85546875" style="2" customWidth="1"/>
    <col min="1281" max="1281" width="7.42578125" style="2" customWidth="1"/>
    <col min="1282" max="1282" width="8.28515625" style="2" customWidth="1"/>
    <col min="1283" max="1283" width="8" style="2" customWidth="1"/>
    <col min="1284" max="1284" width="8.140625" style="2" customWidth="1"/>
    <col min="1285" max="1285" width="9" style="2" customWidth="1"/>
    <col min="1286" max="1286" width="9.140625" style="2" customWidth="1"/>
    <col min="1287" max="1287" width="8.5703125" style="2" customWidth="1"/>
    <col min="1288" max="1288" width="11.42578125" style="2" customWidth="1"/>
    <col min="1289" max="1523" width="9.140625" style="2"/>
    <col min="1524" max="1524" width="6.7109375" style="2" customWidth="1"/>
    <col min="1525" max="1525" width="42.140625" style="2" customWidth="1"/>
    <col min="1526" max="1526" width="9.140625" style="2"/>
    <col min="1527" max="1527" width="17.42578125" style="2" customWidth="1"/>
    <col min="1528" max="1528" width="8.5703125" style="2" customWidth="1"/>
    <col min="1529" max="1529" width="0" style="2" hidden="1" customWidth="1"/>
    <col min="1530" max="1530" width="44.85546875" style="2" customWidth="1"/>
    <col min="1531" max="1532" width="9.140625" style="2"/>
    <col min="1533" max="1533" width="3.140625" style="2" customWidth="1"/>
    <col min="1534" max="1534" width="3.85546875" style="2" customWidth="1"/>
    <col min="1535" max="1535" width="8.5703125" style="2" customWidth="1"/>
    <col min="1536" max="1536" width="8.85546875" style="2" customWidth="1"/>
    <col min="1537" max="1537" width="7.42578125" style="2" customWidth="1"/>
    <col min="1538" max="1538" width="8.28515625" style="2" customWidth="1"/>
    <col min="1539" max="1539" width="8" style="2" customWidth="1"/>
    <col min="1540" max="1540" width="8.140625" style="2" customWidth="1"/>
    <col min="1541" max="1541" width="9" style="2" customWidth="1"/>
    <col min="1542" max="1542" width="9.140625" style="2" customWidth="1"/>
    <col min="1543" max="1543" width="8.5703125" style="2" customWidth="1"/>
    <col min="1544" max="1544" width="11.42578125" style="2" customWidth="1"/>
    <col min="1545" max="1779" width="9.140625" style="2"/>
    <col min="1780" max="1780" width="6.7109375" style="2" customWidth="1"/>
    <col min="1781" max="1781" width="42.140625" style="2" customWidth="1"/>
    <col min="1782" max="1782" width="9.140625" style="2"/>
    <col min="1783" max="1783" width="17.42578125" style="2" customWidth="1"/>
    <col min="1784" max="1784" width="8.5703125" style="2" customWidth="1"/>
    <col min="1785" max="1785" width="0" style="2" hidden="1" customWidth="1"/>
    <col min="1786" max="1786" width="44.85546875" style="2" customWidth="1"/>
    <col min="1787" max="1788" width="9.140625" style="2"/>
    <col min="1789" max="1789" width="3.140625" style="2" customWidth="1"/>
    <col min="1790" max="1790" width="3.85546875" style="2" customWidth="1"/>
    <col min="1791" max="1791" width="8.5703125" style="2" customWidth="1"/>
    <col min="1792" max="1792" width="8.85546875" style="2" customWidth="1"/>
    <col min="1793" max="1793" width="7.42578125" style="2" customWidth="1"/>
    <col min="1794" max="1794" width="8.28515625" style="2" customWidth="1"/>
    <col min="1795" max="1795" width="8" style="2" customWidth="1"/>
    <col min="1796" max="1796" width="8.140625" style="2" customWidth="1"/>
    <col min="1797" max="1797" width="9" style="2" customWidth="1"/>
    <col min="1798" max="1798" width="9.140625" style="2" customWidth="1"/>
    <col min="1799" max="1799" width="8.5703125" style="2" customWidth="1"/>
    <col min="1800" max="1800" width="11.42578125" style="2" customWidth="1"/>
    <col min="1801" max="2035" width="9.140625" style="2"/>
    <col min="2036" max="2036" width="6.7109375" style="2" customWidth="1"/>
    <col min="2037" max="2037" width="42.140625" style="2" customWidth="1"/>
    <col min="2038" max="2038" width="9.140625" style="2"/>
    <col min="2039" max="2039" width="17.42578125" style="2" customWidth="1"/>
    <col min="2040" max="2040" width="8.5703125" style="2" customWidth="1"/>
    <col min="2041" max="2041" width="0" style="2" hidden="1" customWidth="1"/>
    <col min="2042" max="2042" width="44.85546875" style="2" customWidth="1"/>
    <col min="2043" max="2044" width="9.140625" style="2"/>
    <col min="2045" max="2045" width="3.140625" style="2" customWidth="1"/>
    <col min="2046" max="2046" width="3.85546875" style="2" customWidth="1"/>
    <col min="2047" max="2047" width="8.5703125" style="2" customWidth="1"/>
    <col min="2048" max="2048" width="8.85546875" style="2" customWidth="1"/>
    <col min="2049" max="2049" width="7.42578125" style="2" customWidth="1"/>
    <col min="2050" max="2050" width="8.28515625" style="2" customWidth="1"/>
    <col min="2051" max="2051" width="8" style="2" customWidth="1"/>
    <col min="2052" max="2052" width="8.140625" style="2" customWidth="1"/>
    <col min="2053" max="2053" width="9" style="2" customWidth="1"/>
    <col min="2054" max="2054" width="9.140625" style="2" customWidth="1"/>
    <col min="2055" max="2055" width="8.5703125" style="2" customWidth="1"/>
    <col min="2056" max="2056" width="11.42578125" style="2" customWidth="1"/>
    <col min="2057" max="2291" width="9.140625" style="2"/>
    <col min="2292" max="2292" width="6.7109375" style="2" customWidth="1"/>
    <col min="2293" max="2293" width="42.140625" style="2" customWidth="1"/>
    <col min="2294" max="2294" width="9.140625" style="2"/>
    <col min="2295" max="2295" width="17.42578125" style="2" customWidth="1"/>
    <col min="2296" max="2296" width="8.5703125" style="2" customWidth="1"/>
    <col min="2297" max="2297" width="0" style="2" hidden="1" customWidth="1"/>
    <col min="2298" max="2298" width="44.85546875" style="2" customWidth="1"/>
    <col min="2299" max="2300" width="9.140625" style="2"/>
    <col min="2301" max="2301" width="3.140625" style="2" customWidth="1"/>
    <col min="2302" max="2302" width="3.85546875" style="2" customWidth="1"/>
    <col min="2303" max="2303" width="8.5703125" style="2" customWidth="1"/>
    <col min="2304" max="2304" width="8.85546875" style="2" customWidth="1"/>
    <col min="2305" max="2305" width="7.42578125" style="2" customWidth="1"/>
    <col min="2306" max="2306" width="8.28515625" style="2" customWidth="1"/>
    <col min="2307" max="2307" width="8" style="2" customWidth="1"/>
    <col min="2308" max="2308" width="8.140625" style="2" customWidth="1"/>
    <col min="2309" max="2309" width="9" style="2" customWidth="1"/>
    <col min="2310" max="2310" width="9.140625" style="2" customWidth="1"/>
    <col min="2311" max="2311" width="8.5703125" style="2" customWidth="1"/>
    <col min="2312" max="2312" width="11.42578125" style="2" customWidth="1"/>
    <col min="2313" max="2547" width="9.140625" style="2"/>
    <col min="2548" max="2548" width="6.7109375" style="2" customWidth="1"/>
    <col min="2549" max="2549" width="42.140625" style="2" customWidth="1"/>
    <col min="2550" max="2550" width="9.140625" style="2"/>
    <col min="2551" max="2551" width="17.42578125" style="2" customWidth="1"/>
    <col min="2552" max="2552" width="8.5703125" style="2" customWidth="1"/>
    <col min="2553" max="2553" width="0" style="2" hidden="1" customWidth="1"/>
    <col min="2554" max="2554" width="44.85546875" style="2" customWidth="1"/>
    <col min="2555" max="2556" width="9.140625" style="2"/>
    <col min="2557" max="2557" width="3.140625" style="2" customWidth="1"/>
    <col min="2558" max="2558" width="3.85546875" style="2" customWidth="1"/>
    <col min="2559" max="2559" width="8.5703125" style="2" customWidth="1"/>
    <col min="2560" max="2560" width="8.85546875" style="2" customWidth="1"/>
    <col min="2561" max="2561" width="7.42578125" style="2" customWidth="1"/>
    <col min="2562" max="2562" width="8.28515625" style="2" customWidth="1"/>
    <col min="2563" max="2563" width="8" style="2" customWidth="1"/>
    <col min="2564" max="2564" width="8.140625" style="2" customWidth="1"/>
    <col min="2565" max="2565" width="9" style="2" customWidth="1"/>
    <col min="2566" max="2566" width="9.140625" style="2" customWidth="1"/>
    <col min="2567" max="2567" width="8.5703125" style="2" customWidth="1"/>
    <col min="2568" max="2568" width="11.42578125" style="2" customWidth="1"/>
    <col min="2569" max="2803" width="9.140625" style="2"/>
    <col min="2804" max="2804" width="6.7109375" style="2" customWidth="1"/>
    <col min="2805" max="2805" width="42.140625" style="2" customWidth="1"/>
    <col min="2806" max="2806" width="9.140625" style="2"/>
    <col min="2807" max="2807" width="17.42578125" style="2" customWidth="1"/>
    <col min="2808" max="2808" width="8.5703125" style="2" customWidth="1"/>
    <col min="2809" max="2809" width="0" style="2" hidden="1" customWidth="1"/>
    <col min="2810" max="2810" width="44.85546875" style="2" customWidth="1"/>
    <col min="2811" max="2812" width="9.140625" style="2"/>
    <col min="2813" max="2813" width="3.140625" style="2" customWidth="1"/>
    <col min="2814" max="2814" width="3.85546875" style="2" customWidth="1"/>
    <col min="2815" max="2815" width="8.5703125" style="2" customWidth="1"/>
    <col min="2816" max="2816" width="8.85546875" style="2" customWidth="1"/>
    <col min="2817" max="2817" width="7.42578125" style="2" customWidth="1"/>
    <col min="2818" max="2818" width="8.28515625" style="2" customWidth="1"/>
    <col min="2819" max="2819" width="8" style="2" customWidth="1"/>
    <col min="2820" max="2820" width="8.140625" style="2" customWidth="1"/>
    <col min="2821" max="2821" width="9" style="2" customWidth="1"/>
    <col min="2822" max="2822" width="9.140625" style="2" customWidth="1"/>
    <col min="2823" max="2823" width="8.5703125" style="2" customWidth="1"/>
    <col min="2824" max="2824" width="11.42578125" style="2" customWidth="1"/>
    <col min="2825" max="3059" width="9.140625" style="2"/>
    <col min="3060" max="3060" width="6.7109375" style="2" customWidth="1"/>
    <col min="3061" max="3061" width="42.140625" style="2" customWidth="1"/>
    <col min="3062" max="3062" width="9.140625" style="2"/>
    <col min="3063" max="3063" width="17.42578125" style="2" customWidth="1"/>
    <col min="3064" max="3064" width="8.5703125" style="2" customWidth="1"/>
    <col min="3065" max="3065" width="0" style="2" hidden="1" customWidth="1"/>
    <col min="3066" max="3066" width="44.85546875" style="2" customWidth="1"/>
    <col min="3067" max="3068" width="9.140625" style="2"/>
    <col min="3069" max="3069" width="3.140625" style="2" customWidth="1"/>
    <col min="3070" max="3070" width="3.85546875" style="2" customWidth="1"/>
    <col min="3071" max="3071" width="8.5703125" style="2" customWidth="1"/>
    <col min="3072" max="3072" width="8.85546875" style="2" customWidth="1"/>
    <col min="3073" max="3073" width="7.42578125" style="2" customWidth="1"/>
    <col min="3074" max="3074" width="8.28515625" style="2" customWidth="1"/>
    <col min="3075" max="3075" width="8" style="2" customWidth="1"/>
    <col min="3076" max="3076" width="8.140625" style="2" customWidth="1"/>
    <col min="3077" max="3077" width="9" style="2" customWidth="1"/>
    <col min="3078" max="3078" width="9.140625" style="2" customWidth="1"/>
    <col min="3079" max="3079" width="8.5703125" style="2" customWidth="1"/>
    <col min="3080" max="3080" width="11.42578125" style="2" customWidth="1"/>
    <col min="3081" max="3315" width="9.140625" style="2"/>
    <col min="3316" max="3316" width="6.7109375" style="2" customWidth="1"/>
    <col min="3317" max="3317" width="42.140625" style="2" customWidth="1"/>
    <col min="3318" max="3318" width="9.140625" style="2"/>
    <col min="3319" max="3319" width="17.42578125" style="2" customWidth="1"/>
    <col min="3320" max="3320" width="8.5703125" style="2" customWidth="1"/>
    <col min="3321" max="3321" width="0" style="2" hidden="1" customWidth="1"/>
    <col min="3322" max="3322" width="44.85546875" style="2" customWidth="1"/>
    <col min="3323" max="3324" width="9.140625" style="2"/>
    <col min="3325" max="3325" width="3.140625" style="2" customWidth="1"/>
    <col min="3326" max="3326" width="3.85546875" style="2" customWidth="1"/>
    <col min="3327" max="3327" width="8.5703125" style="2" customWidth="1"/>
    <col min="3328" max="3328" width="8.85546875" style="2" customWidth="1"/>
    <col min="3329" max="3329" width="7.42578125" style="2" customWidth="1"/>
    <col min="3330" max="3330" width="8.28515625" style="2" customWidth="1"/>
    <col min="3331" max="3331" width="8" style="2" customWidth="1"/>
    <col min="3332" max="3332" width="8.140625" style="2" customWidth="1"/>
    <col min="3333" max="3333" width="9" style="2" customWidth="1"/>
    <col min="3334" max="3334" width="9.140625" style="2" customWidth="1"/>
    <col min="3335" max="3335" width="8.5703125" style="2" customWidth="1"/>
    <col min="3336" max="3336" width="11.42578125" style="2" customWidth="1"/>
    <col min="3337" max="3571" width="9.140625" style="2"/>
    <col min="3572" max="3572" width="6.7109375" style="2" customWidth="1"/>
    <col min="3573" max="3573" width="42.140625" style="2" customWidth="1"/>
    <col min="3574" max="3574" width="9.140625" style="2"/>
    <col min="3575" max="3575" width="17.42578125" style="2" customWidth="1"/>
    <col min="3576" max="3576" width="8.5703125" style="2" customWidth="1"/>
    <col min="3577" max="3577" width="0" style="2" hidden="1" customWidth="1"/>
    <col min="3578" max="3578" width="44.85546875" style="2" customWidth="1"/>
    <col min="3579" max="3580" width="9.140625" style="2"/>
    <col min="3581" max="3581" width="3.140625" style="2" customWidth="1"/>
    <col min="3582" max="3582" width="3.85546875" style="2" customWidth="1"/>
    <col min="3583" max="3583" width="8.5703125" style="2" customWidth="1"/>
    <col min="3584" max="3584" width="8.85546875" style="2" customWidth="1"/>
    <col min="3585" max="3585" width="7.42578125" style="2" customWidth="1"/>
    <col min="3586" max="3586" width="8.28515625" style="2" customWidth="1"/>
    <col min="3587" max="3587" width="8" style="2" customWidth="1"/>
    <col min="3588" max="3588" width="8.140625" style="2" customWidth="1"/>
    <col min="3589" max="3589" width="9" style="2" customWidth="1"/>
    <col min="3590" max="3590" width="9.140625" style="2" customWidth="1"/>
    <col min="3591" max="3591" width="8.5703125" style="2" customWidth="1"/>
    <col min="3592" max="3592" width="11.42578125" style="2" customWidth="1"/>
    <col min="3593" max="3827" width="9.140625" style="2"/>
    <col min="3828" max="3828" width="6.7109375" style="2" customWidth="1"/>
    <col min="3829" max="3829" width="42.140625" style="2" customWidth="1"/>
    <col min="3830" max="3830" width="9.140625" style="2"/>
    <col min="3831" max="3831" width="17.42578125" style="2" customWidth="1"/>
    <col min="3832" max="3832" width="8.5703125" style="2" customWidth="1"/>
    <col min="3833" max="3833" width="0" style="2" hidden="1" customWidth="1"/>
    <col min="3834" max="3834" width="44.85546875" style="2" customWidth="1"/>
    <col min="3835" max="3836" width="9.140625" style="2"/>
    <col min="3837" max="3837" width="3.140625" style="2" customWidth="1"/>
    <col min="3838" max="3838" width="3.85546875" style="2" customWidth="1"/>
    <col min="3839" max="3839" width="8.5703125" style="2" customWidth="1"/>
    <col min="3840" max="3840" width="8.85546875" style="2" customWidth="1"/>
    <col min="3841" max="3841" width="7.42578125" style="2" customWidth="1"/>
    <col min="3842" max="3842" width="8.28515625" style="2" customWidth="1"/>
    <col min="3843" max="3843" width="8" style="2" customWidth="1"/>
    <col min="3844" max="3844" width="8.140625" style="2" customWidth="1"/>
    <col min="3845" max="3845" width="9" style="2" customWidth="1"/>
    <col min="3846" max="3846" width="9.140625" style="2" customWidth="1"/>
    <col min="3847" max="3847" width="8.5703125" style="2" customWidth="1"/>
    <col min="3848" max="3848" width="11.42578125" style="2" customWidth="1"/>
    <col min="3849" max="4083" width="9.140625" style="2"/>
    <col min="4084" max="4084" width="6.7109375" style="2" customWidth="1"/>
    <col min="4085" max="4085" width="42.140625" style="2" customWidth="1"/>
    <col min="4086" max="4086" width="9.140625" style="2"/>
    <col min="4087" max="4087" width="17.42578125" style="2" customWidth="1"/>
    <col min="4088" max="4088" width="8.5703125" style="2" customWidth="1"/>
    <col min="4089" max="4089" width="0" style="2" hidden="1" customWidth="1"/>
    <col min="4090" max="4090" width="44.85546875" style="2" customWidth="1"/>
    <col min="4091" max="4092" width="9.140625" style="2"/>
    <col min="4093" max="4093" width="3.140625" style="2" customWidth="1"/>
    <col min="4094" max="4094" width="3.85546875" style="2" customWidth="1"/>
    <col min="4095" max="4095" width="8.5703125" style="2" customWidth="1"/>
    <col min="4096" max="4096" width="8.85546875" style="2" customWidth="1"/>
    <col min="4097" max="4097" width="7.42578125" style="2" customWidth="1"/>
    <col min="4098" max="4098" width="8.28515625" style="2" customWidth="1"/>
    <col min="4099" max="4099" width="8" style="2" customWidth="1"/>
    <col min="4100" max="4100" width="8.140625" style="2" customWidth="1"/>
    <col min="4101" max="4101" width="9" style="2" customWidth="1"/>
    <col min="4102" max="4102" width="9.140625" style="2" customWidth="1"/>
    <col min="4103" max="4103" width="8.5703125" style="2" customWidth="1"/>
    <col min="4104" max="4104" width="11.42578125" style="2" customWidth="1"/>
    <col min="4105" max="4339" width="9.140625" style="2"/>
    <col min="4340" max="4340" width="6.7109375" style="2" customWidth="1"/>
    <col min="4341" max="4341" width="42.140625" style="2" customWidth="1"/>
    <col min="4342" max="4342" width="9.140625" style="2"/>
    <col min="4343" max="4343" width="17.42578125" style="2" customWidth="1"/>
    <col min="4344" max="4344" width="8.5703125" style="2" customWidth="1"/>
    <col min="4345" max="4345" width="0" style="2" hidden="1" customWidth="1"/>
    <col min="4346" max="4346" width="44.85546875" style="2" customWidth="1"/>
    <col min="4347" max="4348" width="9.140625" style="2"/>
    <col min="4349" max="4349" width="3.140625" style="2" customWidth="1"/>
    <col min="4350" max="4350" width="3.85546875" style="2" customWidth="1"/>
    <col min="4351" max="4351" width="8.5703125" style="2" customWidth="1"/>
    <col min="4352" max="4352" width="8.85546875" style="2" customWidth="1"/>
    <col min="4353" max="4353" width="7.42578125" style="2" customWidth="1"/>
    <col min="4354" max="4354" width="8.28515625" style="2" customWidth="1"/>
    <col min="4355" max="4355" width="8" style="2" customWidth="1"/>
    <col min="4356" max="4356" width="8.140625" style="2" customWidth="1"/>
    <col min="4357" max="4357" width="9" style="2" customWidth="1"/>
    <col min="4358" max="4358" width="9.140625" style="2" customWidth="1"/>
    <col min="4359" max="4359" width="8.5703125" style="2" customWidth="1"/>
    <col min="4360" max="4360" width="11.42578125" style="2" customWidth="1"/>
    <col min="4361" max="4595" width="9.140625" style="2"/>
    <col min="4596" max="4596" width="6.7109375" style="2" customWidth="1"/>
    <col min="4597" max="4597" width="42.140625" style="2" customWidth="1"/>
    <col min="4598" max="4598" width="9.140625" style="2"/>
    <col min="4599" max="4599" width="17.42578125" style="2" customWidth="1"/>
    <col min="4600" max="4600" width="8.5703125" style="2" customWidth="1"/>
    <col min="4601" max="4601" width="0" style="2" hidden="1" customWidth="1"/>
    <col min="4602" max="4602" width="44.85546875" style="2" customWidth="1"/>
    <col min="4603" max="4604" width="9.140625" style="2"/>
    <col min="4605" max="4605" width="3.140625" style="2" customWidth="1"/>
    <col min="4606" max="4606" width="3.85546875" style="2" customWidth="1"/>
    <col min="4607" max="4607" width="8.5703125" style="2" customWidth="1"/>
    <col min="4608" max="4608" width="8.85546875" style="2" customWidth="1"/>
    <col min="4609" max="4609" width="7.42578125" style="2" customWidth="1"/>
    <col min="4610" max="4610" width="8.28515625" style="2" customWidth="1"/>
    <col min="4611" max="4611" width="8" style="2" customWidth="1"/>
    <col min="4612" max="4612" width="8.140625" style="2" customWidth="1"/>
    <col min="4613" max="4613" width="9" style="2" customWidth="1"/>
    <col min="4614" max="4614" width="9.140625" style="2" customWidth="1"/>
    <col min="4615" max="4615" width="8.5703125" style="2" customWidth="1"/>
    <col min="4616" max="4616" width="11.42578125" style="2" customWidth="1"/>
    <col min="4617" max="4851" width="9.140625" style="2"/>
    <col min="4852" max="4852" width="6.7109375" style="2" customWidth="1"/>
    <col min="4853" max="4853" width="42.140625" style="2" customWidth="1"/>
    <col min="4854" max="4854" width="9.140625" style="2"/>
    <col min="4855" max="4855" width="17.42578125" style="2" customWidth="1"/>
    <col min="4856" max="4856" width="8.5703125" style="2" customWidth="1"/>
    <col min="4857" max="4857" width="0" style="2" hidden="1" customWidth="1"/>
    <col min="4858" max="4858" width="44.85546875" style="2" customWidth="1"/>
    <col min="4859" max="4860" width="9.140625" style="2"/>
    <col min="4861" max="4861" width="3.140625" style="2" customWidth="1"/>
    <col min="4862" max="4862" width="3.85546875" style="2" customWidth="1"/>
    <col min="4863" max="4863" width="8.5703125" style="2" customWidth="1"/>
    <col min="4864" max="4864" width="8.85546875" style="2" customWidth="1"/>
    <col min="4865" max="4865" width="7.42578125" style="2" customWidth="1"/>
    <col min="4866" max="4866" width="8.28515625" style="2" customWidth="1"/>
    <col min="4867" max="4867" width="8" style="2" customWidth="1"/>
    <col min="4868" max="4868" width="8.140625" style="2" customWidth="1"/>
    <col min="4869" max="4869" width="9" style="2" customWidth="1"/>
    <col min="4870" max="4870" width="9.140625" style="2" customWidth="1"/>
    <col min="4871" max="4871" width="8.5703125" style="2" customWidth="1"/>
    <col min="4872" max="4872" width="11.42578125" style="2" customWidth="1"/>
    <col min="4873" max="5107" width="9.140625" style="2"/>
    <col min="5108" max="5108" width="6.7109375" style="2" customWidth="1"/>
    <col min="5109" max="5109" width="42.140625" style="2" customWidth="1"/>
    <col min="5110" max="5110" width="9.140625" style="2"/>
    <col min="5111" max="5111" width="17.42578125" style="2" customWidth="1"/>
    <col min="5112" max="5112" width="8.5703125" style="2" customWidth="1"/>
    <col min="5113" max="5113" width="0" style="2" hidden="1" customWidth="1"/>
    <col min="5114" max="5114" width="44.85546875" style="2" customWidth="1"/>
    <col min="5115" max="5116" width="9.140625" style="2"/>
    <col min="5117" max="5117" width="3.140625" style="2" customWidth="1"/>
    <col min="5118" max="5118" width="3.85546875" style="2" customWidth="1"/>
    <col min="5119" max="5119" width="8.5703125" style="2" customWidth="1"/>
    <col min="5120" max="5120" width="8.85546875" style="2" customWidth="1"/>
    <col min="5121" max="5121" width="7.42578125" style="2" customWidth="1"/>
    <col min="5122" max="5122" width="8.28515625" style="2" customWidth="1"/>
    <col min="5123" max="5123" width="8" style="2" customWidth="1"/>
    <col min="5124" max="5124" width="8.140625" style="2" customWidth="1"/>
    <col min="5125" max="5125" width="9" style="2" customWidth="1"/>
    <col min="5126" max="5126" width="9.140625" style="2" customWidth="1"/>
    <col min="5127" max="5127" width="8.5703125" style="2" customWidth="1"/>
    <col min="5128" max="5128" width="11.42578125" style="2" customWidth="1"/>
    <col min="5129" max="5363" width="9.140625" style="2"/>
    <col min="5364" max="5364" width="6.7109375" style="2" customWidth="1"/>
    <col min="5365" max="5365" width="42.140625" style="2" customWidth="1"/>
    <col min="5366" max="5366" width="9.140625" style="2"/>
    <col min="5367" max="5367" width="17.42578125" style="2" customWidth="1"/>
    <col min="5368" max="5368" width="8.5703125" style="2" customWidth="1"/>
    <col min="5369" max="5369" width="0" style="2" hidden="1" customWidth="1"/>
    <col min="5370" max="5370" width="44.85546875" style="2" customWidth="1"/>
    <col min="5371" max="5372" width="9.140625" style="2"/>
    <col min="5373" max="5373" width="3.140625" style="2" customWidth="1"/>
    <col min="5374" max="5374" width="3.85546875" style="2" customWidth="1"/>
    <col min="5375" max="5375" width="8.5703125" style="2" customWidth="1"/>
    <col min="5376" max="5376" width="8.85546875" style="2" customWidth="1"/>
    <col min="5377" max="5377" width="7.42578125" style="2" customWidth="1"/>
    <col min="5378" max="5378" width="8.28515625" style="2" customWidth="1"/>
    <col min="5379" max="5379" width="8" style="2" customWidth="1"/>
    <col min="5380" max="5380" width="8.140625" style="2" customWidth="1"/>
    <col min="5381" max="5381" width="9" style="2" customWidth="1"/>
    <col min="5382" max="5382" width="9.140625" style="2" customWidth="1"/>
    <col min="5383" max="5383" width="8.5703125" style="2" customWidth="1"/>
    <col min="5384" max="5384" width="11.42578125" style="2" customWidth="1"/>
    <col min="5385" max="5619" width="9.140625" style="2"/>
    <col min="5620" max="5620" width="6.7109375" style="2" customWidth="1"/>
    <col min="5621" max="5621" width="42.140625" style="2" customWidth="1"/>
    <col min="5622" max="5622" width="9.140625" style="2"/>
    <col min="5623" max="5623" width="17.42578125" style="2" customWidth="1"/>
    <col min="5624" max="5624" width="8.5703125" style="2" customWidth="1"/>
    <col min="5625" max="5625" width="0" style="2" hidden="1" customWidth="1"/>
    <col min="5626" max="5626" width="44.85546875" style="2" customWidth="1"/>
    <col min="5627" max="5628" width="9.140625" style="2"/>
    <col min="5629" max="5629" width="3.140625" style="2" customWidth="1"/>
    <col min="5630" max="5630" width="3.85546875" style="2" customWidth="1"/>
    <col min="5631" max="5631" width="8.5703125" style="2" customWidth="1"/>
    <col min="5632" max="5632" width="8.85546875" style="2" customWidth="1"/>
    <col min="5633" max="5633" width="7.42578125" style="2" customWidth="1"/>
    <col min="5634" max="5634" width="8.28515625" style="2" customWidth="1"/>
    <col min="5635" max="5635" width="8" style="2" customWidth="1"/>
    <col min="5636" max="5636" width="8.140625" style="2" customWidth="1"/>
    <col min="5637" max="5637" width="9" style="2" customWidth="1"/>
    <col min="5638" max="5638" width="9.140625" style="2" customWidth="1"/>
    <col min="5639" max="5639" width="8.5703125" style="2" customWidth="1"/>
    <col min="5640" max="5640" width="11.42578125" style="2" customWidth="1"/>
    <col min="5641" max="5875" width="9.140625" style="2"/>
    <col min="5876" max="5876" width="6.7109375" style="2" customWidth="1"/>
    <col min="5877" max="5877" width="42.140625" style="2" customWidth="1"/>
    <col min="5878" max="5878" width="9.140625" style="2"/>
    <col min="5879" max="5879" width="17.42578125" style="2" customWidth="1"/>
    <col min="5880" max="5880" width="8.5703125" style="2" customWidth="1"/>
    <col min="5881" max="5881" width="0" style="2" hidden="1" customWidth="1"/>
    <col min="5882" max="5882" width="44.85546875" style="2" customWidth="1"/>
    <col min="5883" max="5884" width="9.140625" style="2"/>
    <col min="5885" max="5885" width="3.140625" style="2" customWidth="1"/>
    <col min="5886" max="5886" width="3.85546875" style="2" customWidth="1"/>
    <col min="5887" max="5887" width="8.5703125" style="2" customWidth="1"/>
    <col min="5888" max="5888" width="8.85546875" style="2" customWidth="1"/>
    <col min="5889" max="5889" width="7.42578125" style="2" customWidth="1"/>
    <col min="5890" max="5890" width="8.28515625" style="2" customWidth="1"/>
    <col min="5891" max="5891" width="8" style="2" customWidth="1"/>
    <col min="5892" max="5892" width="8.140625" style="2" customWidth="1"/>
    <col min="5893" max="5893" width="9" style="2" customWidth="1"/>
    <col min="5894" max="5894" width="9.140625" style="2" customWidth="1"/>
    <col min="5895" max="5895" width="8.5703125" style="2" customWidth="1"/>
    <col min="5896" max="5896" width="11.42578125" style="2" customWidth="1"/>
    <col min="5897" max="6131" width="9.140625" style="2"/>
    <col min="6132" max="6132" width="6.7109375" style="2" customWidth="1"/>
    <col min="6133" max="6133" width="42.140625" style="2" customWidth="1"/>
    <col min="6134" max="6134" width="9.140625" style="2"/>
    <col min="6135" max="6135" width="17.42578125" style="2" customWidth="1"/>
    <col min="6136" max="6136" width="8.5703125" style="2" customWidth="1"/>
    <col min="6137" max="6137" width="0" style="2" hidden="1" customWidth="1"/>
    <col min="6138" max="6138" width="44.85546875" style="2" customWidth="1"/>
    <col min="6139" max="6140" width="9.140625" style="2"/>
    <col min="6141" max="6141" width="3.140625" style="2" customWidth="1"/>
    <col min="6142" max="6142" width="3.85546875" style="2" customWidth="1"/>
    <col min="6143" max="6143" width="8.5703125" style="2" customWidth="1"/>
    <col min="6144" max="6144" width="8.85546875" style="2" customWidth="1"/>
    <col min="6145" max="6145" width="7.42578125" style="2" customWidth="1"/>
    <col min="6146" max="6146" width="8.28515625" style="2" customWidth="1"/>
    <col min="6147" max="6147" width="8" style="2" customWidth="1"/>
    <col min="6148" max="6148" width="8.140625" style="2" customWidth="1"/>
    <col min="6149" max="6149" width="9" style="2" customWidth="1"/>
    <col min="6150" max="6150" width="9.140625" style="2" customWidth="1"/>
    <col min="6151" max="6151" width="8.5703125" style="2" customWidth="1"/>
    <col min="6152" max="6152" width="11.42578125" style="2" customWidth="1"/>
    <col min="6153" max="6387" width="9.140625" style="2"/>
    <col min="6388" max="6388" width="6.7109375" style="2" customWidth="1"/>
    <col min="6389" max="6389" width="42.140625" style="2" customWidth="1"/>
    <col min="6390" max="6390" width="9.140625" style="2"/>
    <col min="6391" max="6391" width="17.42578125" style="2" customWidth="1"/>
    <col min="6392" max="6392" width="8.5703125" style="2" customWidth="1"/>
    <col min="6393" max="6393" width="0" style="2" hidden="1" customWidth="1"/>
    <col min="6394" max="6394" width="44.85546875" style="2" customWidth="1"/>
    <col min="6395" max="6396" width="9.140625" style="2"/>
    <col min="6397" max="6397" width="3.140625" style="2" customWidth="1"/>
    <col min="6398" max="6398" width="3.85546875" style="2" customWidth="1"/>
    <col min="6399" max="6399" width="8.5703125" style="2" customWidth="1"/>
    <col min="6400" max="6400" width="8.85546875" style="2" customWidth="1"/>
    <col min="6401" max="6401" width="7.42578125" style="2" customWidth="1"/>
    <col min="6402" max="6402" width="8.28515625" style="2" customWidth="1"/>
    <col min="6403" max="6403" width="8" style="2" customWidth="1"/>
    <col min="6404" max="6404" width="8.140625" style="2" customWidth="1"/>
    <col min="6405" max="6405" width="9" style="2" customWidth="1"/>
    <col min="6406" max="6406" width="9.140625" style="2" customWidth="1"/>
    <col min="6407" max="6407" width="8.5703125" style="2" customWidth="1"/>
    <col min="6408" max="6408" width="11.42578125" style="2" customWidth="1"/>
    <col min="6409" max="6643" width="9.140625" style="2"/>
    <col min="6644" max="6644" width="6.7109375" style="2" customWidth="1"/>
    <col min="6645" max="6645" width="42.140625" style="2" customWidth="1"/>
    <col min="6646" max="6646" width="9.140625" style="2"/>
    <col min="6647" max="6647" width="17.42578125" style="2" customWidth="1"/>
    <col min="6648" max="6648" width="8.5703125" style="2" customWidth="1"/>
    <col min="6649" max="6649" width="0" style="2" hidden="1" customWidth="1"/>
    <col min="6650" max="6650" width="44.85546875" style="2" customWidth="1"/>
    <col min="6651" max="6652" width="9.140625" style="2"/>
    <col min="6653" max="6653" width="3.140625" style="2" customWidth="1"/>
    <col min="6654" max="6654" width="3.85546875" style="2" customWidth="1"/>
    <col min="6655" max="6655" width="8.5703125" style="2" customWidth="1"/>
    <col min="6656" max="6656" width="8.85546875" style="2" customWidth="1"/>
    <col min="6657" max="6657" width="7.42578125" style="2" customWidth="1"/>
    <col min="6658" max="6658" width="8.28515625" style="2" customWidth="1"/>
    <col min="6659" max="6659" width="8" style="2" customWidth="1"/>
    <col min="6660" max="6660" width="8.140625" style="2" customWidth="1"/>
    <col min="6661" max="6661" width="9" style="2" customWidth="1"/>
    <col min="6662" max="6662" width="9.140625" style="2" customWidth="1"/>
    <col min="6663" max="6663" width="8.5703125" style="2" customWidth="1"/>
    <col min="6664" max="6664" width="11.42578125" style="2" customWidth="1"/>
    <col min="6665" max="6899" width="9.140625" style="2"/>
    <col min="6900" max="6900" width="6.7109375" style="2" customWidth="1"/>
    <col min="6901" max="6901" width="42.140625" style="2" customWidth="1"/>
    <col min="6902" max="6902" width="9.140625" style="2"/>
    <col min="6903" max="6903" width="17.42578125" style="2" customWidth="1"/>
    <col min="6904" max="6904" width="8.5703125" style="2" customWidth="1"/>
    <col min="6905" max="6905" width="0" style="2" hidden="1" customWidth="1"/>
    <col min="6906" max="6906" width="44.85546875" style="2" customWidth="1"/>
    <col min="6907" max="6908" width="9.140625" style="2"/>
    <col min="6909" max="6909" width="3.140625" style="2" customWidth="1"/>
    <col min="6910" max="6910" width="3.85546875" style="2" customWidth="1"/>
    <col min="6911" max="6911" width="8.5703125" style="2" customWidth="1"/>
    <col min="6912" max="6912" width="8.85546875" style="2" customWidth="1"/>
    <col min="6913" max="6913" width="7.42578125" style="2" customWidth="1"/>
    <col min="6914" max="6914" width="8.28515625" style="2" customWidth="1"/>
    <col min="6915" max="6915" width="8" style="2" customWidth="1"/>
    <col min="6916" max="6916" width="8.140625" style="2" customWidth="1"/>
    <col min="6917" max="6917" width="9" style="2" customWidth="1"/>
    <col min="6918" max="6918" width="9.140625" style="2" customWidth="1"/>
    <col min="6919" max="6919" width="8.5703125" style="2" customWidth="1"/>
    <col min="6920" max="6920" width="11.42578125" style="2" customWidth="1"/>
    <col min="6921" max="7155" width="9.140625" style="2"/>
    <col min="7156" max="7156" width="6.7109375" style="2" customWidth="1"/>
    <col min="7157" max="7157" width="42.140625" style="2" customWidth="1"/>
    <col min="7158" max="7158" width="9.140625" style="2"/>
    <col min="7159" max="7159" width="17.42578125" style="2" customWidth="1"/>
    <col min="7160" max="7160" width="8.5703125" style="2" customWidth="1"/>
    <col min="7161" max="7161" width="0" style="2" hidden="1" customWidth="1"/>
    <col min="7162" max="7162" width="44.85546875" style="2" customWidth="1"/>
    <col min="7163" max="7164" width="9.140625" style="2"/>
    <col min="7165" max="7165" width="3.140625" style="2" customWidth="1"/>
    <col min="7166" max="7166" width="3.85546875" style="2" customWidth="1"/>
    <col min="7167" max="7167" width="8.5703125" style="2" customWidth="1"/>
    <col min="7168" max="7168" width="8.85546875" style="2" customWidth="1"/>
    <col min="7169" max="7169" width="7.42578125" style="2" customWidth="1"/>
    <col min="7170" max="7170" width="8.28515625" style="2" customWidth="1"/>
    <col min="7171" max="7171" width="8" style="2" customWidth="1"/>
    <col min="7172" max="7172" width="8.140625" style="2" customWidth="1"/>
    <col min="7173" max="7173" width="9" style="2" customWidth="1"/>
    <col min="7174" max="7174" width="9.140625" style="2" customWidth="1"/>
    <col min="7175" max="7175" width="8.5703125" style="2" customWidth="1"/>
    <col min="7176" max="7176" width="11.42578125" style="2" customWidth="1"/>
    <col min="7177" max="7411" width="9.140625" style="2"/>
    <col min="7412" max="7412" width="6.7109375" style="2" customWidth="1"/>
    <col min="7413" max="7413" width="42.140625" style="2" customWidth="1"/>
    <col min="7414" max="7414" width="9.140625" style="2"/>
    <col min="7415" max="7415" width="17.42578125" style="2" customWidth="1"/>
    <col min="7416" max="7416" width="8.5703125" style="2" customWidth="1"/>
    <col min="7417" max="7417" width="0" style="2" hidden="1" customWidth="1"/>
    <col min="7418" max="7418" width="44.85546875" style="2" customWidth="1"/>
    <col min="7419" max="7420" width="9.140625" style="2"/>
    <col min="7421" max="7421" width="3.140625" style="2" customWidth="1"/>
    <col min="7422" max="7422" width="3.85546875" style="2" customWidth="1"/>
    <col min="7423" max="7423" width="8.5703125" style="2" customWidth="1"/>
    <col min="7424" max="7424" width="8.85546875" style="2" customWidth="1"/>
    <col min="7425" max="7425" width="7.42578125" style="2" customWidth="1"/>
    <col min="7426" max="7426" width="8.28515625" style="2" customWidth="1"/>
    <col min="7427" max="7427" width="8" style="2" customWidth="1"/>
    <col min="7428" max="7428" width="8.140625" style="2" customWidth="1"/>
    <col min="7429" max="7429" width="9" style="2" customWidth="1"/>
    <col min="7430" max="7430" width="9.140625" style="2" customWidth="1"/>
    <col min="7431" max="7431" width="8.5703125" style="2" customWidth="1"/>
    <col min="7432" max="7432" width="11.42578125" style="2" customWidth="1"/>
    <col min="7433" max="7667" width="9.140625" style="2"/>
    <col min="7668" max="7668" width="6.7109375" style="2" customWidth="1"/>
    <col min="7669" max="7669" width="42.140625" style="2" customWidth="1"/>
    <col min="7670" max="7670" width="9.140625" style="2"/>
    <col min="7671" max="7671" width="17.42578125" style="2" customWidth="1"/>
    <col min="7672" max="7672" width="8.5703125" style="2" customWidth="1"/>
    <col min="7673" max="7673" width="0" style="2" hidden="1" customWidth="1"/>
    <col min="7674" max="7674" width="44.85546875" style="2" customWidth="1"/>
    <col min="7675" max="7676" width="9.140625" style="2"/>
    <col min="7677" max="7677" width="3.140625" style="2" customWidth="1"/>
    <col min="7678" max="7678" width="3.85546875" style="2" customWidth="1"/>
    <col min="7679" max="7679" width="8.5703125" style="2" customWidth="1"/>
    <col min="7680" max="7680" width="8.85546875" style="2" customWidth="1"/>
    <col min="7681" max="7681" width="7.42578125" style="2" customWidth="1"/>
    <col min="7682" max="7682" width="8.28515625" style="2" customWidth="1"/>
    <col min="7683" max="7683" width="8" style="2" customWidth="1"/>
    <col min="7684" max="7684" width="8.140625" style="2" customWidth="1"/>
    <col min="7685" max="7685" width="9" style="2" customWidth="1"/>
    <col min="7686" max="7686" width="9.140625" style="2" customWidth="1"/>
    <col min="7687" max="7687" width="8.5703125" style="2" customWidth="1"/>
    <col min="7688" max="7688" width="11.42578125" style="2" customWidth="1"/>
    <col min="7689" max="7923" width="9.140625" style="2"/>
    <col min="7924" max="7924" width="6.7109375" style="2" customWidth="1"/>
    <col min="7925" max="7925" width="42.140625" style="2" customWidth="1"/>
    <col min="7926" max="7926" width="9.140625" style="2"/>
    <col min="7927" max="7927" width="17.42578125" style="2" customWidth="1"/>
    <col min="7928" max="7928" width="8.5703125" style="2" customWidth="1"/>
    <col min="7929" max="7929" width="0" style="2" hidden="1" customWidth="1"/>
    <col min="7930" max="7930" width="44.85546875" style="2" customWidth="1"/>
    <col min="7931" max="7932" width="9.140625" style="2"/>
    <col min="7933" max="7933" width="3.140625" style="2" customWidth="1"/>
    <col min="7934" max="7934" width="3.85546875" style="2" customWidth="1"/>
    <col min="7935" max="7935" width="8.5703125" style="2" customWidth="1"/>
    <col min="7936" max="7936" width="8.85546875" style="2" customWidth="1"/>
    <col min="7937" max="7937" width="7.42578125" style="2" customWidth="1"/>
    <col min="7938" max="7938" width="8.28515625" style="2" customWidth="1"/>
    <col min="7939" max="7939" width="8" style="2" customWidth="1"/>
    <col min="7940" max="7940" width="8.140625" style="2" customWidth="1"/>
    <col min="7941" max="7941" width="9" style="2" customWidth="1"/>
    <col min="7942" max="7942" width="9.140625" style="2" customWidth="1"/>
    <col min="7943" max="7943" width="8.5703125" style="2" customWidth="1"/>
    <col min="7944" max="7944" width="11.42578125" style="2" customWidth="1"/>
    <col min="7945" max="8179" width="9.140625" style="2"/>
    <col min="8180" max="8180" width="6.7109375" style="2" customWidth="1"/>
    <col min="8181" max="8181" width="42.140625" style="2" customWidth="1"/>
    <col min="8182" max="8182" width="9.140625" style="2"/>
    <col min="8183" max="8183" width="17.42578125" style="2" customWidth="1"/>
    <col min="8184" max="8184" width="8.5703125" style="2" customWidth="1"/>
    <col min="8185" max="8185" width="0" style="2" hidden="1" customWidth="1"/>
    <col min="8186" max="8186" width="44.85546875" style="2" customWidth="1"/>
    <col min="8187" max="8188" width="9.140625" style="2"/>
    <col min="8189" max="8189" width="3.140625" style="2" customWidth="1"/>
    <col min="8190" max="8190" width="3.85546875" style="2" customWidth="1"/>
    <col min="8191" max="8191" width="8.5703125" style="2" customWidth="1"/>
    <col min="8192" max="8192" width="8.85546875" style="2" customWidth="1"/>
    <col min="8193" max="8193" width="7.42578125" style="2" customWidth="1"/>
    <col min="8194" max="8194" width="8.28515625" style="2" customWidth="1"/>
    <col min="8195" max="8195" width="8" style="2" customWidth="1"/>
    <col min="8196" max="8196" width="8.140625" style="2" customWidth="1"/>
    <col min="8197" max="8197" width="9" style="2" customWidth="1"/>
    <col min="8198" max="8198" width="9.140625" style="2" customWidth="1"/>
    <col min="8199" max="8199" width="8.5703125" style="2" customWidth="1"/>
    <col min="8200" max="8200" width="11.42578125" style="2" customWidth="1"/>
    <col min="8201" max="8435" width="9.140625" style="2"/>
    <col min="8436" max="8436" width="6.7109375" style="2" customWidth="1"/>
    <col min="8437" max="8437" width="42.140625" style="2" customWidth="1"/>
    <col min="8438" max="8438" width="9.140625" style="2"/>
    <col min="8439" max="8439" width="17.42578125" style="2" customWidth="1"/>
    <col min="8440" max="8440" width="8.5703125" style="2" customWidth="1"/>
    <col min="8441" max="8441" width="0" style="2" hidden="1" customWidth="1"/>
    <col min="8442" max="8442" width="44.85546875" style="2" customWidth="1"/>
    <col min="8443" max="8444" width="9.140625" style="2"/>
    <col min="8445" max="8445" width="3.140625" style="2" customWidth="1"/>
    <col min="8446" max="8446" width="3.85546875" style="2" customWidth="1"/>
    <col min="8447" max="8447" width="8.5703125" style="2" customWidth="1"/>
    <col min="8448" max="8448" width="8.85546875" style="2" customWidth="1"/>
    <col min="8449" max="8449" width="7.42578125" style="2" customWidth="1"/>
    <col min="8450" max="8450" width="8.28515625" style="2" customWidth="1"/>
    <col min="8451" max="8451" width="8" style="2" customWidth="1"/>
    <col min="8452" max="8452" width="8.140625" style="2" customWidth="1"/>
    <col min="8453" max="8453" width="9" style="2" customWidth="1"/>
    <col min="8454" max="8454" width="9.140625" style="2" customWidth="1"/>
    <col min="8455" max="8455" width="8.5703125" style="2" customWidth="1"/>
    <col min="8456" max="8456" width="11.42578125" style="2" customWidth="1"/>
    <col min="8457" max="8691" width="9.140625" style="2"/>
    <col min="8692" max="8692" width="6.7109375" style="2" customWidth="1"/>
    <col min="8693" max="8693" width="42.140625" style="2" customWidth="1"/>
    <col min="8694" max="8694" width="9.140625" style="2"/>
    <col min="8695" max="8695" width="17.42578125" style="2" customWidth="1"/>
    <col min="8696" max="8696" width="8.5703125" style="2" customWidth="1"/>
    <col min="8697" max="8697" width="0" style="2" hidden="1" customWidth="1"/>
    <col min="8698" max="8698" width="44.85546875" style="2" customWidth="1"/>
    <col min="8699" max="8700" width="9.140625" style="2"/>
    <col min="8701" max="8701" width="3.140625" style="2" customWidth="1"/>
    <col min="8702" max="8702" width="3.85546875" style="2" customWidth="1"/>
    <col min="8703" max="8703" width="8.5703125" style="2" customWidth="1"/>
    <col min="8704" max="8704" width="8.85546875" style="2" customWidth="1"/>
    <col min="8705" max="8705" width="7.42578125" style="2" customWidth="1"/>
    <col min="8706" max="8706" width="8.28515625" style="2" customWidth="1"/>
    <col min="8707" max="8707" width="8" style="2" customWidth="1"/>
    <col min="8708" max="8708" width="8.140625" style="2" customWidth="1"/>
    <col min="8709" max="8709" width="9" style="2" customWidth="1"/>
    <col min="8710" max="8710" width="9.140625" style="2" customWidth="1"/>
    <col min="8711" max="8711" width="8.5703125" style="2" customWidth="1"/>
    <col min="8712" max="8712" width="11.42578125" style="2" customWidth="1"/>
    <col min="8713" max="8947" width="9.140625" style="2"/>
    <col min="8948" max="8948" width="6.7109375" style="2" customWidth="1"/>
    <col min="8949" max="8949" width="42.140625" style="2" customWidth="1"/>
    <col min="8950" max="8950" width="9.140625" style="2"/>
    <col min="8951" max="8951" width="17.42578125" style="2" customWidth="1"/>
    <col min="8952" max="8952" width="8.5703125" style="2" customWidth="1"/>
    <col min="8953" max="8953" width="0" style="2" hidden="1" customWidth="1"/>
    <col min="8954" max="8954" width="44.85546875" style="2" customWidth="1"/>
    <col min="8955" max="8956" width="9.140625" style="2"/>
    <col min="8957" max="8957" width="3.140625" style="2" customWidth="1"/>
    <col min="8958" max="8958" width="3.85546875" style="2" customWidth="1"/>
    <col min="8959" max="8959" width="8.5703125" style="2" customWidth="1"/>
    <col min="8960" max="8960" width="8.85546875" style="2" customWidth="1"/>
    <col min="8961" max="8961" width="7.42578125" style="2" customWidth="1"/>
    <col min="8962" max="8962" width="8.28515625" style="2" customWidth="1"/>
    <col min="8963" max="8963" width="8" style="2" customWidth="1"/>
    <col min="8964" max="8964" width="8.140625" style="2" customWidth="1"/>
    <col min="8965" max="8965" width="9" style="2" customWidth="1"/>
    <col min="8966" max="8966" width="9.140625" style="2" customWidth="1"/>
    <col min="8967" max="8967" width="8.5703125" style="2" customWidth="1"/>
    <col min="8968" max="8968" width="11.42578125" style="2" customWidth="1"/>
    <col min="8969" max="9203" width="9.140625" style="2"/>
    <col min="9204" max="9204" width="6.7109375" style="2" customWidth="1"/>
    <col min="9205" max="9205" width="42.140625" style="2" customWidth="1"/>
    <col min="9206" max="9206" width="9.140625" style="2"/>
    <col min="9207" max="9207" width="17.42578125" style="2" customWidth="1"/>
    <col min="9208" max="9208" width="8.5703125" style="2" customWidth="1"/>
    <col min="9209" max="9209" width="0" style="2" hidden="1" customWidth="1"/>
    <col min="9210" max="9210" width="44.85546875" style="2" customWidth="1"/>
    <col min="9211" max="9212" width="9.140625" style="2"/>
    <col min="9213" max="9213" width="3.140625" style="2" customWidth="1"/>
    <col min="9214" max="9214" width="3.85546875" style="2" customWidth="1"/>
    <col min="9215" max="9215" width="8.5703125" style="2" customWidth="1"/>
    <col min="9216" max="9216" width="8.85546875" style="2" customWidth="1"/>
    <col min="9217" max="9217" width="7.42578125" style="2" customWidth="1"/>
    <col min="9218" max="9218" width="8.28515625" style="2" customWidth="1"/>
    <col min="9219" max="9219" width="8" style="2" customWidth="1"/>
    <col min="9220" max="9220" width="8.140625" style="2" customWidth="1"/>
    <col min="9221" max="9221" width="9" style="2" customWidth="1"/>
    <col min="9222" max="9222" width="9.140625" style="2" customWidth="1"/>
    <col min="9223" max="9223" width="8.5703125" style="2" customWidth="1"/>
    <col min="9224" max="9224" width="11.42578125" style="2" customWidth="1"/>
    <col min="9225" max="9459" width="9.140625" style="2"/>
    <col min="9460" max="9460" width="6.7109375" style="2" customWidth="1"/>
    <col min="9461" max="9461" width="42.140625" style="2" customWidth="1"/>
    <col min="9462" max="9462" width="9.140625" style="2"/>
    <col min="9463" max="9463" width="17.42578125" style="2" customWidth="1"/>
    <col min="9464" max="9464" width="8.5703125" style="2" customWidth="1"/>
    <col min="9465" max="9465" width="0" style="2" hidden="1" customWidth="1"/>
    <col min="9466" max="9466" width="44.85546875" style="2" customWidth="1"/>
    <col min="9467" max="9468" width="9.140625" style="2"/>
    <col min="9469" max="9469" width="3.140625" style="2" customWidth="1"/>
    <col min="9470" max="9470" width="3.85546875" style="2" customWidth="1"/>
    <col min="9471" max="9471" width="8.5703125" style="2" customWidth="1"/>
    <col min="9472" max="9472" width="8.85546875" style="2" customWidth="1"/>
    <col min="9473" max="9473" width="7.42578125" style="2" customWidth="1"/>
    <col min="9474" max="9474" width="8.28515625" style="2" customWidth="1"/>
    <col min="9475" max="9475" width="8" style="2" customWidth="1"/>
    <col min="9476" max="9476" width="8.140625" style="2" customWidth="1"/>
    <col min="9477" max="9477" width="9" style="2" customWidth="1"/>
    <col min="9478" max="9478" width="9.140625" style="2" customWidth="1"/>
    <col min="9479" max="9479" width="8.5703125" style="2" customWidth="1"/>
    <col min="9480" max="9480" width="11.42578125" style="2" customWidth="1"/>
    <col min="9481" max="9715" width="9.140625" style="2"/>
    <col min="9716" max="9716" width="6.7109375" style="2" customWidth="1"/>
    <col min="9717" max="9717" width="42.140625" style="2" customWidth="1"/>
    <col min="9718" max="9718" width="9.140625" style="2"/>
    <col min="9719" max="9719" width="17.42578125" style="2" customWidth="1"/>
    <col min="9720" max="9720" width="8.5703125" style="2" customWidth="1"/>
    <col min="9721" max="9721" width="0" style="2" hidden="1" customWidth="1"/>
    <col min="9722" max="9722" width="44.85546875" style="2" customWidth="1"/>
    <col min="9723" max="9724" width="9.140625" style="2"/>
    <col min="9725" max="9725" width="3.140625" style="2" customWidth="1"/>
    <col min="9726" max="9726" width="3.85546875" style="2" customWidth="1"/>
    <col min="9727" max="9727" width="8.5703125" style="2" customWidth="1"/>
    <col min="9728" max="9728" width="8.85546875" style="2" customWidth="1"/>
    <col min="9729" max="9729" width="7.42578125" style="2" customWidth="1"/>
    <col min="9730" max="9730" width="8.28515625" style="2" customWidth="1"/>
    <col min="9731" max="9731" width="8" style="2" customWidth="1"/>
    <col min="9732" max="9732" width="8.140625" style="2" customWidth="1"/>
    <col min="9733" max="9733" width="9" style="2" customWidth="1"/>
    <col min="9734" max="9734" width="9.140625" style="2" customWidth="1"/>
    <col min="9735" max="9735" width="8.5703125" style="2" customWidth="1"/>
    <col min="9736" max="9736" width="11.42578125" style="2" customWidth="1"/>
    <col min="9737" max="9971" width="9.140625" style="2"/>
    <col min="9972" max="9972" width="6.7109375" style="2" customWidth="1"/>
    <col min="9973" max="9973" width="42.140625" style="2" customWidth="1"/>
    <col min="9974" max="9974" width="9.140625" style="2"/>
    <col min="9975" max="9975" width="17.42578125" style="2" customWidth="1"/>
    <col min="9976" max="9976" width="8.5703125" style="2" customWidth="1"/>
    <col min="9977" max="9977" width="0" style="2" hidden="1" customWidth="1"/>
    <col min="9978" max="9978" width="44.85546875" style="2" customWidth="1"/>
    <col min="9979" max="9980" width="9.140625" style="2"/>
    <col min="9981" max="9981" width="3.140625" style="2" customWidth="1"/>
    <col min="9982" max="9982" width="3.85546875" style="2" customWidth="1"/>
    <col min="9983" max="9983" width="8.5703125" style="2" customWidth="1"/>
    <col min="9984" max="9984" width="8.85546875" style="2" customWidth="1"/>
    <col min="9985" max="9985" width="7.42578125" style="2" customWidth="1"/>
    <col min="9986" max="9986" width="8.28515625" style="2" customWidth="1"/>
    <col min="9987" max="9987" width="8" style="2" customWidth="1"/>
    <col min="9988" max="9988" width="8.140625" style="2" customWidth="1"/>
    <col min="9989" max="9989" width="9" style="2" customWidth="1"/>
    <col min="9990" max="9990" width="9.140625" style="2" customWidth="1"/>
    <col min="9991" max="9991" width="8.5703125" style="2" customWidth="1"/>
    <col min="9992" max="9992" width="11.42578125" style="2" customWidth="1"/>
    <col min="9993" max="10227" width="9.140625" style="2"/>
    <col min="10228" max="10228" width="6.7109375" style="2" customWidth="1"/>
    <col min="10229" max="10229" width="42.140625" style="2" customWidth="1"/>
    <col min="10230" max="10230" width="9.140625" style="2"/>
    <col min="10231" max="10231" width="17.42578125" style="2" customWidth="1"/>
    <col min="10232" max="10232" width="8.5703125" style="2" customWidth="1"/>
    <col min="10233" max="10233" width="0" style="2" hidden="1" customWidth="1"/>
    <col min="10234" max="10234" width="44.85546875" style="2" customWidth="1"/>
    <col min="10235" max="10236" width="9.140625" style="2"/>
    <col min="10237" max="10237" width="3.140625" style="2" customWidth="1"/>
    <col min="10238" max="10238" width="3.85546875" style="2" customWidth="1"/>
    <col min="10239" max="10239" width="8.5703125" style="2" customWidth="1"/>
    <col min="10240" max="10240" width="8.85546875" style="2" customWidth="1"/>
    <col min="10241" max="10241" width="7.42578125" style="2" customWidth="1"/>
    <col min="10242" max="10242" width="8.28515625" style="2" customWidth="1"/>
    <col min="10243" max="10243" width="8" style="2" customWidth="1"/>
    <col min="10244" max="10244" width="8.140625" style="2" customWidth="1"/>
    <col min="10245" max="10245" width="9" style="2" customWidth="1"/>
    <col min="10246" max="10246" width="9.140625" style="2" customWidth="1"/>
    <col min="10247" max="10247" width="8.5703125" style="2" customWidth="1"/>
    <col min="10248" max="10248" width="11.42578125" style="2" customWidth="1"/>
    <col min="10249" max="10483" width="9.140625" style="2"/>
    <col min="10484" max="10484" width="6.7109375" style="2" customWidth="1"/>
    <col min="10485" max="10485" width="42.140625" style="2" customWidth="1"/>
    <col min="10486" max="10486" width="9.140625" style="2"/>
    <col min="10487" max="10487" width="17.42578125" style="2" customWidth="1"/>
    <col min="10488" max="10488" width="8.5703125" style="2" customWidth="1"/>
    <col min="10489" max="10489" width="0" style="2" hidden="1" customWidth="1"/>
    <col min="10490" max="10490" width="44.85546875" style="2" customWidth="1"/>
    <col min="10491" max="10492" width="9.140625" style="2"/>
    <col min="10493" max="10493" width="3.140625" style="2" customWidth="1"/>
    <col min="10494" max="10494" width="3.85546875" style="2" customWidth="1"/>
    <col min="10495" max="10495" width="8.5703125" style="2" customWidth="1"/>
    <col min="10496" max="10496" width="8.85546875" style="2" customWidth="1"/>
    <col min="10497" max="10497" width="7.42578125" style="2" customWidth="1"/>
    <col min="10498" max="10498" width="8.28515625" style="2" customWidth="1"/>
    <col min="10499" max="10499" width="8" style="2" customWidth="1"/>
    <col min="10500" max="10500" width="8.140625" style="2" customWidth="1"/>
    <col min="10501" max="10501" width="9" style="2" customWidth="1"/>
    <col min="10502" max="10502" width="9.140625" style="2" customWidth="1"/>
    <col min="10503" max="10503" width="8.5703125" style="2" customWidth="1"/>
    <col min="10504" max="10504" width="11.42578125" style="2" customWidth="1"/>
    <col min="10505" max="10739" width="9.140625" style="2"/>
    <col min="10740" max="10740" width="6.7109375" style="2" customWidth="1"/>
    <col min="10741" max="10741" width="42.140625" style="2" customWidth="1"/>
    <col min="10742" max="10742" width="9.140625" style="2"/>
    <col min="10743" max="10743" width="17.42578125" style="2" customWidth="1"/>
    <col min="10744" max="10744" width="8.5703125" style="2" customWidth="1"/>
    <col min="10745" max="10745" width="0" style="2" hidden="1" customWidth="1"/>
    <col min="10746" max="10746" width="44.85546875" style="2" customWidth="1"/>
    <col min="10747" max="10748" width="9.140625" style="2"/>
    <col min="10749" max="10749" width="3.140625" style="2" customWidth="1"/>
    <col min="10750" max="10750" width="3.85546875" style="2" customWidth="1"/>
    <col min="10751" max="10751" width="8.5703125" style="2" customWidth="1"/>
    <col min="10752" max="10752" width="8.85546875" style="2" customWidth="1"/>
    <col min="10753" max="10753" width="7.42578125" style="2" customWidth="1"/>
    <col min="10754" max="10754" width="8.28515625" style="2" customWidth="1"/>
    <col min="10755" max="10755" width="8" style="2" customWidth="1"/>
    <col min="10756" max="10756" width="8.140625" style="2" customWidth="1"/>
    <col min="10757" max="10757" width="9" style="2" customWidth="1"/>
    <col min="10758" max="10758" width="9.140625" style="2" customWidth="1"/>
    <col min="10759" max="10759" width="8.5703125" style="2" customWidth="1"/>
    <col min="10760" max="10760" width="11.42578125" style="2" customWidth="1"/>
    <col min="10761" max="10995" width="9.140625" style="2"/>
    <col min="10996" max="10996" width="6.7109375" style="2" customWidth="1"/>
    <col min="10997" max="10997" width="42.140625" style="2" customWidth="1"/>
    <col min="10998" max="10998" width="9.140625" style="2"/>
    <col min="10999" max="10999" width="17.42578125" style="2" customWidth="1"/>
    <col min="11000" max="11000" width="8.5703125" style="2" customWidth="1"/>
    <col min="11001" max="11001" width="0" style="2" hidden="1" customWidth="1"/>
    <col min="11002" max="11002" width="44.85546875" style="2" customWidth="1"/>
    <col min="11003" max="11004" width="9.140625" style="2"/>
    <col min="11005" max="11005" width="3.140625" style="2" customWidth="1"/>
    <col min="11006" max="11006" width="3.85546875" style="2" customWidth="1"/>
    <col min="11007" max="11007" width="8.5703125" style="2" customWidth="1"/>
    <col min="11008" max="11008" width="8.85546875" style="2" customWidth="1"/>
    <col min="11009" max="11009" width="7.42578125" style="2" customWidth="1"/>
    <col min="11010" max="11010" width="8.28515625" style="2" customWidth="1"/>
    <col min="11011" max="11011" width="8" style="2" customWidth="1"/>
    <col min="11012" max="11012" width="8.140625" style="2" customWidth="1"/>
    <col min="11013" max="11013" width="9" style="2" customWidth="1"/>
    <col min="11014" max="11014" width="9.140625" style="2" customWidth="1"/>
    <col min="11015" max="11015" width="8.5703125" style="2" customWidth="1"/>
    <col min="11016" max="11016" width="11.42578125" style="2" customWidth="1"/>
    <col min="11017" max="11251" width="9.140625" style="2"/>
    <col min="11252" max="11252" width="6.7109375" style="2" customWidth="1"/>
    <col min="11253" max="11253" width="42.140625" style="2" customWidth="1"/>
    <col min="11254" max="11254" width="9.140625" style="2"/>
    <col min="11255" max="11255" width="17.42578125" style="2" customWidth="1"/>
    <col min="11256" max="11256" width="8.5703125" style="2" customWidth="1"/>
    <col min="11257" max="11257" width="0" style="2" hidden="1" customWidth="1"/>
    <col min="11258" max="11258" width="44.85546875" style="2" customWidth="1"/>
    <col min="11259" max="11260" width="9.140625" style="2"/>
    <col min="11261" max="11261" width="3.140625" style="2" customWidth="1"/>
    <col min="11262" max="11262" width="3.85546875" style="2" customWidth="1"/>
    <col min="11263" max="11263" width="8.5703125" style="2" customWidth="1"/>
    <col min="11264" max="11264" width="8.85546875" style="2" customWidth="1"/>
    <col min="11265" max="11265" width="7.42578125" style="2" customWidth="1"/>
    <col min="11266" max="11266" width="8.28515625" style="2" customWidth="1"/>
    <col min="11267" max="11267" width="8" style="2" customWidth="1"/>
    <col min="11268" max="11268" width="8.140625" style="2" customWidth="1"/>
    <col min="11269" max="11269" width="9" style="2" customWidth="1"/>
    <col min="11270" max="11270" width="9.140625" style="2" customWidth="1"/>
    <col min="11271" max="11271" width="8.5703125" style="2" customWidth="1"/>
    <col min="11272" max="11272" width="11.42578125" style="2" customWidth="1"/>
    <col min="11273" max="11507" width="9.140625" style="2"/>
    <col min="11508" max="11508" width="6.7109375" style="2" customWidth="1"/>
    <col min="11509" max="11509" width="42.140625" style="2" customWidth="1"/>
    <col min="11510" max="11510" width="9.140625" style="2"/>
    <col min="11511" max="11511" width="17.42578125" style="2" customWidth="1"/>
    <col min="11512" max="11512" width="8.5703125" style="2" customWidth="1"/>
    <col min="11513" max="11513" width="0" style="2" hidden="1" customWidth="1"/>
    <col min="11514" max="11514" width="44.85546875" style="2" customWidth="1"/>
    <col min="11515" max="11516" width="9.140625" style="2"/>
    <col min="11517" max="11517" width="3.140625" style="2" customWidth="1"/>
    <col min="11518" max="11518" width="3.85546875" style="2" customWidth="1"/>
    <col min="11519" max="11519" width="8.5703125" style="2" customWidth="1"/>
    <col min="11520" max="11520" width="8.85546875" style="2" customWidth="1"/>
    <col min="11521" max="11521" width="7.42578125" style="2" customWidth="1"/>
    <col min="11522" max="11522" width="8.28515625" style="2" customWidth="1"/>
    <col min="11523" max="11523" width="8" style="2" customWidth="1"/>
    <col min="11524" max="11524" width="8.140625" style="2" customWidth="1"/>
    <col min="11525" max="11525" width="9" style="2" customWidth="1"/>
    <col min="11526" max="11526" width="9.140625" style="2" customWidth="1"/>
    <col min="11527" max="11527" width="8.5703125" style="2" customWidth="1"/>
    <col min="11528" max="11528" width="11.42578125" style="2" customWidth="1"/>
    <col min="11529" max="11763" width="9.140625" style="2"/>
    <col min="11764" max="11764" width="6.7109375" style="2" customWidth="1"/>
    <col min="11765" max="11765" width="42.140625" style="2" customWidth="1"/>
    <col min="11766" max="11766" width="9.140625" style="2"/>
    <col min="11767" max="11767" width="17.42578125" style="2" customWidth="1"/>
    <col min="11768" max="11768" width="8.5703125" style="2" customWidth="1"/>
    <col min="11769" max="11769" width="0" style="2" hidden="1" customWidth="1"/>
    <col min="11770" max="11770" width="44.85546875" style="2" customWidth="1"/>
    <col min="11771" max="11772" width="9.140625" style="2"/>
    <col min="11773" max="11773" width="3.140625" style="2" customWidth="1"/>
    <col min="11774" max="11774" width="3.85546875" style="2" customWidth="1"/>
    <col min="11775" max="11775" width="8.5703125" style="2" customWidth="1"/>
    <col min="11776" max="11776" width="8.85546875" style="2" customWidth="1"/>
    <col min="11777" max="11777" width="7.42578125" style="2" customWidth="1"/>
    <col min="11778" max="11778" width="8.28515625" style="2" customWidth="1"/>
    <col min="11779" max="11779" width="8" style="2" customWidth="1"/>
    <col min="11780" max="11780" width="8.140625" style="2" customWidth="1"/>
    <col min="11781" max="11781" width="9" style="2" customWidth="1"/>
    <col min="11782" max="11782" width="9.140625" style="2" customWidth="1"/>
    <col min="11783" max="11783" width="8.5703125" style="2" customWidth="1"/>
    <col min="11784" max="11784" width="11.42578125" style="2" customWidth="1"/>
    <col min="11785" max="12019" width="9.140625" style="2"/>
    <col min="12020" max="12020" width="6.7109375" style="2" customWidth="1"/>
    <col min="12021" max="12021" width="42.140625" style="2" customWidth="1"/>
    <col min="12022" max="12022" width="9.140625" style="2"/>
    <col min="12023" max="12023" width="17.42578125" style="2" customWidth="1"/>
    <col min="12024" max="12024" width="8.5703125" style="2" customWidth="1"/>
    <col min="12025" max="12025" width="0" style="2" hidden="1" customWidth="1"/>
    <col min="12026" max="12026" width="44.85546875" style="2" customWidth="1"/>
    <col min="12027" max="12028" width="9.140625" style="2"/>
    <col min="12029" max="12029" width="3.140625" style="2" customWidth="1"/>
    <col min="12030" max="12030" width="3.85546875" style="2" customWidth="1"/>
    <col min="12031" max="12031" width="8.5703125" style="2" customWidth="1"/>
    <col min="12032" max="12032" width="8.85546875" style="2" customWidth="1"/>
    <col min="12033" max="12033" width="7.42578125" style="2" customWidth="1"/>
    <col min="12034" max="12034" width="8.28515625" style="2" customWidth="1"/>
    <col min="12035" max="12035" width="8" style="2" customWidth="1"/>
    <col min="12036" max="12036" width="8.140625" style="2" customWidth="1"/>
    <col min="12037" max="12037" width="9" style="2" customWidth="1"/>
    <col min="12038" max="12038" width="9.140625" style="2" customWidth="1"/>
    <col min="12039" max="12039" width="8.5703125" style="2" customWidth="1"/>
    <col min="12040" max="12040" width="11.42578125" style="2" customWidth="1"/>
    <col min="12041" max="12275" width="9.140625" style="2"/>
    <col min="12276" max="12276" width="6.7109375" style="2" customWidth="1"/>
    <col min="12277" max="12277" width="42.140625" style="2" customWidth="1"/>
    <col min="12278" max="12278" width="9.140625" style="2"/>
    <col min="12279" max="12279" width="17.42578125" style="2" customWidth="1"/>
    <col min="12280" max="12280" width="8.5703125" style="2" customWidth="1"/>
    <col min="12281" max="12281" width="0" style="2" hidden="1" customWidth="1"/>
    <col min="12282" max="12282" width="44.85546875" style="2" customWidth="1"/>
    <col min="12283" max="12284" width="9.140625" style="2"/>
    <col min="12285" max="12285" width="3.140625" style="2" customWidth="1"/>
    <col min="12286" max="12286" width="3.85546875" style="2" customWidth="1"/>
    <col min="12287" max="12287" width="8.5703125" style="2" customWidth="1"/>
    <col min="12288" max="12288" width="8.85546875" style="2" customWidth="1"/>
    <col min="12289" max="12289" width="7.42578125" style="2" customWidth="1"/>
    <col min="12290" max="12290" width="8.28515625" style="2" customWidth="1"/>
    <col min="12291" max="12291" width="8" style="2" customWidth="1"/>
    <col min="12292" max="12292" width="8.140625" style="2" customWidth="1"/>
    <col min="12293" max="12293" width="9" style="2" customWidth="1"/>
    <col min="12294" max="12294" width="9.140625" style="2" customWidth="1"/>
    <col min="12295" max="12295" width="8.5703125" style="2" customWidth="1"/>
    <col min="12296" max="12296" width="11.42578125" style="2" customWidth="1"/>
    <col min="12297" max="12531" width="9.140625" style="2"/>
    <col min="12532" max="12532" width="6.7109375" style="2" customWidth="1"/>
    <col min="12533" max="12533" width="42.140625" style="2" customWidth="1"/>
    <col min="12534" max="12534" width="9.140625" style="2"/>
    <col min="12535" max="12535" width="17.42578125" style="2" customWidth="1"/>
    <col min="12536" max="12536" width="8.5703125" style="2" customWidth="1"/>
    <col min="12537" max="12537" width="0" style="2" hidden="1" customWidth="1"/>
    <col min="12538" max="12538" width="44.85546875" style="2" customWidth="1"/>
    <col min="12539" max="12540" width="9.140625" style="2"/>
    <col min="12541" max="12541" width="3.140625" style="2" customWidth="1"/>
    <col min="12542" max="12542" width="3.85546875" style="2" customWidth="1"/>
    <col min="12543" max="12543" width="8.5703125" style="2" customWidth="1"/>
    <col min="12544" max="12544" width="8.85546875" style="2" customWidth="1"/>
    <col min="12545" max="12545" width="7.42578125" style="2" customWidth="1"/>
    <col min="12546" max="12546" width="8.28515625" style="2" customWidth="1"/>
    <col min="12547" max="12547" width="8" style="2" customWidth="1"/>
    <col min="12548" max="12548" width="8.140625" style="2" customWidth="1"/>
    <col min="12549" max="12549" width="9" style="2" customWidth="1"/>
    <col min="12550" max="12550" width="9.140625" style="2" customWidth="1"/>
    <col min="12551" max="12551" width="8.5703125" style="2" customWidth="1"/>
    <col min="12552" max="12552" width="11.42578125" style="2" customWidth="1"/>
    <col min="12553" max="12787" width="9.140625" style="2"/>
    <col min="12788" max="12788" width="6.7109375" style="2" customWidth="1"/>
    <col min="12789" max="12789" width="42.140625" style="2" customWidth="1"/>
    <col min="12790" max="12790" width="9.140625" style="2"/>
    <col min="12791" max="12791" width="17.42578125" style="2" customWidth="1"/>
    <col min="12792" max="12792" width="8.5703125" style="2" customWidth="1"/>
    <col min="12793" max="12793" width="0" style="2" hidden="1" customWidth="1"/>
    <col min="12794" max="12794" width="44.85546875" style="2" customWidth="1"/>
    <col min="12795" max="12796" width="9.140625" style="2"/>
    <col min="12797" max="12797" width="3.140625" style="2" customWidth="1"/>
    <col min="12798" max="12798" width="3.85546875" style="2" customWidth="1"/>
    <col min="12799" max="12799" width="8.5703125" style="2" customWidth="1"/>
    <col min="12800" max="12800" width="8.85546875" style="2" customWidth="1"/>
    <col min="12801" max="12801" width="7.42578125" style="2" customWidth="1"/>
    <col min="12802" max="12802" width="8.28515625" style="2" customWidth="1"/>
    <col min="12803" max="12803" width="8" style="2" customWidth="1"/>
    <col min="12804" max="12804" width="8.140625" style="2" customWidth="1"/>
    <col min="12805" max="12805" width="9" style="2" customWidth="1"/>
    <col min="12806" max="12806" width="9.140625" style="2" customWidth="1"/>
    <col min="12807" max="12807" width="8.5703125" style="2" customWidth="1"/>
    <col min="12808" max="12808" width="11.42578125" style="2" customWidth="1"/>
    <col min="12809" max="13043" width="9.140625" style="2"/>
    <col min="13044" max="13044" width="6.7109375" style="2" customWidth="1"/>
    <col min="13045" max="13045" width="42.140625" style="2" customWidth="1"/>
    <col min="13046" max="13046" width="9.140625" style="2"/>
    <col min="13047" max="13047" width="17.42578125" style="2" customWidth="1"/>
    <col min="13048" max="13048" width="8.5703125" style="2" customWidth="1"/>
    <col min="13049" max="13049" width="0" style="2" hidden="1" customWidth="1"/>
    <col min="13050" max="13050" width="44.85546875" style="2" customWidth="1"/>
    <col min="13051" max="13052" width="9.140625" style="2"/>
    <col min="13053" max="13053" width="3.140625" style="2" customWidth="1"/>
    <col min="13054" max="13054" width="3.85546875" style="2" customWidth="1"/>
    <col min="13055" max="13055" width="8.5703125" style="2" customWidth="1"/>
    <col min="13056" max="13056" width="8.85546875" style="2" customWidth="1"/>
    <col min="13057" max="13057" width="7.42578125" style="2" customWidth="1"/>
    <col min="13058" max="13058" width="8.28515625" style="2" customWidth="1"/>
    <col min="13059" max="13059" width="8" style="2" customWidth="1"/>
    <col min="13060" max="13060" width="8.140625" style="2" customWidth="1"/>
    <col min="13061" max="13061" width="9" style="2" customWidth="1"/>
    <col min="13062" max="13062" width="9.140625" style="2" customWidth="1"/>
    <col min="13063" max="13063" width="8.5703125" style="2" customWidth="1"/>
    <col min="13064" max="13064" width="11.42578125" style="2" customWidth="1"/>
    <col min="13065" max="13299" width="9.140625" style="2"/>
    <col min="13300" max="13300" width="6.7109375" style="2" customWidth="1"/>
    <col min="13301" max="13301" width="42.140625" style="2" customWidth="1"/>
    <col min="13302" max="13302" width="9.140625" style="2"/>
    <col min="13303" max="13303" width="17.42578125" style="2" customWidth="1"/>
    <col min="13304" max="13304" width="8.5703125" style="2" customWidth="1"/>
    <col min="13305" max="13305" width="0" style="2" hidden="1" customWidth="1"/>
    <col min="13306" max="13306" width="44.85546875" style="2" customWidth="1"/>
    <col min="13307" max="13308" width="9.140625" style="2"/>
    <col min="13309" max="13309" width="3.140625" style="2" customWidth="1"/>
    <col min="13310" max="13310" width="3.85546875" style="2" customWidth="1"/>
    <col min="13311" max="13311" width="8.5703125" style="2" customWidth="1"/>
    <col min="13312" max="13312" width="8.85546875" style="2" customWidth="1"/>
    <col min="13313" max="13313" width="7.42578125" style="2" customWidth="1"/>
    <col min="13314" max="13314" width="8.28515625" style="2" customWidth="1"/>
    <col min="13315" max="13315" width="8" style="2" customWidth="1"/>
    <col min="13316" max="13316" width="8.140625" style="2" customWidth="1"/>
    <col min="13317" max="13317" width="9" style="2" customWidth="1"/>
    <col min="13318" max="13318" width="9.140625" style="2" customWidth="1"/>
    <col min="13319" max="13319" width="8.5703125" style="2" customWidth="1"/>
    <col min="13320" max="13320" width="11.42578125" style="2" customWidth="1"/>
    <col min="13321" max="13555" width="9.140625" style="2"/>
    <col min="13556" max="13556" width="6.7109375" style="2" customWidth="1"/>
    <col min="13557" max="13557" width="42.140625" style="2" customWidth="1"/>
    <col min="13558" max="13558" width="9.140625" style="2"/>
    <col min="13559" max="13559" width="17.42578125" style="2" customWidth="1"/>
    <col min="13560" max="13560" width="8.5703125" style="2" customWidth="1"/>
    <col min="13561" max="13561" width="0" style="2" hidden="1" customWidth="1"/>
    <col min="13562" max="13562" width="44.85546875" style="2" customWidth="1"/>
    <col min="13563" max="13564" width="9.140625" style="2"/>
    <col min="13565" max="13565" width="3.140625" style="2" customWidth="1"/>
    <col min="13566" max="13566" width="3.85546875" style="2" customWidth="1"/>
    <col min="13567" max="13567" width="8.5703125" style="2" customWidth="1"/>
    <col min="13568" max="13568" width="8.85546875" style="2" customWidth="1"/>
    <col min="13569" max="13569" width="7.42578125" style="2" customWidth="1"/>
    <col min="13570" max="13570" width="8.28515625" style="2" customWidth="1"/>
    <col min="13571" max="13571" width="8" style="2" customWidth="1"/>
    <col min="13572" max="13572" width="8.140625" style="2" customWidth="1"/>
    <col min="13573" max="13573" width="9" style="2" customWidth="1"/>
    <col min="13574" max="13574" width="9.140625" style="2" customWidth="1"/>
    <col min="13575" max="13575" width="8.5703125" style="2" customWidth="1"/>
    <col min="13576" max="13576" width="11.42578125" style="2" customWidth="1"/>
    <col min="13577" max="13811" width="9.140625" style="2"/>
    <col min="13812" max="13812" width="6.7109375" style="2" customWidth="1"/>
    <col min="13813" max="13813" width="42.140625" style="2" customWidth="1"/>
    <col min="13814" max="13814" width="9.140625" style="2"/>
    <col min="13815" max="13815" width="17.42578125" style="2" customWidth="1"/>
    <col min="13816" max="13816" width="8.5703125" style="2" customWidth="1"/>
    <col min="13817" max="13817" width="0" style="2" hidden="1" customWidth="1"/>
    <col min="13818" max="13818" width="44.85546875" style="2" customWidth="1"/>
    <col min="13819" max="13820" width="9.140625" style="2"/>
    <col min="13821" max="13821" width="3.140625" style="2" customWidth="1"/>
    <col min="13822" max="13822" width="3.85546875" style="2" customWidth="1"/>
    <col min="13823" max="13823" width="8.5703125" style="2" customWidth="1"/>
    <col min="13824" max="13824" width="8.85546875" style="2" customWidth="1"/>
    <col min="13825" max="13825" width="7.42578125" style="2" customWidth="1"/>
    <col min="13826" max="13826" width="8.28515625" style="2" customWidth="1"/>
    <col min="13827" max="13827" width="8" style="2" customWidth="1"/>
    <col min="13828" max="13828" width="8.140625" style="2" customWidth="1"/>
    <col min="13829" max="13829" width="9" style="2" customWidth="1"/>
    <col min="13830" max="13830" width="9.140625" style="2" customWidth="1"/>
    <col min="13831" max="13831" width="8.5703125" style="2" customWidth="1"/>
    <col min="13832" max="13832" width="11.42578125" style="2" customWidth="1"/>
    <col min="13833" max="14067" width="9.140625" style="2"/>
    <col min="14068" max="14068" width="6.7109375" style="2" customWidth="1"/>
    <col min="14069" max="14069" width="42.140625" style="2" customWidth="1"/>
    <col min="14070" max="14070" width="9.140625" style="2"/>
    <col min="14071" max="14071" width="17.42578125" style="2" customWidth="1"/>
    <col min="14072" max="14072" width="8.5703125" style="2" customWidth="1"/>
    <col min="14073" max="14073" width="0" style="2" hidden="1" customWidth="1"/>
    <col min="14074" max="14074" width="44.85546875" style="2" customWidth="1"/>
    <col min="14075" max="14076" width="9.140625" style="2"/>
    <col min="14077" max="14077" width="3.140625" style="2" customWidth="1"/>
    <col min="14078" max="14078" width="3.85546875" style="2" customWidth="1"/>
    <col min="14079" max="14079" width="8.5703125" style="2" customWidth="1"/>
    <col min="14080" max="14080" width="8.85546875" style="2" customWidth="1"/>
    <col min="14081" max="14081" width="7.42578125" style="2" customWidth="1"/>
    <col min="14082" max="14082" width="8.28515625" style="2" customWidth="1"/>
    <col min="14083" max="14083" width="8" style="2" customWidth="1"/>
    <col min="14084" max="14084" width="8.140625" style="2" customWidth="1"/>
    <col min="14085" max="14085" width="9" style="2" customWidth="1"/>
    <col min="14086" max="14086" width="9.140625" style="2" customWidth="1"/>
    <col min="14087" max="14087" width="8.5703125" style="2" customWidth="1"/>
    <col min="14088" max="14088" width="11.42578125" style="2" customWidth="1"/>
    <col min="14089" max="14323" width="9.140625" style="2"/>
    <col min="14324" max="14324" width="6.7109375" style="2" customWidth="1"/>
    <col min="14325" max="14325" width="42.140625" style="2" customWidth="1"/>
    <col min="14326" max="14326" width="9.140625" style="2"/>
    <col min="14327" max="14327" width="17.42578125" style="2" customWidth="1"/>
    <col min="14328" max="14328" width="8.5703125" style="2" customWidth="1"/>
    <col min="14329" max="14329" width="0" style="2" hidden="1" customWidth="1"/>
    <col min="14330" max="14330" width="44.85546875" style="2" customWidth="1"/>
    <col min="14331" max="14332" width="9.140625" style="2"/>
    <col min="14333" max="14333" width="3.140625" style="2" customWidth="1"/>
    <col min="14334" max="14334" width="3.85546875" style="2" customWidth="1"/>
    <col min="14335" max="14335" width="8.5703125" style="2" customWidth="1"/>
    <col min="14336" max="14336" width="8.85546875" style="2" customWidth="1"/>
    <col min="14337" max="14337" width="7.42578125" style="2" customWidth="1"/>
    <col min="14338" max="14338" width="8.28515625" style="2" customWidth="1"/>
    <col min="14339" max="14339" width="8" style="2" customWidth="1"/>
    <col min="14340" max="14340" width="8.140625" style="2" customWidth="1"/>
    <col min="14341" max="14341" width="9" style="2" customWidth="1"/>
    <col min="14342" max="14342" width="9.140625" style="2" customWidth="1"/>
    <col min="14343" max="14343" width="8.5703125" style="2" customWidth="1"/>
    <col min="14344" max="14344" width="11.42578125" style="2" customWidth="1"/>
    <col min="14345" max="14579" width="9.140625" style="2"/>
    <col min="14580" max="14580" width="6.7109375" style="2" customWidth="1"/>
    <col min="14581" max="14581" width="42.140625" style="2" customWidth="1"/>
    <col min="14582" max="14582" width="9.140625" style="2"/>
    <col min="14583" max="14583" width="17.42578125" style="2" customWidth="1"/>
    <col min="14584" max="14584" width="8.5703125" style="2" customWidth="1"/>
    <col min="14585" max="14585" width="0" style="2" hidden="1" customWidth="1"/>
    <col min="14586" max="14586" width="44.85546875" style="2" customWidth="1"/>
    <col min="14587" max="14588" width="9.140625" style="2"/>
    <col min="14589" max="14589" width="3.140625" style="2" customWidth="1"/>
    <col min="14590" max="14590" width="3.85546875" style="2" customWidth="1"/>
    <col min="14591" max="14591" width="8.5703125" style="2" customWidth="1"/>
    <col min="14592" max="14592" width="8.85546875" style="2" customWidth="1"/>
    <col min="14593" max="14593" width="7.42578125" style="2" customWidth="1"/>
    <col min="14594" max="14594" width="8.28515625" style="2" customWidth="1"/>
    <col min="14595" max="14595" width="8" style="2" customWidth="1"/>
    <col min="14596" max="14596" width="8.140625" style="2" customWidth="1"/>
    <col min="14597" max="14597" width="9" style="2" customWidth="1"/>
    <col min="14598" max="14598" width="9.140625" style="2" customWidth="1"/>
    <col min="14599" max="14599" width="8.5703125" style="2" customWidth="1"/>
    <col min="14600" max="14600" width="11.42578125" style="2" customWidth="1"/>
    <col min="14601" max="14835" width="9.140625" style="2"/>
    <col min="14836" max="14836" width="6.7109375" style="2" customWidth="1"/>
    <col min="14837" max="14837" width="42.140625" style="2" customWidth="1"/>
    <col min="14838" max="14838" width="9.140625" style="2"/>
    <col min="14839" max="14839" width="17.42578125" style="2" customWidth="1"/>
    <col min="14840" max="14840" width="8.5703125" style="2" customWidth="1"/>
    <col min="14841" max="14841" width="0" style="2" hidden="1" customWidth="1"/>
    <col min="14842" max="14842" width="44.85546875" style="2" customWidth="1"/>
    <col min="14843" max="14844" width="9.140625" style="2"/>
    <col min="14845" max="14845" width="3.140625" style="2" customWidth="1"/>
    <col min="14846" max="14846" width="3.85546875" style="2" customWidth="1"/>
    <col min="14847" max="14847" width="8.5703125" style="2" customWidth="1"/>
    <col min="14848" max="14848" width="8.85546875" style="2" customWidth="1"/>
    <col min="14849" max="14849" width="7.42578125" style="2" customWidth="1"/>
    <col min="14850" max="14850" width="8.28515625" style="2" customWidth="1"/>
    <col min="14851" max="14851" width="8" style="2" customWidth="1"/>
    <col min="14852" max="14852" width="8.140625" style="2" customWidth="1"/>
    <col min="14853" max="14853" width="9" style="2" customWidth="1"/>
    <col min="14854" max="14854" width="9.140625" style="2" customWidth="1"/>
    <col min="14855" max="14855" width="8.5703125" style="2" customWidth="1"/>
    <col min="14856" max="14856" width="11.42578125" style="2" customWidth="1"/>
    <col min="14857" max="15091" width="9.140625" style="2"/>
    <col min="15092" max="15092" width="6.7109375" style="2" customWidth="1"/>
    <col min="15093" max="15093" width="42.140625" style="2" customWidth="1"/>
    <col min="15094" max="15094" width="9.140625" style="2"/>
    <col min="15095" max="15095" width="17.42578125" style="2" customWidth="1"/>
    <col min="15096" max="15096" width="8.5703125" style="2" customWidth="1"/>
    <col min="15097" max="15097" width="0" style="2" hidden="1" customWidth="1"/>
    <col min="15098" max="15098" width="44.85546875" style="2" customWidth="1"/>
    <col min="15099" max="15100" width="9.140625" style="2"/>
    <col min="15101" max="15101" width="3.140625" style="2" customWidth="1"/>
    <col min="15102" max="15102" width="3.85546875" style="2" customWidth="1"/>
    <col min="15103" max="15103" width="8.5703125" style="2" customWidth="1"/>
    <col min="15104" max="15104" width="8.85546875" style="2" customWidth="1"/>
    <col min="15105" max="15105" width="7.42578125" style="2" customWidth="1"/>
    <col min="15106" max="15106" width="8.28515625" style="2" customWidth="1"/>
    <col min="15107" max="15107" width="8" style="2" customWidth="1"/>
    <col min="15108" max="15108" width="8.140625" style="2" customWidth="1"/>
    <col min="15109" max="15109" width="9" style="2" customWidth="1"/>
    <col min="15110" max="15110" width="9.140625" style="2" customWidth="1"/>
    <col min="15111" max="15111" width="8.5703125" style="2" customWidth="1"/>
    <col min="15112" max="15112" width="11.42578125" style="2" customWidth="1"/>
    <col min="15113" max="15347" width="9.140625" style="2"/>
    <col min="15348" max="15348" width="6.7109375" style="2" customWidth="1"/>
    <col min="15349" max="15349" width="42.140625" style="2" customWidth="1"/>
    <col min="15350" max="15350" width="9.140625" style="2"/>
    <col min="15351" max="15351" width="17.42578125" style="2" customWidth="1"/>
    <col min="15352" max="15352" width="8.5703125" style="2" customWidth="1"/>
    <col min="15353" max="15353" width="0" style="2" hidden="1" customWidth="1"/>
    <col min="15354" max="15354" width="44.85546875" style="2" customWidth="1"/>
    <col min="15355" max="15356" width="9.140625" style="2"/>
    <col min="15357" max="15357" width="3.140625" style="2" customWidth="1"/>
    <col min="15358" max="15358" width="3.85546875" style="2" customWidth="1"/>
    <col min="15359" max="15359" width="8.5703125" style="2" customWidth="1"/>
    <col min="15360" max="15360" width="8.85546875" style="2" customWidth="1"/>
    <col min="15361" max="15361" width="7.42578125" style="2" customWidth="1"/>
    <col min="15362" max="15362" width="8.28515625" style="2" customWidth="1"/>
    <col min="15363" max="15363" width="8" style="2" customWidth="1"/>
    <col min="15364" max="15364" width="8.140625" style="2" customWidth="1"/>
    <col min="15365" max="15365" width="9" style="2" customWidth="1"/>
    <col min="15366" max="15366" width="9.140625" style="2" customWidth="1"/>
    <col min="15367" max="15367" width="8.5703125" style="2" customWidth="1"/>
    <col min="15368" max="15368" width="11.42578125" style="2" customWidth="1"/>
    <col min="15369" max="15603" width="9.140625" style="2"/>
    <col min="15604" max="15604" width="6.7109375" style="2" customWidth="1"/>
    <col min="15605" max="15605" width="42.140625" style="2" customWidth="1"/>
    <col min="15606" max="15606" width="9.140625" style="2"/>
    <col min="15607" max="15607" width="17.42578125" style="2" customWidth="1"/>
    <col min="15608" max="15608" width="8.5703125" style="2" customWidth="1"/>
    <col min="15609" max="15609" width="0" style="2" hidden="1" customWidth="1"/>
    <col min="15610" max="15610" width="44.85546875" style="2" customWidth="1"/>
    <col min="15611" max="15612" width="9.140625" style="2"/>
    <col min="15613" max="15613" width="3.140625" style="2" customWidth="1"/>
    <col min="15614" max="15614" width="3.85546875" style="2" customWidth="1"/>
    <col min="15615" max="15615" width="8.5703125" style="2" customWidth="1"/>
    <col min="15616" max="15616" width="8.85546875" style="2" customWidth="1"/>
    <col min="15617" max="15617" width="7.42578125" style="2" customWidth="1"/>
    <col min="15618" max="15618" width="8.28515625" style="2" customWidth="1"/>
    <col min="15619" max="15619" width="8" style="2" customWidth="1"/>
    <col min="15620" max="15620" width="8.140625" style="2" customWidth="1"/>
    <col min="15621" max="15621" width="9" style="2" customWidth="1"/>
    <col min="15622" max="15622" width="9.140625" style="2" customWidth="1"/>
    <col min="15623" max="15623" width="8.5703125" style="2" customWidth="1"/>
    <col min="15624" max="15624" width="11.42578125" style="2" customWidth="1"/>
    <col min="15625" max="15859" width="9.140625" style="2"/>
    <col min="15860" max="15860" width="6.7109375" style="2" customWidth="1"/>
    <col min="15861" max="15861" width="42.140625" style="2" customWidth="1"/>
    <col min="15862" max="15862" width="9.140625" style="2"/>
    <col min="15863" max="15863" width="17.42578125" style="2" customWidth="1"/>
    <col min="15864" max="15864" width="8.5703125" style="2" customWidth="1"/>
    <col min="15865" max="15865" width="0" style="2" hidden="1" customWidth="1"/>
    <col min="15866" max="15866" width="44.85546875" style="2" customWidth="1"/>
    <col min="15867" max="15868" width="9.140625" style="2"/>
    <col min="15869" max="15869" width="3.140625" style="2" customWidth="1"/>
    <col min="15870" max="15870" width="3.85546875" style="2" customWidth="1"/>
    <col min="15871" max="15871" width="8.5703125" style="2" customWidth="1"/>
    <col min="15872" max="15872" width="8.85546875" style="2" customWidth="1"/>
    <col min="15873" max="15873" width="7.42578125" style="2" customWidth="1"/>
    <col min="15874" max="15874" width="8.28515625" style="2" customWidth="1"/>
    <col min="15875" max="15875" width="8" style="2" customWidth="1"/>
    <col min="15876" max="15876" width="8.140625" style="2" customWidth="1"/>
    <col min="15877" max="15877" width="9" style="2" customWidth="1"/>
    <col min="15878" max="15878" width="9.140625" style="2" customWidth="1"/>
    <col min="15879" max="15879" width="8.5703125" style="2" customWidth="1"/>
    <col min="15880" max="15880" width="11.42578125" style="2" customWidth="1"/>
    <col min="15881" max="16115" width="9.140625" style="2"/>
    <col min="16116" max="16116" width="6.7109375" style="2" customWidth="1"/>
    <col min="16117" max="16117" width="42.140625" style="2" customWidth="1"/>
    <col min="16118" max="16118" width="9.140625" style="2"/>
    <col min="16119" max="16119" width="17.42578125" style="2" customWidth="1"/>
    <col min="16120" max="16120" width="8.5703125" style="2" customWidth="1"/>
    <col min="16121" max="16121" width="0" style="2" hidden="1" customWidth="1"/>
    <col min="16122" max="16122" width="44.85546875" style="2" customWidth="1"/>
    <col min="16123" max="16124" width="9.140625" style="2"/>
    <col min="16125" max="16125" width="3.140625" style="2" customWidth="1"/>
    <col min="16126" max="16126" width="3.85546875" style="2" customWidth="1"/>
    <col min="16127" max="16127" width="8.5703125" style="2" customWidth="1"/>
    <col min="16128" max="16128" width="8.85546875" style="2" customWidth="1"/>
    <col min="16129" max="16129" width="7.42578125" style="2" customWidth="1"/>
    <col min="16130" max="16130" width="8.28515625" style="2" customWidth="1"/>
    <col min="16131" max="16131" width="8" style="2" customWidth="1"/>
    <col min="16132" max="16132" width="8.140625" style="2" customWidth="1"/>
    <col min="16133" max="16133" width="9" style="2" customWidth="1"/>
    <col min="16134" max="16134" width="9.140625" style="2" customWidth="1"/>
    <col min="16135" max="16135" width="8.5703125" style="2" customWidth="1"/>
    <col min="16136" max="16136" width="11.42578125" style="2" customWidth="1"/>
    <col min="16137" max="16371" width="9.140625" style="2"/>
    <col min="16372" max="16384" width="9.140625" style="2" customWidth="1"/>
  </cols>
  <sheetData>
    <row r="2" spans="2:7" ht="18.75" x14ac:dyDescent="0.3">
      <c r="B2" s="154" t="s">
        <v>270</v>
      </c>
      <c r="F2" s="186" t="s">
        <v>199</v>
      </c>
      <c r="G2" s="2" t="s">
        <v>600</v>
      </c>
    </row>
    <row r="3" spans="2:7" x14ac:dyDescent="0.25">
      <c r="B3" s="187" t="s">
        <v>464</v>
      </c>
    </row>
    <row r="4" spans="2:7" ht="18.75" x14ac:dyDescent="0.3">
      <c r="B4" s="424" t="s">
        <v>712</v>
      </c>
      <c r="F4" s="189"/>
      <c r="G4" s="154" t="s">
        <v>20</v>
      </c>
    </row>
    <row r="16" spans="2:7" x14ac:dyDescent="0.25">
      <c r="B16" s="190" t="s">
        <v>21</v>
      </c>
      <c r="C16" s="191"/>
      <c r="E16" s="707" t="s">
        <v>1400</v>
      </c>
    </row>
    <row r="17" spans="2:28" x14ac:dyDescent="0.25">
      <c r="B17" s="192" t="s">
        <v>22</v>
      </c>
      <c r="C17" s="193"/>
    </row>
    <row r="18" spans="2:28" ht="15.75" thickBot="1" x14ac:dyDescent="0.3"/>
    <row r="19" spans="2:28" ht="16.5" thickTop="1" x14ac:dyDescent="0.25">
      <c r="B19" s="851" t="s">
        <v>402</v>
      </c>
      <c r="C19" s="852"/>
      <c r="D19" s="852"/>
      <c r="E19" s="852"/>
      <c r="F19" s="853"/>
      <c r="G19" s="330"/>
      <c r="H19" s="330"/>
      <c r="I19" s="330"/>
      <c r="J19" s="330"/>
      <c r="K19" s="330"/>
      <c r="L19" s="330"/>
      <c r="M19" s="330"/>
      <c r="N19" s="330"/>
      <c r="O19" s="330"/>
      <c r="P19" s="330"/>
      <c r="Q19" s="330"/>
      <c r="R19" s="330"/>
      <c r="S19" s="330"/>
      <c r="T19" s="330"/>
      <c r="U19" s="330"/>
      <c r="V19" s="330"/>
      <c r="W19" s="330"/>
      <c r="X19" s="330"/>
      <c r="Y19" s="330"/>
      <c r="Z19" s="330"/>
      <c r="AA19" s="330"/>
      <c r="AB19" s="330"/>
    </row>
    <row r="20" spans="2:28" ht="17.25" x14ac:dyDescent="0.3">
      <c r="B20" s="307" t="s">
        <v>239</v>
      </c>
      <c r="C20" s="306"/>
      <c r="D20" s="764" t="s">
        <v>1648</v>
      </c>
      <c r="E20" s="306"/>
      <c r="F20" s="306"/>
      <c r="G20" s="330"/>
      <c r="H20" s="330"/>
      <c r="I20" s="330"/>
      <c r="J20" s="330"/>
      <c r="K20" s="330"/>
      <c r="L20" s="330"/>
      <c r="M20" s="330"/>
      <c r="N20" s="330"/>
      <c r="O20" s="330"/>
      <c r="P20" s="330"/>
      <c r="Q20" s="330"/>
      <c r="R20" s="330"/>
      <c r="S20" s="330"/>
      <c r="T20" s="330"/>
      <c r="U20" s="330"/>
      <c r="V20" s="330"/>
      <c r="W20" s="330"/>
      <c r="X20" s="330"/>
      <c r="Y20" s="330"/>
      <c r="Z20" s="330"/>
      <c r="AA20" s="330"/>
      <c r="AB20" s="330"/>
    </row>
    <row r="21" spans="2:28" ht="15.75" x14ac:dyDescent="0.25">
      <c r="B21" s="194" t="s">
        <v>23</v>
      </c>
      <c r="C21" s="195" t="s">
        <v>24</v>
      </c>
      <c r="D21" s="180">
        <v>25</v>
      </c>
      <c r="E21" s="196" t="s">
        <v>465</v>
      </c>
      <c r="F21" s="197" t="s">
        <v>25</v>
      </c>
      <c r="G21" s="330"/>
      <c r="H21" s="330"/>
      <c r="I21" s="330"/>
      <c r="J21" s="330"/>
      <c r="K21" s="330"/>
      <c r="L21" s="330"/>
      <c r="M21" s="330"/>
      <c r="N21" s="330"/>
      <c r="O21" s="330"/>
      <c r="P21" s="330"/>
      <c r="Q21" s="330"/>
      <c r="R21" s="330"/>
      <c r="S21" s="330"/>
      <c r="T21" s="330"/>
      <c r="U21" s="330"/>
      <c r="V21" s="330"/>
      <c r="W21" s="330"/>
      <c r="X21" s="330"/>
      <c r="Y21" s="330"/>
      <c r="Z21" s="330"/>
      <c r="AA21" s="330"/>
      <c r="AB21" s="330"/>
    </row>
    <row r="22" spans="2:28" ht="17.25" x14ac:dyDescent="0.3">
      <c r="B22" s="194" t="s">
        <v>348</v>
      </c>
      <c r="C22" s="195" t="s">
        <v>26</v>
      </c>
      <c r="D22" s="755">
        <v>390</v>
      </c>
      <c r="E22" s="196" t="s">
        <v>27</v>
      </c>
      <c r="F22" s="197" t="s">
        <v>28</v>
      </c>
      <c r="G22" s="330"/>
      <c r="H22" s="345"/>
      <c r="I22" s="776"/>
      <c r="J22" s="776"/>
      <c r="K22" s="776"/>
      <c r="L22" s="776"/>
      <c r="M22" s="776"/>
      <c r="N22" s="776"/>
      <c r="O22" s="776"/>
      <c r="P22" s="330"/>
      <c r="Q22" s="330"/>
      <c r="R22" s="330"/>
      <c r="S22" s="330"/>
      <c r="T22" s="330"/>
      <c r="U22" s="330"/>
      <c r="V22" s="330"/>
      <c r="W22" s="330"/>
      <c r="X22" s="330"/>
      <c r="Y22" s="330"/>
      <c r="Z22" s="330"/>
      <c r="AA22" s="330"/>
      <c r="AB22" s="330"/>
    </row>
    <row r="23" spans="2:28" ht="17.25" x14ac:dyDescent="0.3">
      <c r="B23" s="199" t="s">
        <v>29</v>
      </c>
      <c r="C23" s="195" t="s">
        <v>30</v>
      </c>
      <c r="D23" s="756">
        <v>2</v>
      </c>
      <c r="E23" s="196" t="s">
        <v>29</v>
      </c>
      <c r="F23" s="197" t="s">
        <v>466</v>
      </c>
      <c r="G23" s="330"/>
      <c r="H23" s="330"/>
      <c r="I23" s="330"/>
      <c r="J23" s="330"/>
      <c r="K23" s="330"/>
      <c r="L23" s="330"/>
      <c r="M23" s="777"/>
      <c r="N23" s="330"/>
      <c r="O23" s="330"/>
      <c r="P23" s="330"/>
      <c r="Q23" s="330"/>
      <c r="R23" s="330"/>
      <c r="S23" s="330"/>
      <c r="T23" s="330"/>
      <c r="U23" s="330"/>
      <c r="V23" s="330"/>
      <c r="W23" s="330"/>
      <c r="X23" s="330"/>
      <c r="Y23" s="330"/>
      <c r="Z23" s="330"/>
      <c r="AA23" s="330"/>
      <c r="AB23" s="330"/>
    </row>
    <row r="24" spans="2:28" ht="17.25" x14ac:dyDescent="0.3">
      <c r="B24" s="159" t="s">
        <v>1584</v>
      </c>
      <c r="C24" s="200" t="s">
        <v>32</v>
      </c>
      <c r="D24" s="757">
        <v>10</v>
      </c>
      <c r="E24" s="201" t="s">
        <v>31</v>
      </c>
      <c r="F24" s="202" t="s">
        <v>33</v>
      </c>
      <c r="G24" s="330"/>
      <c r="H24" s="330"/>
      <c r="I24" s="330"/>
      <c r="J24" s="330"/>
      <c r="K24" s="330"/>
      <c r="L24" s="330"/>
      <c r="M24" s="777"/>
      <c r="N24" s="330"/>
      <c r="O24" s="330"/>
      <c r="P24" s="330"/>
      <c r="Q24" s="330"/>
      <c r="R24" s="330"/>
      <c r="S24" s="330"/>
      <c r="T24" s="330"/>
      <c r="U24" s="330"/>
      <c r="V24" s="330"/>
      <c r="W24" s="330"/>
      <c r="X24" s="330"/>
      <c r="Y24" s="330"/>
      <c r="Z24" s="330"/>
      <c r="AA24" s="330"/>
      <c r="AB24" s="330"/>
    </row>
    <row r="25" spans="2:28" ht="18" x14ac:dyDescent="0.35">
      <c r="B25" s="159" t="str">
        <f>IF(D28="Circular","Outer diameter of the inductor", "Short Side of inductor")</f>
        <v>Outer diameter of the inductor</v>
      </c>
      <c r="C25" s="200" t="s">
        <v>467</v>
      </c>
      <c r="D25" s="758">
        <v>9</v>
      </c>
      <c r="E25" s="181" t="s">
        <v>34</v>
      </c>
      <c r="F25" s="202" t="s">
        <v>35</v>
      </c>
      <c r="G25" s="330"/>
      <c r="H25" s="330"/>
      <c r="I25" s="330"/>
      <c r="J25" s="330"/>
      <c r="K25" s="330"/>
      <c r="L25" s="330"/>
      <c r="M25" s="330"/>
      <c r="N25" s="330"/>
      <c r="O25" s="330"/>
      <c r="P25" s="330"/>
      <c r="Q25" s="330"/>
      <c r="R25" s="330"/>
      <c r="S25" s="330"/>
      <c r="T25" s="330"/>
      <c r="U25" s="330"/>
      <c r="V25" s="330"/>
      <c r="W25" s="330"/>
      <c r="X25" s="330"/>
      <c r="Y25" s="330"/>
      <c r="Z25" s="330"/>
      <c r="AA25" s="330"/>
      <c r="AB25" s="330"/>
    </row>
    <row r="26" spans="2:28" ht="17.25" hidden="1" x14ac:dyDescent="0.3">
      <c r="B26" s="159" t="s">
        <v>1532</v>
      </c>
      <c r="C26" s="200" t="str">
        <f>E25</f>
        <v>mm</v>
      </c>
      <c r="D26" s="759" t="str">
        <f>C26</f>
        <v>mm</v>
      </c>
      <c r="E26" s="750"/>
      <c r="F26" s="202"/>
      <c r="G26" s="330"/>
      <c r="H26" s="330"/>
      <c r="I26" s="330"/>
      <c r="J26" s="330"/>
      <c r="K26" s="330"/>
      <c r="L26" s="330"/>
      <c r="M26" s="330"/>
      <c r="N26" s="330"/>
      <c r="O26" s="330"/>
      <c r="P26" s="330"/>
      <c r="Q26" s="330"/>
      <c r="R26" s="330"/>
      <c r="S26" s="330"/>
      <c r="T26" s="330"/>
      <c r="U26" s="330"/>
      <c r="V26" s="330"/>
      <c r="W26" s="330"/>
      <c r="X26" s="330"/>
      <c r="Y26" s="330"/>
      <c r="Z26" s="330"/>
      <c r="AA26" s="330"/>
      <c r="AB26" s="330"/>
    </row>
    <row r="27" spans="2:28" ht="17.25" hidden="1" x14ac:dyDescent="0.3">
      <c r="B27" s="159" t="s">
        <v>287</v>
      </c>
      <c r="C27" s="200"/>
      <c r="D27" s="760">
        <f>IF(D26="mm",D25,D25*0.0254)</f>
        <v>9</v>
      </c>
      <c r="E27" s="204" t="s">
        <v>34</v>
      </c>
      <c r="F27" s="202"/>
      <c r="G27" s="330"/>
      <c r="H27" s="330"/>
      <c r="I27" s="330"/>
      <c r="J27" s="330"/>
      <c r="K27" s="330"/>
      <c r="L27" s="330"/>
      <c r="M27" s="330"/>
      <c r="N27" s="330"/>
      <c r="O27" s="330"/>
      <c r="P27" s="330"/>
      <c r="Q27" s="330"/>
      <c r="R27" s="330"/>
      <c r="S27" s="330"/>
      <c r="T27" s="330"/>
      <c r="U27" s="330"/>
      <c r="V27" s="330"/>
      <c r="W27" s="330"/>
      <c r="X27" s="330"/>
      <c r="Y27" s="330"/>
      <c r="Z27" s="330"/>
      <c r="AA27" s="330"/>
      <c r="AB27" s="330"/>
    </row>
    <row r="28" spans="2:28" ht="17.25" x14ac:dyDescent="0.3">
      <c r="B28" s="159" t="s">
        <v>1542</v>
      </c>
      <c r="C28" s="200"/>
      <c r="D28" s="761" t="s">
        <v>693</v>
      </c>
      <c r="E28" s="204"/>
      <c r="F28" s="202"/>
      <c r="G28" s="330"/>
      <c r="H28" s="330"/>
      <c r="I28" s="330"/>
      <c r="J28" s="330"/>
      <c r="K28" s="330"/>
      <c r="L28" s="330"/>
      <c r="M28" s="330"/>
      <c r="N28" s="330"/>
      <c r="O28" s="330"/>
      <c r="P28" s="330"/>
      <c r="Q28" s="330"/>
      <c r="R28" s="330"/>
      <c r="S28" s="330"/>
      <c r="T28" s="330"/>
      <c r="U28" s="330"/>
      <c r="V28" s="330"/>
      <c r="W28" s="330"/>
      <c r="X28" s="330"/>
      <c r="Y28" s="330"/>
      <c r="Z28" s="330"/>
      <c r="AA28" s="330"/>
      <c r="AB28" s="330"/>
    </row>
    <row r="29" spans="2:28" ht="18" x14ac:dyDescent="0.35">
      <c r="B29" s="159" t="s">
        <v>448</v>
      </c>
      <c r="C29" s="200" t="s">
        <v>468</v>
      </c>
      <c r="D29" s="758">
        <v>20</v>
      </c>
      <c r="E29" s="753" t="str">
        <f>E25</f>
        <v>mm</v>
      </c>
      <c r="F29" s="754" t="str">
        <f>IF(D29&lt;D25,"Sensor Long Side must be longer than Short Side","")</f>
        <v/>
      </c>
      <c r="G29" s="330"/>
      <c r="H29" s="330"/>
      <c r="I29" s="330"/>
      <c r="J29" s="330"/>
      <c r="K29" s="330"/>
      <c r="L29" s="330"/>
      <c r="M29" s="330"/>
      <c r="N29" s="330"/>
      <c r="O29" s="330"/>
      <c r="P29" s="330"/>
      <c r="Q29" s="330"/>
      <c r="R29" s="330"/>
      <c r="S29" s="330"/>
      <c r="T29" s="330"/>
      <c r="U29" s="330"/>
      <c r="V29" s="330"/>
      <c r="W29" s="330"/>
      <c r="X29" s="330"/>
      <c r="Y29" s="330"/>
      <c r="Z29" s="330"/>
      <c r="AA29" s="330"/>
      <c r="AB29" s="330"/>
    </row>
    <row r="30" spans="2:28" ht="17.25" hidden="1" x14ac:dyDescent="0.3">
      <c r="B30" s="159" t="s">
        <v>1613</v>
      </c>
      <c r="C30" s="200"/>
      <c r="D30" s="759">
        <f>IF(E29="mm",D29,D29*0.0254)</f>
        <v>20</v>
      </c>
      <c r="E30" s="204" t="s">
        <v>34</v>
      </c>
      <c r="F30" s="202"/>
      <c r="G30" s="330"/>
      <c r="H30" s="330"/>
      <c r="I30" s="330"/>
      <c r="J30" s="330"/>
      <c r="K30" s="330"/>
      <c r="L30" s="330"/>
      <c r="M30" s="330"/>
      <c r="N30" s="330"/>
      <c r="O30" s="330"/>
      <c r="P30" s="330"/>
      <c r="Q30" s="330"/>
      <c r="R30" s="330"/>
      <c r="S30" s="330"/>
      <c r="T30" s="330"/>
      <c r="U30" s="330"/>
      <c r="V30" s="330"/>
      <c r="W30" s="330"/>
      <c r="X30" s="330"/>
      <c r="Y30" s="330"/>
      <c r="Z30" s="330"/>
      <c r="AA30" s="330"/>
      <c r="AB30" s="330"/>
    </row>
    <row r="31" spans="2:28" ht="17.25" hidden="1" x14ac:dyDescent="0.3">
      <c r="B31" s="159" t="s">
        <v>1543</v>
      </c>
      <c r="C31" s="200"/>
      <c r="D31" s="762">
        <f>IF(D28="Circular",1,D30/D27)</f>
        <v>1</v>
      </c>
      <c r="E31" s="204"/>
      <c r="F31" s="202"/>
      <c r="G31" s="330"/>
      <c r="H31" s="330"/>
      <c r="I31" s="330"/>
      <c r="J31" s="330"/>
      <c r="K31" s="330"/>
      <c r="L31" s="330"/>
      <c r="M31" s="330"/>
      <c r="N31" s="330"/>
      <c r="O31" s="330"/>
      <c r="P31" s="330"/>
      <c r="Q31" s="330"/>
      <c r="R31" s="330"/>
      <c r="S31" s="330"/>
      <c r="T31" s="330"/>
      <c r="U31" s="330"/>
      <c r="V31" s="330"/>
      <c r="W31" s="330"/>
      <c r="X31" s="330"/>
      <c r="Y31" s="330"/>
      <c r="Z31" s="330"/>
      <c r="AA31" s="330"/>
      <c r="AB31" s="330"/>
    </row>
    <row r="32" spans="2:28" ht="17.25" hidden="1" x14ac:dyDescent="0.3">
      <c r="B32" s="159" t="s">
        <v>387</v>
      </c>
      <c r="C32" s="200"/>
      <c r="D32" s="763">
        <f>1+(4*(D31-1)/PI())</f>
        <v>1</v>
      </c>
      <c r="E32" s="204"/>
      <c r="F32" s="202"/>
      <c r="G32" s="330"/>
      <c r="H32" s="330"/>
      <c r="I32" s="330"/>
      <c r="J32" s="330"/>
      <c r="K32" s="330"/>
      <c r="L32" s="330"/>
      <c r="M32" s="330"/>
      <c r="N32" s="330"/>
      <c r="O32" s="330"/>
      <c r="P32" s="330"/>
      <c r="Q32" s="330"/>
      <c r="R32" s="330"/>
      <c r="S32" s="330"/>
      <c r="T32" s="330"/>
      <c r="U32" s="330"/>
      <c r="V32" s="330"/>
      <c r="W32" s="330"/>
      <c r="X32" s="330"/>
      <c r="Y32" s="330"/>
      <c r="Z32" s="330"/>
      <c r="AA32" s="330"/>
      <c r="AB32" s="330"/>
    </row>
    <row r="33" spans="2:28" ht="17.25" x14ac:dyDescent="0.3">
      <c r="B33" s="159" t="s">
        <v>38</v>
      </c>
      <c r="C33" s="200" t="s">
        <v>39</v>
      </c>
      <c r="D33" s="761">
        <v>4</v>
      </c>
      <c r="E33" s="181" t="s">
        <v>614</v>
      </c>
      <c r="F33" s="202" t="s">
        <v>40</v>
      </c>
      <c r="G33" s="330"/>
      <c r="H33" s="777"/>
      <c r="I33" s="330"/>
      <c r="J33" s="330"/>
      <c r="K33" s="330"/>
      <c r="L33" s="330"/>
      <c r="M33" s="330"/>
      <c r="N33" s="330"/>
      <c r="O33" s="330"/>
      <c r="P33" s="330"/>
      <c r="Q33" s="330"/>
      <c r="R33" s="330"/>
      <c r="S33" s="330"/>
      <c r="T33" s="330"/>
      <c r="U33" s="330"/>
      <c r="V33" s="330"/>
      <c r="W33" s="330"/>
      <c r="X33" s="330"/>
      <c r="Y33" s="330"/>
      <c r="Z33" s="330"/>
      <c r="AA33" s="330"/>
      <c r="AB33" s="330"/>
    </row>
    <row r="34" spans="2:28" ht="17.25" hidden="1" x14ac:dyDescent="0.3">
      <c r="B34" s="159" t="s">
        <v>1533</v>
      </c>
      <c r="C34" s="200" t="str">
        <f>E33</f>
        <v>mil</v>
      </c>
      <c r="D34" s="760" t="str">
        <f>C34</f>
        <v>mil</v>
      </c>
      <c r="E34" s="748"/>
      <c r="F34" s="202"/>
      <c r="G34" s="330"/>
      <c r="H34" s="777"/>
      <c r="I34" s="330"/>
      <c r="J34" s="330"/>
      <c r="K34" s="330"/>
      <c r="L34" s="330"/>
      <c r="M34" s="330"/>
      <c r="N34" s="330"/>
      <c r="O34" s="330"/>
      <c r="P34" s="330"/>
      <c r="Q34" s="330"/>
      <c r="R34" s="330"/>
      <c r="S34" s="330"/>
      <c r="T34" s="330"/>
      <c r="U34" s="330"/>
      <c r="V34" s="330"/>
      <c r="W34" s="330"/>
      <c r="X34" s="330"/>
      <c r="Y34" s="330"/>
      <c r="Z34" s="330"/>
      <c r="AA34" s="330"/>
      <c r="AB34" s="330"/>
    </row>
    <row r="35" spans="2:28" ht="17.25" hidden="1" x14ac:dyDescent="0.3">
      <c r="B35" s="159" t="s">
        <v>1535</v>
      </c>
      <c r="C35" s="200"/>
      <c r="D35" s="763">
        <f>IF(D34="mm",D33,D33*0.0254)</f>
        <v>0.1016</v>
      </c>
      <c r="E35" s="748" t="s">
        <v>34</v>
      </c>
      <c r="F35" s="202"/>
      <c r="G35" s="330"/>
      <c r="H35" s="777"/>
      <c r="I35" s="330"/>
      <c r="J35" s="330"/>
      <c r="K35" s="330"/>
      <c r="L35" s="330"/>
      <c r="M35" s="330"/>
      <c r="N35" s="330"/>
      <c r="O35" s="330"/>
      <c r="P35" s="330"/>
      <c r="Q35" s="330"/>
      <c r="R35" s="330"/>
      <c r="S35" s="330"/>
      <c r="T35" s="330"/>
      <c r="U35" s="330"/>
      <c r="V35" s="330"/>
      <c r="W35" s="330"/>
      <c r="X35" s="330"/>
      <c r="Y35" s="330"/>
      <c r="Z35" s="330"/>
      <c r="AA35" s="330"/>
      <c r="AB35" s="330"/>
    </row>
    <row r="36" spans="2:28" ht="17.25" x14ac:dyDescent="0.3">
      <c r="B36" s="159" t="s">
        <v>41</v>
      </c>
      <c r="C36" s="200" t="s">
        <v>42</v>
      </c>
      <c r="D36" s="761">
        <v>4</v>
      </c>
      <c r="E36" s="181" t="s">
        <v>614</v>
      </c>
      <c r="F36" s="202" t="s">
        <v>43</v>
      </c>
      <c r="G36" s="330"/>
      <c r="H36" s="330"/>
      <c r="I36" s="330"/>
      <c r="J36" s="330"/>
      <c r="K36" s="330"/>
      <c r="L36" s="330"/>
      <c r="M36" s="330"/>
      <c r="N36" s="330"/>
      <c r="O36" s="330"/>
      <c r="P36" s="330"/>
      <c r="Q36" s="330"/>
      <c r="R36" s="330"/>
      <c r="S36" s="330"/>
      <c r="T36" s="330"/>
      <c r="U36" s="330"/>
      <c r="V36" s="330"/>
      <c r="W36" s="330"/>
      <c r="X36" s="330"/>
      <c r="Y36" s="330"/>
      <c r="Z36" s="330"/>
      <c r="AA36" s="330"/>
      <c r="AB36" s="330"/>
    </row>
    <row r="37" spans="2:28" hidden="1" x14ac:dyDescent="0.25">
      <c r="B37" s="159" t="s">
        <v>1536</v>
      </c>
      <c r="C37" s="200" t="str">
        <f>E36</f>
        <v>mil</v>
      </c>
      <c r="D37" s="656" t="str">
        <f>C37</f>
        <v>mil</v>
      </c>
      <c r="E37" s="748"/>
      <c r="F37" s="202"/>
      <c r="G37" s="330"/>
      <c r="H37" s="330"/>
      <c r="I37" s="330"/>
      <c r="J37" s="330"/>
      <c r="K37" s="330"/>
      <c r="L37" s="330"/>
      <c r="M37" s="330"/>
      <c r="N37" s="330"/>
      <c r="O37" s="330"/>
      <c r="P37" s="330"/>
      <c r="Q37" s="330"/>
      <c r="R37" s="330"/>
      <c r="S37" s="330"/>
      <c r="T37" s="330"/>
      <c r="U37" s="330"/>
      <c r="V37" s="330"/>
      <c r="W37" s="330"/>
      <c r="X37" s="330"/>
      <c r="Y37" s="330"/>
      <c r="Z37" s="330"/>
      <c r="AA37" s="330"/>
      <c r="AB37" s="330"/>
    </row>
    <row r="38" spans="2:28" ht="15.75" hidden="1" x14ac:dyDescent="0.25">
      <c r="B38" s="159" t="s">
        <v>1534</v>
      </c>
      <c r="C38" s="200"/>
      <c r="D38" s="751">
        <f>IF(D37="mm",D36,D36*0.0254)</f>
        <v>0.1016</v>
      </c>
      <c r="E38" s="748" t="s">
        <v>34</v>
      </c>
      <c r="F38" s="202"/>
      <c r="G38" s="330"/>
      <c r="H38" s="330"/>
      <c r="I38" s="330"/>
      <c r="J38" s="330"/>
      <c r="K38" s="330"/>
      <c r="L38" s="330"/>
      <c r="M38" s="330"/>
      <c r="N38" s="330"/>
      <c r="O38" s="330"/>
      <c r="P38" s="330"/>
      <c r="Q38" s="330"/>
      <c r="R38" s="330"/>
      <c r="S38" s="330"/>
      <c r="T38" s="330"/>
      <c r="U38" s="330"/>
      <c r="V38" s="330"/>
      <c r="W38" s="330"/>
      <c r="X38" s="330"/>
      <c r="Y38" s="330"/>
      <c r="Z38" s="330"/>
      <c r="AA38" s="330"/>
      <c r="AB38" s="330"/>
    </row>
    <row r="39" spans="2:28" x14ac:dyDescent="0.25">
      <c r="B39" s="159" t="s">
        <v>184</v>
      </c>
      <c r="C39" s="200" t="s">
        <v>191</v>
      </c>
      <c r="D39" s="383">
        <v>8</v>
      </c>
      <c r="E39" s="748" t="s">
        <v>614</v>
      </c>
      <c r="F39" s="202" t="s">
        <v>44</v>
      </c>
      <c r="G39" s="330"/>
      <c r="H39" s="330"/>
      <c r="I39" s="330"/>
      <c r="J39" s="330"/>
      <c r="K39" s="330"/>
      <c r="L39" s="330"/>
      <c r="M39" s="330"/>
      <c r="N39" s="330"/>
      <c r="O39" s="330"/>
      <c r="P39" s="330"/>
      <c r="Q39" s="330"/>
      <c r="R39" s="330"/>
      <c r="S39" s="330"/>
      <c r="T39" s="330"/>
      <c r="U39" s="330"/>
      <c r="V39" s="330"/>
      <c r="W39" s="330"/>
      <c r="X39" s="330"/>
      <c r="Y39" s="330"/>
      <c r="Z39" s="330"/>
      <c r="AA39" s="330"/>
      <c r="AB39" s="330"/>
    </row>
    <row r="40" spans="2:28" x14ac:dyDescent="0.25">
      <c r="B40" s="159" t="s">
        <v>185</v>
      </c>
      <c r="C40" s="200" t="s">
        <v>192</v>
      </c>
      <c r="D40" s="383">
        <v>30</v>
      </c>
      <c r="E40" s="203" t="str">
        <f t="shared" ref="E40:E45" si="0">E39</f>
        <v>mil</v>
      </c>
      <c r="F40" s="202" t="s">
        <v>45</v>
      </c>
      <c r="G40" s="330"/>
      <c r="H40" s="330"/>
      <c r="I40" s="330"/>
      <c r="J40" s="330"/>
      <c r="K40" s="330"/>
      <c r="L40" s="330"/>
      <c r="M40" s="330"/>
      <c r="N40" s="330"/>
      <c r="O40" s="330"/>
      <c r="P40" s="330"/>
      <c r="Q40" s="330"/>
      <c r="R40" s="330"/>
      <c r="S40" s="330"/>
      <c r="T40" s="330"/>
      <c r="U40" s="330"/>
      <c r="V40" s="330"/>
      <c r="W40" s="330"/>
      <c r="X40" s="330"/>
      <c r="Y40" s="330"/>
      <c r="Z40" s="330"/>
      <c r="AA40" s="330"/>
      <c r="AB40" s="330"/>
    </row>
    <row r="41" spans="2:28" x14ac:dyDescent="0.25">
      <c r="B41" s="159" t="s">
        <v>186</v>
      </c>
      <c r="C41" s="200" t="s">
        <v>193</v>
      </c>
      <c r="D41" s="383">
        <v>8</v>
      </c>
      <c r="E41" s="203" t="str">
        <f t="shared" si="0"/>
        <v>mil</v>
      </c>
      <c r="F41" s="202" t="s">
        <v>46</v>
      </c>
      <c r="G41" s="330"/>
      <c r="H41" s="330"/>
      <c r="I41" s="330"/>
      <c r="J41" s="330"/>
      <c r="K41" s="330"/>
      <c r="L41" s="330"/>
      <c r="M41" s="330"/>
      <c r="N41" s="330"/>
      <c r="O41" s="330"/>
      <c r="P41" s="330"/>
      <c r="Q41" s="330"/>
      <c r="R41" s="330"/>
      <c r="S41" s="330"/>
      <c r="T41" s="330"/>
      <c r="U41" s="330"/>
      <c r="V41" s="330"/>
      <c r="W41" s="330"/>
      <c r="X41" s="330"/>
      <c r="Y41" s="330"/>
      <c r="Z41" s="330"/>
      <c r="AA41" s="330"/>
      <c r="AB41" s="330"/>
    </row>
    <row r="42" spans="2:28" x14ac:dyDescent="0.25">
      <c r="B42" s="159" t="s">
        <v>187</v>
      </c>
      <c r="C42" s="200" t="s">
        <v>194</v>
      </c>
      <c r="D42" s="383">
        <v>8</v>
      </c>
      <c r="E42" s="203" t="str">
        <f t="shared" si="0"/>
        <v>mil</v>
      </c>
      <c r="F42" s="202" t="s">
        <v>47</v>
      </c>
      <c r="G42" s="330"/>
      <c r="H42" s="330"/>
      <c r="I42" s="330"/>
      <c r="J42" s="330"/>
      <c r="K42" s="330"/>
      <c r="L42" s="330"/>
      <c r="M42" s="330"/>
      <c r="N42" s="330"/>
      <c r="O42" s="330"/>
      <c r="P42" s="330"/>
      <c r="Q42" s="330"/>
      <c r="R42" s="330"/>
      <c r="S42" s="330"/>
      <c r="T42" s="330"/>
      <c r="U42" s="330"/>
      <c r="V42" s="330"/>
      <c r="W42" s="330"/>
      <c r="X42" s="330"/>
      <c r="Y42" s="330"/>
      <c r="Z42" s="330"/>
      <c r="AA42" s="330"/>
      <c r="AB42" s="330"/>
    </row>
    <row r="43" spans="2:28" x14ac:dyDescent="0.25">
      <c r="B43" s="159" t="s">
        <v>188</v>
      </c>
      <c r="C43" s="200" t="s">
        <v>195</v>
      </c>
      <c r="D43" s="383">
        <v>8</v>
      </c>
      <c r="E43" s="203" t="str">
        <f t="shared" si="0"/>
        <v>mil</v>
      </c>
      <c r="F43" s="202" t="s">
        <v>48</v>
      </c>
      <c r="G43" s="330"/>
      <c r="H43" s="330"/>
      <c r="I43" s="330"/>
      <c r="J43" s="330"/>
      <c r="K43" s="330"/>
      <c r="L43" s="330"/>
      <c r="M43" s="330"/>
      <c r="N43" s="330"/>
      <c r="O43" s="330"/>
      <c r="P43" s="330"/>
      <c r="Q43" s="330"/>
      <c r="R43" s="330"/>
      <c r="S43" s="330"/>
      <c r="T43" s="330"/>
      <c r="U43" s="330"/>
      <c r="V43" s="330"/>
      <c r="W43" s="330"/>
      <c r="X43" s="330"/>
      <c r="Y43" s="330"/>
      <c r="Z43" s="330"/>
      <c r="AA43" s="330"/>
      <c r="AB43" s="330"/>
    </row>
    <row r="44" spans="2:28" ht="15.6" customHeight="1" x14ac:dyDescent="0.25">
      <c r="B44" s="159" t="s">
        <v>189</v>
      </c>
      <c r="C44" s="200" t="s">
        <v>196</v>
      </c>
      <c r="D44" s="383">
        <f>62*0.0254</f>
        <v>1.5748</v>
      </c>
      <c r="E44" s="203" t="str">
        <f t="shared" si="0"/>
        <v>mil</v>
      </c>
      <c r="F44" s="202" t="s">
        <v>49</v>
      </c>
      <c r="G44" s="330"/>
      <c r="H44" s="330"/>
      <c r="I44" s="330"/>
      <c r="J44" s="330"/>
      <c r="K44" s="330"/>
      <c r="L44" s="330"/>
      <c r="M44" s="330"/>
      <c r="N44" s="330"/>
      <c r="O44" s="330"/>
      <c r="P44" s="330"/>
      <c r="Q44" s="330"/>
      <c r="R44" s="330"/>
      <c r="S44" s="330"/>
      <c r="T44" s="330"/>
      <c r="U44" s="330"/>
      <c r="V44" s="330"/>
      <c r="W44" s="330"/>
      <c r="X44" s="330"/>
      <c r="Y44" s="330"/>
      <c r="Z44" s="330"/>
      <c r="AA44" s="330"/>
      <c r="AB44" s="330"/>
    </row>
    <row r="45" spans="2:28" x14ac:dyDescent="0.25">
      <c r="B45" s="159" t="s">
        <v>190</v>
      </c>
      <c r="C45" s="200" t="s">
        <v>197</v>
      </c>
      <c r="D45" s="383">
        <f>62*0.0254</f>
        <v>1.5748</v>
      </c>
      <c r="E45" s="203" t="str">
        <f t="shared" si="0"/>
        <v>mil</v>
      </c>
      <c r="F45" s="202" t="s">
        <v>50</v>
      </c>
      <c r="G45" s="330"/>
      <c r="H45" s="330"/>
      <c r="I45" s="330"/>
      <c r="J45" s="330"/>
      <c r="K45" s="330"/>
      <c r="L45" s="330"/>
      <c r="M45" s="330"/>
      <c r="N45" s="330"/>
      <c r="O45" s="330"/>
      <c r="P45" s="330"/>
      <c r="Q45" s="330"/>
      <c r="R45" s="330"/>
      <c r="S45" s="330"/>
      <c r="T45" s="330"/>
      <c r="U45" s="330"/>
      <c r="V45" s="330"/>
      <c r="W45" s="330"/>
      <c r="X45" s="330"/>
      <c r="Y45" s="330"/>
      <c r="Z45" s="330"/>
      <c r="AA45" s="330"/>
      <c r="AB45" s="330"/>
    </row>
    <row r="46" spans="2:28" x14ac:dyDescent="0.25">
      <c r="B46" s="159" t="s">
        <v>51</v>
      </c>
      <c r="C46" s="200" t="s">
        <v>52</v>
      </c>
      <c r="D46" s="183">
        <v>1</v>
      </c>
      <c r="E46" s="181" t="s">
        <v>53</v>
      </c>
      <c r="F46" s="202" t="s">
        <v>54</v>
      </c>
      <c r="G46" s="330"/>
      <c r="H46" s="330"/>
      <c r="I46" s="330"/>
      <c r="J46" s="330"/>
      <c r="K46" s="330"/>
      <c r="L46" s="330"/>
      <c r="M46" s="330"/>
      <c r="N46" s="330"/>
      <c r="O46" s="330"/>
      <c r="P46" s="330"/>
      <c r="Q46" s="330"/>
      <c r="R46" s="330"/>
      <c r="S46" s="330"/>
      <c r="T46" s="330"/>
      <c r="U46" s="330"/>
      <c r="V46" s="330"/>
      <c r="W46" s="330"/>
      <c r="X46" s="330"/>
      <c r="Y46" s="330"/>
      <c r="Z46" s="330"/>
      <c r="AA46" s="330"/>
      <c r="AB46" s="330"/>
    </row>
    <row r="47" spans="2:28" hidden="1" x14ac:dyDescent="0.25">
      <c r="B47" s="159" t="s">
        <v>1538</v>
      </c>
      <c r="C47" s="200" t="str">
        <f>E46</f>
        <v>oz-Cu</v>
      </c>
      <c r="D47" s="383" t="str">
        <f>C47</f>
        <v>oz-Cu</v>
      </c>
      <c r="E47" s="748"/>
      <c r="F47" s="202"/>
      <c r="G47" s="330"/>
      <c r="H47" s="330"/>
      <c r="I47" s="330"/>
      <c r="J47" s="330"/>
      <c r="K47" s="330"/>
      <c r="L47" s="330"/>
      <c r="M47" s="330"/>
      <c r="N47" s="330"/>
      <c r="O47" s="330"/>
      <c r="P47" s="330"/>
      <c r="Q47" s="330"/>
      <c r="R47" s="330"/>
      <c r="S47" s="330"/>
      <c r="T47" s="330"/>
      <c r="U47" s="330"/>
      <c r="V47" s="330"/>
      <c r="W47" s="330"/>
      <c r="X47" s="330"/>
      <c r="Y47" s="330"/>
      <c r="Z47" s="330"/>
      <c r="AA47" s="330"/>
      <c r="AB47" s="330"/>
    </row>
    <row r="48" spans="2:28" hidden="1" x14ac:dyDescent="0.25">
      <c r="B48" s="159" t="s">
        <v>1537</v>
      </c>
      <c r="C48" s="200"/>
      <c r="D48" s="749">
        <f>IF(D47="mm",D46, IF(D47="mil",D46*0.0254,D46*0.0347))</f>
        <v>3.4700000000000002E-2</v>
      </c>
      <c r="E48" s="748" t="s">
        <v>34</v>
      </c>
      <c r="F48" s="202"/>
      <c r="G48" s="330"/>
      <c r="H48" s="330"/>
      <c r="I48" s="330"/>
      <c r="J48" s="330"/>
      <c r="K48" s="330"/>
      <c r="L48" s="330"/>
      <c r="M48" s="330"/>
      <c r="N48" s="330"/>
      <c r="O48" s="330"/>
      <c r="P48" s="330"/>
      <c r="Q48" s="330"/>
      <c r="R48" s="330"/>
      <c r="S48" s="330"/>
      <c r="T48" s="330"/>
      <c r="U48" s="330"/>
      <c r="V48" s="330"/>
      <c r="W48" s="330"/>
      <c r="X48" s="330"/>
      <c r="Y48" s="330"/>
      <c r="Z48" s="330"/>
      <c r="AA48" s="330"/>
      <c r="AB48" s="330"/>
    </row>
    <row r="49" spans="1:28" ht="15" customHeight="1" x14ac:dyDescent="0.25">
      <c r="B49" s="334" t="s">
        <v>591</v>
      </c>
      <c r="C49" s="335" t="s">
        <v>55</v>
      </c>
      <c r="D49" s="336">
        <v>1.6800000000000002E-8</v>
      </c>
      <c r="E49" s="337" t="s">
        <v>592</v>
      </c>
      <c r="F49" s="338" t="s">
        <v>590</v>
      </c>
      <c r="G49" s="330"/>
      <c r="H49" s="330"/>
      <c r="I49" s="330"/>
      <c r="J49" s="330"/>
      <c r="K49" s="330"/>
      <c r="L49" s="330"/>
      <c r="M49" s="330"/>
      <c r="N49" s="330"/>
      <c r="O49" s="330"/>
      <c r="P49" s="330"/>
      <c r="Q49" s="330"/>
      <c r="R49" s="330"/>
      <c r="S49" s="330"/>
      <c r="T49" s="330"/>
      <c r="U49" s="330"/>
      <c r="V49" s="330"/>
      <c r="W49" s="330"/>
      <c r="X49" s="330"/>
      <c r="Y49" s="330"/>
      <c r="Z49" s="330"/>
      <c r="AA49" s="330"/>
      <c r="AB49" s="330"/>
    </row>
    <row r="50" spans="1:28" x14ac:dyDescent="0.25">
      <c r="B50" s="334" t="s">
        <v>255</v>
      </c>
      <c r="C50" s="335" t="s">
        <v>56</v>
      </c>
      <c r="D50" s="339">
        <v>0.39300000000000002</v>
      </c>
      <c r="E50" s="337" t="s">
        <v>593</v>
      </c>
      <c r="F50" s="338" t="s">
        <v>589</v>
      </c>
      <c r="G50" s="330"/>
      <c r="H50" s="330"/>
      <c r="I50" s="330"/>
      <c r="J50" s="330"/>
      <c r="K50" s="330"/>
      <c r="L50" s="330"/>
      <c r="M50" s="330"/>
      <c r="N50" s="330"/>
      <c r="O50" s="330"/>
      <c r="P50" s="330"/>
      <c r="Q50" s="330"/>
      <c r="R50" s="330"/>
      <c r="S50" s="330"/>
      <c r="T50" s="330"/>
      <c r="U50" s="330"/>
      <c r="V50" s="330"/>
      <c r="W50" s="330"/>
      <c r="X50" s="330"/>
      <c r="Y50" s="330"/>
      <c r="Z50" s="330"/>
      <c r="AA50" s="330"/>
      <c r="AB50" s="330"/>
    </row>
    <row r="51" spans="1:28" x14ac:dyDescent="0.25">
      <c r="B51" s="334" t="s">
        <v>57</v>
      </c>
      <c r="C51" s="340" t="s">
        <v>594</v>
      </c>
      <c r="D51" s="341">
        <v>1</v>
      </c>
      <c r="E51" s="337"/>
      <c r="F51" s="338" t="s">
        <v>595</v>
      </c>
      <c r="G51" s="330"/>
      <c r="H51" s="330"/>
      <c r="I51" s="330"/>
      <c r="J51" s="330"/>
      <c r="K51" s="330"/>
      <c r="L51" s="330"/>
      <c r="M51" s="330"/>
      <c r="N51" s="330"/>
      <c r="O51" s="330"/>
      <c r="P51" s="330"/>
      <c r="Q51" s="330"/>
      <c r="R51" s="330"/>
      <c r="S51" s="330"/>
      <c r="T51" s="330"/>
      <c r="U51" s="330"/>
      <c r="V51" s="330"/>
      <c r="W51" s="330"/>
      <c r="X51" s="330"/>
      <c r="Y51" s="330"/>
      <c r="Z51" s="330"/>
      <c r="AA51" s="330"/>
      <c r="AB51" s="330"/>
    </row>
    <row r="52" spans="1:28" x14ac:dyDescent="0.25">
      <c r="B52" s="334" t="s">
        <v>58</v>
      </c>
      <c r="C52" s="335" t="s">
        <v>59</v>
      </c>
      <c r="D52" s="342">
        <v>4</v>
      </c>
      <c r="E52" s="337" t="s">
        <v>27</v>
      </c>
      <c r="F52" s="338" t="s">
        <v>60</v>
      </c>
      <c r="G52" s="330"/>
      <c r="H52" s="330"/>
      <c r="I52" s="330"/>
      <c r="J52" s="330"/>
      <c r="K52" s="330"/>
      <c r="L52" s="330"/>
      <c r="M52" s="330"/>
      <c r="N52" s="330"/>
      <c r="O52" s="330"/>
      <c r="P52" s="330"/>
      <c r="Q52" s="330"/>
      <c r="R52" s="330"/>
      <c r="S52" s="330"/>
      <c r="T52" s="330"/>
      <c r="U52" s="330"/>
      <c r="V52" s="330"/>
      <c r="W52" s="330"/>
      <c r="X52" s="330"/>
      <c r="Y52" s="330"/>
      <c r="Z52" s="330"/>
      <c r="AA52" s="330"/>
      <c r="AB52" s="330"/>
    </row>
    <row r="53" spans="1:28" x14ac:dyDescent="0.25">
      <c r="B53" s="205" t="s">
        <v>61</v>
      </c>
      <c r="C53" s="206" t="s">
        <v>62</v>
      </c>
      <c r="D53" s="207">
        <f>D49*(1+(D50/100)*(D21-20))</f>
        <v>1.713012E-8</v>
      </c>
      <c r="E53" s="208" t="s">
        <v>469</v>
      </c>
      <c r="F53" s="209"/>
      <c r="G53" s="330"/>
      <c r="H53" s="330"/>
      <c r="I53" s="330"/>
      <c r="J53" s="330"/>
      <c r="K53" s="330"/>
      <c r="L53" s="330"/>
      <c r="M53" s="330"/>
      <c r="N53" s="330"/>
      <c r="O53" s="330"/>
      <c r="P53" s="330"/>
      <c r="Q53" s="330"/>
      <c r="R53" s="330"/>
      <c r="S53" s="330"/>
      <c r="T53" s="330"/>
      <c r="U53" s="330"/>
      <c r="V53" s="330"/>
      <c r="W53" s="330"/>
      <c r="X53" s="330"/>
      <c r="Y53" s="330"/>
      <c r="Z53" s="330"/>
      <c r="AA53" s="330"/>
      <c r="AB53" s="330"/>
    </row>
    <row r="54" spans="1:28" x14ac:dyDescent="0.25">
      <c r="A54" s="210"/>
      <c r="B54" s="211" t="s">
        <v>286</v>
      </c>
      <c r="C54" s="212" t="s">
        <v>288</v>
      </c>
      <c r="D54" s="213">
        <f>D57/D27</f>
        <v>0.54844444444444451</v>
      </c>
      <c r="E54" s="204"/>
      <c r="F54" s="806" t="s">
        <v>1644</v>
      </c>
      <c r="G54" s="330"/>
      <c r="H54" s="330"/>
      <c r="I54" s="330"/>
      <c r="J54" s="330"/>
      <c r="K54" s="330"/>
      <c r="L54" s="330"/>
      <c r="M54" s="330"/>
      <c r="N54" s="330"/>
      <c r="O54" s="330"/>
      <c r="P54" s="330"/>
      <c r="Q54" s="330"/>
      <c r="R54" s="330"/>
      <c r="S54" s="330"/>
      <c r="T54" s="330"/>
      <c r="U54" s="330"/>
      <c r="V54" s="330"/>
      <c r="W54" s="330"/>
      <c r="X54" s="330"/>
      <c r="Y54" s="330"/>
      <c r="Z54" s="330"/>
      <c r="AA54" s="330"/>
      <c r="AB54" s="330"/>
    </row>
    <row r="55" spans="1:28" hidden="1" x14ac:dyDescent="0.25">
      <c r="A55" s="210"/>
      <c r="B55" s="205" t="s">
        <v>63</v>
      </c>
      <c r="C55" s="206" t="s">
        <v>64</v>
      </c>
      <c r="D55" s="214">
        <f>MAX(0,D32*(D57+D27)/2)</f>
        <v>6.968</v>
      </c>
      <c r="E55" s="215" t="s">
        <v>34</v>
      </c>
      <c r="F55" s="209"/>
      <c r="G55" s="330"/>
      <c r="H55" s="330"/>
      <c r="I55" s="330"/>
      <c r="J55" s="330"/>
      <c r="K55" s="330"/>
      <c r="L55" s="330"/>
      <c r="M55" s="330"/>
      <c r="N55" s="330"/>
      <c r="O55" s="330"/>
      <c r="P55" s="330"/>
      <c r="Q55" s="330"/>
      <c r="R55" s="330"/>
      <c r="S55" s="330"/>
      <c r="T55" s="330"/>
      <c r="U55" s="330"/>
      <c r="V55" s="330"/>
      <c r="W55" s="330"/>
      <c r="X55" s="330"/>
      <c r="Y55" s="330"/>
      <c r="Z55" s="330"/>
      <c r="AA55" s="330"/>
      <c r="AB55" s="330"/>
    </row>
    <row r="56" spans="1:28" hidden="1" x14ac:dyDescent="0.25">
      <c r="A56" s="210"/>
      <c r="B56" s="205" t="s">
        <v>65</v>
      </c>
      <c r="C56" s="206" t="s">
        <v>66</v>
      </c>
      <c r="D56" s="216">
        <f>(D27-D57)/(D27+D57)</f>
        <v>0.29161882893226171</v>
      </c>
      <c r="E56" s="215"/>
      <c r="F56" s="209"/>
      <c r="G56" s="330"/>
      <c r="H56" s="330"/>
      <c r="I56" s="330"/>
      <c r="J56" s="330"/>
      <c r="K56" s="330"/>
      <c r="L56" s="330"/>
      <c r="M56" s="330"/>
      <c r="N56" s="330"/>
      <c r="O56" s="330"/>
      <c r="P56" s="330"/>
      <c r="Q56" s="330"/>
      <c r="R56" s="330"/>
      <c r="S56" s="330"/>
      <c r="T56" s="330"/>
      <c r="U56" s="330"/>
      <c r="V56" s="330"/>
      <c r="W56" s="330"/>
      <c r="X56" s="330"/>
      <c r="Y56" s="330"/>
      <c r="Z56" s="330"/>
      <c r="AA56" s="330"/>
      <c r="AB56" s="330"/>
    </row>
    <row r="57" spans="1:28" hidden="1" x14ac:dyDescent="0.25">
      <c r="A57" s="210"/>
      <c r="B57" s="205" t="s">
        <v>1531</v>
      </c>
      <c r="C57" s="206"/>
      <c r="D57" s="216">
        <f>D27-(2*D24+1)*D38-(2*D24-1)*D35</f>
        <v>4.9360000000000008</v>
      </c>
      <c r="E57" s="215" t="s">
        <v>34</v>
      </c>
      <c r="F57" s="209"/>
      <c r="G57" s="330"/>
      <c r="H57" s="330"/>
      <c r="I57" s="330"/>
      <c r="J57" s="330"/>
      <c r="K57" s="330"/>
      <c r="L57" s="330"/>
      <c r="M57" s="330"/>
      <c r="N57" s="330"/>
      <c r="O57" s="330"/>
      <c r="P57" s="330"/>
      <c r="Q57" s="330"/>
      <c r="R57" s="330"/>
      <c r="S57" s="330"/>
      <c r="T57" s="330"/>
      <c r="U57" s="330"/>
      <c r="V57" s="330"/>
      <c r="W57" s="330"/>
      <c r="X57" s="330"/>
      <c r="Y57" s="330"/>
      <c r="Z57" s="330"/>
      <c r="AA57" s="330"/>
      <c r="AB57" s="330"/>
    </row>
    <row r="58" spans="1:28" hidden="1" x14ac:dyDescent="0.25">
      <c r="A58" s="210"/>
      <c r="B58" s="205" t="s">
        <v>1539</v>
      </c>
      <c r="C58" s="206" t="str">
        <f>E59</f>
        <v>mm</v>
      </c>
      <c r="D58" s="216" t="str">
        <f>C58</f>
        <v>mm</v>
      </c>
      <c r="E58" s="215"/>
      <c r="F58" s="209"/>
      <c r="G58" s="330"/>
      <c r="H58" s="330"/>
      <c r="I58" s="330"/>
      <c r="J58" s="330"/>
      <c r="K58" s="330"/>
      <c r="L58" s="330"/>
      <c r="M58" s="330"/>
      <c r="N58" s="330"/>
      <c r="O58" s="330"/>
      <c r="P58" s="330"/>
      <c r="Q58" s="330"/>
      <c r="R58" s="330"/>
      <c r="S58" s="330"/>
      <c r="T58" s="330"/>
      <c r="U58" s="330"/>
      <c r="V58" s="330"/>
      <c r="W58" s="330"/>
      <c r="X58" s="330"/>
      <c r="Y58" s="330"/>
      <c r="Z58" s="330"/>
      <c r="AA58" s="330"/>
      <c r="AB58" s="330"/>
    </row>
    <row r="59" spans="1:28" x14ac:dyDescent="0.25">
      <c r="A59" s="210"/>
      <c r="B59" s="205" t="s">
        <v>67</v>
      </c>
      <c r="C59" s="206" t="s">
        <v>36</v>
      </c>
      <c r="D59" s="217">
        <f>IF(D58="mm",D57,D57/0.0254)</f>
        <v>4.9360000000000008</v>
      </c>
      <c r="E59" s="181" t="s">
        <v>34</v>
      </c>
      <c r="F59" s="202" t="s">
        <v>37</v>
      </c>
      <c r="G59" s="330"/>
      <c r="H59" s="484"/>
      <c r="I59" s="330"/>
      <c r="J59" s="330"/>
      <c r="K59" s="330"/>
      <c r="L59" s="330"/>
      <c r="M59" s="330"/>
      <c r="N59" s="330"/>
      <c r="O59" s="330"/>
      <c r="P59" s="330"/>
      <c r="Q59" s="330"/>
      <c r="R59" s="330"/>
      <c r="S59" s="330"/>
      <c r="T59" s="330"/>
      <c r="U59" s="330"/>
      <c r="V59" s="330"/>
      <c r="W59" s="330"/>
      <c r="X59" s="330"/>
      <c r="Y59" s="330"/>
      <c r="Z59" s="330"/>
      <c r="AA59" s="330"/>
      <c r="AB59" s="330"/>
    </row>
    <row r="60" spans="1:28" x14ac:dyDescent="0.25">
      <c r="A60" s="210"/>
      <c r="B60" s="211" t="s">
        <v>68</v>
      </c>
      <c r="C60" s="212" t="s">
        <v>69</v>
      </c>
      <c r="D60" s="219">
        <f>0.5*4*PI()*0.0001*D24*D24*D55*(LN(2.46/D56)+0.2*D56*D56)</f>
        <v>0.941067742518362</v>
      </c>
      <c r="E60" s="201" t="s">
        <v>470</v>
      </c>
      <c r="F60" s="220"/>
      <c r="G60" s="330"/>
      <c r="H60" s="330"/>
      <c r="I60" s="330"/>
      <c r="J60" s="330"/>
      <c r="K60" s="330"/>
      <c r="L60" s="330"/>
      <c r="M60" s="330"/>
      <c r="N60" s="330"/>
      <c r="O60" s="330"/>
      <c r="P60" s="330"/>
      <c r="Q60" s="330"/>
      <c r="R60" s="330"/>
      <c r="S60" s="330"/>
      <c r="T60" s="330"/>
      <c r="U60" s="330"/>
      <c r="V60" s="330"/>
      <c r="W60" s="330"/>
      <c r="X60" s="330"/>
      <c r="Y60" s="330"/>
      <c r="Z60" s="330"/>
      <c r="AA60" s="330"/>
      <c r="AB60" s="330"/>
    </row>
    <row r="61" spans="1:28" x14ac:dyDescent="0.25">
      <c r="A61" s="210"/>
      <c r="B61" s="746"/>
      <c r="C61" s="212"/>
      <c r="D61" s="219"/>
      <c r="E61" s="201"/>
      <c r="F61" s="220"/>
      <c r="G61" s="330"/>
      <c r="H61" s="330"/>
      <c r="I61" s="330"/>
      <c r="J61" s="330"/>
      <c r="K61" s="330"/>
      <c r="L61" s="330"/>
      <c r="M61" s="330"/>
      <c r="N61" s="330"/>
      <c r="O61" s="330"/>
      <c r="P61" s="330"/>
      <c r="Q61" s="330"/>
      <c r="R61" s="330"/>
      <c r="S61" s="330"/>
      <c r="T61" s="330"/>
      <c r="U61" s="330"/>
      <c r="V61" s="330"/>
      <c r="W61" s="330"/>
      <c r="X61" s="330"/>
      <c r="Y61" s="330"/>
      <c r="Z61" s="330"/>
      <c r="AA61" s="330"/>
      <c r="AB61" s="330"/>
    </row>
    <row r="62" spans="1:28" hidden="1" x14ac:dyDescent="0.25">
      <c r="A62" s="210"/>
      <c r="C62" s="745"/>
      <c r="D62" s="747"/>
      <c r="E62" s="659"/>
      <c r="F62" s="220"/>
      <c r="G62" s="330"/>
      <c r="H62" s="330"/>
      <c r="I62" s="330"/>
      <c r="J62" s="330"/>
      <c r="K62" s="330"/>
      <c r="L62" s="330"/>
      <c r="M62" s="330"/>
      <c r="N62" s="330"/>
      <c r="O62" s="330"/>
      <c r="P62" s="330"/>
      <c r="Q62" s="330"/>
      <c r="R62" s="330"/>
      <c r="S62" s="330"/>
      <c r="T62" s="330"/>
      <c r="U62" s="330"/>
      <c r="V62" s="330"/>
      <c r="W62" s="330"/>
      <c r="X62" s="330"/>
      <c r="Y62" s="330"/>
      <c r="Z62" s="330"/>
      <c r="AA62" s="330"/>
      <c r="AB62" s="330"/>
    </row>
    <row r="63" spans="1:28" hidden="1" x14ac:dyDescent="0.25">
      <c r="A63" s="210"/>
      <c r="B63" s="801" t="s">
        <v>1621</v>
      </c>
      <c r="C63" s="745"/>
      <c r="D63" s="747">
        <f>IF(E39="mm",D39,D39*0.0254)</f>
        <v>0.20319999999999999</v>
      </c>
      <c r="E63" s="659" t="s">
        <v>34</v>
      </c>
      <c r="F63" s="220"/>
      <c r="G63" s="330"/>
      <c r="H63" s="330"/>
      <c r="I63" s="330"/>
      <c r="J63" s="330"/>
      <c r="K63" s="330"/>
      <c r="L63" s="330"/>
      <c r="M63" s="330"/>
      <c r="N63" s="330"/>
      <c r="O63" s="330"/>
      <c r="P63" s="330"/>
      <c r="Q63" s="330"/>
      <c r="R63" s="330"/>
      <c r="S63" s="330"/>
      <c r="T63" s="330"/>
      <c r="U63" s="330"/>
      <c r="V63" s="330"/>
      <c r="W63" s="330"/>
      <c r="X63" s="330"/>
      <c r="Y63" s="330"/>
      <c r="Z63" s="330"/>
      <c r="AA63" s="330"/>
      <c r="AB63" s="330"/>
    </row>
    <row r="64" spans="1:28" hidden="1" x14ac:dyDescent="0.25">
      <c r="A64" s="210"/>
      <c r="B64" s="801" t="s">
        <v>1622</v>
      </c>
      <c r="C64" s="745"/>
      <c r="D64" s="747">
        <f t="shared" ref="D64:D69" si="1">IF(E40="mm",D40,D40*0.0254)</f>
        <v>0.76200000000000001</v>
      </c>
      <c r="E64" s="659" t="s">
        <v>34</v>
      </c>
      <c r="F64" s="220"/>
      <c r="G64" s="330"/>
      <c r="H64" s="330"/>
      <c r="I64" s="330"/>
      <c r="J64" s="330"/>
      <c r="K64" s="330"/>
      <c r="L64" s="330"/>
      <c r="M64" s="330"/>
      <c r="N64" s="330"/>
      <c r="O64" s="330"/>
      <c r="P64" s="330"/>
      <c r="Q64" s="330"/>
      <c r="R64" s="330"/>
      <c r="S64" s="330"/>
      <c r="T64" s="330"/>
      <c r="U64" s="330"/>
      <c r="V64" s="330"/>
      <c r="W64" s="330"/>
      <c r="X64" s="330"/>
      <c r="Y64" s="330"/>
      <c r="Z64" s="330"/>
      <c r="AA64" s="330"/>
      <c r="AB64" s="330"/>
    </row>
    <row r="65" spans="1:28" hidden="1" x14ac:dyDescent="0.25">
      <c r="A65" s="210"/>
      <c r="B65" s="801" t="s">
        <v>1623</v>
      </c>
      <c r="C65" s="745"/>
      <c r="D65" s="747">
        <f t="shared" si="1"/>
        <v>0.20319999999999999</v>
      </c>
      <c r="E65" s="659" t="s">
        <v>34</v>
      </c>
      <c r="F65" s="220"/>
      <c r="G65" s="330"/>
      <c r="H65" s="330"/>
      <c r="I65" s="330"/>
      <c r="J65" s="330"/>
      <c r="K65" s="330"/>
      <c r="L65" s="330"/>
      <c r="M65" s="330"/>
      <c r="N65" s="330"/>
      <c r="O65" s="330"/>
      <c r="P65" s="330"/>
      <c r="Q65" s="330"/>
      <c r="R65" s="330"/>
      <c r="S65" s="330"/>
      <c r="T65" s="330"/>
      <c r="U65" s="330"/>
      <c r="V65" s="330"/>
      <c r="W65" s="330"/>
      <c r="X65" s="330"/>
      <c r="Y65" s="330"/>
      <c r="Z65" s="330"/>
      <c r="AA65" s="330"/>
      <c r="AB65" s="330"/>
    </row>
    <row r="66" spans="1:28" hidden="1" x14ac:dyDescent="0.25">
      <c r="A66" s="210"/>
      <c r="B66" s="801" t="s">
        <v>1624</v>
      </c>
      <c r="C66" s="745"/>
      <c r="D66" s="747">
        <f t="shared" si="1"/>
        <v>0.20319999999999999</v>
      </c>
      <c r="E66" s="659" t="s">
        <v>34</v>
      </c>
      <c r="F66" s="220"/>
      <c r="G66" s="330"/>
      <c r="H66" s="330"/>
      <c r="I66" s="330"/>
      <c r="J66" s="330"/>
      <c r="K66" s="330"/>
      <c r="L66" s="330"/>
      <c r="M66" s="330"/>
      <c r="N66" s="330"/>
      <c r="O66" s="330"/>
      <c r="P66" s="330"/>
      <c r="Q66" s="330"/>
      <c r="R66" s="330"/>
      <c r="S66" s="330"/>
      <c r="T66" s="330"/>
      <c r="U66" s="330"/>
      <c r="V66" s="330"/>
      <c r="W66" s="330"/>
      <c r="X66" s="330"/>
      <c r="Y66" s="330"/>
      <c r="Z66" s="330"/>
      <c r="AA66" s="330"/>
      <c r="AB66" s="330"/>
    </row>
    <row r="67" spans="1:28" hidden="1" x14ac:dyDescent="0.25">
      <c r="A67" s="210"/>
      <c r="B67" s="801" t="s">
        <v>1625</v>
      </c>
      <c r="C67" s="745"/>
      <c r="D67" s="747">
        <f t="shared" si="1"/>
        <v>0.20319999999999999</v>
      </c>
      <c r="E67" s="659" t="s">
        <v>34</v>
      </c>
      <c r="F67" s="220"/>
      <c r="G67" s="330"/>
      <c r="H67" s="330"/>
      <c r="I67" s="330"/>
      <c r="J67" s="330"/>
      <c r="K67" s="330"/>
      <c r="L67" s="330"/>
      <c r="M67" s="330"/>
      <c r="N67" s="330"/>
      <c r="O67" s="330"/>
      <c r="P67" s="330"/>
      <c r="Q67" s="330"/>
      <c r="R67" s="330"/>
      <c r="S67" s="330"/>
      <c r="T67" s="330"/>
      <c r="U67" s="330"/>
      <c r="V67" s="330"/>
      <c r="W67" s="330"/>
      <c r="X67" s="330"/>
      <c r="Y67" s="330"/>
      <c r="Z67" s="330"/>
      <c r="AA67" s="330"/>
      <c r="AB67" s="330"/>
    </row>
    <row r="68" spans="1:28" hidden="1" x14ac:dyDescent="0.25">
      <c r="A68" s="210"/>
      <c r="B68" s="801" t="s">
        <v>1626</v>
      </c>
      <c r="C68" s="745"/>
      <c r="D68" s="747">
        <f t="shared" si="1"/>
        <v>3.9999919999999994E-2</v>
      </c>
      <c r="E68" s="659" t="s">
        <v>34</v>
      </c>
      <c r="F68" s="220"/>
      <c r="G68" s="330"/>
      <c r="H68" s="330"/>
      <c r="I68" s="330"/>
      <c r="J68" s="330"/>
      <c r="K68" s="330"/>
      <c r="L68" s="330"/>
      <c r="M68" s="330"/>
      <c r="N68" s="330"/>
      <c r="O68" s="330"/>
      <c r="P68" s="330"/>
      <c r="Q68" s="330"/>
      <c r="R68" s="330"/>
      <c r="S68" s="330"/>
      <c r="T68" s="330"/>
      <c r="U68" s="330"/>
      <c r="V68" s="330"/>
      <c r="W68" s="330"/>
      <c r="X68" s="330"/>
      <c r="Y68" s="330"/>
      <c r="Z68" s="330"/>
      <c r="AA68" s="330"/>
      <c r="AB68" s="330"/>
    </row>
    <row r="69" spans="1:28" hidden="1" x14ac:dyDescent="0.25">
      <c r="A69" s="210"/>
      <c r="B69" s="801" t="s">
        <v>1627</v>
      </c>
      <c r="D69" s="747">
        <f t="shared" si="1"/>
        <v>3.9999919999999994E-2</v>
      </c>
      <c r="E69" s="659" t="s">
        <v>34</v>
      </c>
      <c r="F69" s="220"/>
      <c r="G69" s="330"/>
      <c r="H69" s="330"/>
      <c r="I69" s="330"/>
      <c r="J69" s="330"/>
      <c r="K69" s="330"/>
      <c r="L69" s="330"/>
      <c r="M69" s="330"/>
      <c r="N69" s="330"/>
      <c r="O69" s="330"/>
      <c r="P69" s="330"/>
      <c r="Q69" s="330"/>
      <c r="R69" s="330"/>
      <c r="S69" s="330"/>
      <c r="T69" s="330"/>
      <c r="U69" s="330"/>
      <c r="V69" s="330"/>
      <c r="W69" s="330"/>
      <c r="X69" s="330"/>
      <c r="Y69" s="330"/>
      <c r="Z69" s="330"/>
      <c r="AA69" s="330"/>
      <c r="AB69" s="330"/>
    </row>
    <row r="70" spans="1:28" hidden="1" x14ac:dyDescent="0.25">
      <c r="A70" s="210"/>
      <c r="B70" s="801"/>
      <c r="D70" s="747"/>
      <c r="E70" s="8"/>
      <c r="F70" s="220"/>
      <c r="G70" s="330"/>
      <c r="H70" s="330"/>
      <c r="I70" s="330"/>
      <c r="J70" s="330"/>
      <c r="K70" s="330"/>
      <c r="L70" s="330"/>
      <c r="M70" s="330"/>
      <c r="N70" s="330"/>
      <c r="O70" s="330"/>
      <c r="P70" s="330"/>
      <c r="Q70" s="330"/>
      <c r="R70" s="330"/>
      <c r="S70" s="330"/>
      <c r="T70" s="330"/>
      <c r="U70" s="330"/>
      <c r="V70" s="330"/>
      <c r="W70" s="330"/>
      <c r="X70" s="330"/>
      <c r="Y70" s="330"/>
      <c r="Z70" s="330"/>
      <c r="AA70" s="330"/>
      <c r="AB70" s="330"/>
    </row>
    <row r="71" spans="1:28" hidden="1" x14ac:dyDescent="0.25">
      <c r="A71" s="210"/>
      <c r="B71" s="801"/>
      <c r="C71" s="8"/>
      <c r="D71" s="747">
        <f>IF(E46="mm",D46,D46*0.0254)</f>
        <v>2.5399999999999999E-2</v>
      </c>
      <c r="E71" s="8"/>
      <c r="F71" s="220"/>
      <c r="G71" s="330"/>
      <c r="H71" s="330"/>
      <c r="I71" s="330"/>
      <c r="J71" s="330"/>
      <c r="K71" s="330"/>
      <c r="L71" s="330"/>
      <c r="M71" s="330"/>
      <c r="N71" s="330"/>
      <c r="O71" s="330"/>
      <c r="P71" s="330"/>
      <c r="Q71" s="330"/>
      <c r="R71" s="330"/>
      <c r="S71" s="330"/>
      <c r="T71" s="330"/>
      <c r="U71" s="330"/>
      <c r="V71" s="330"/>
      <c r="W71" s="330"/>
      <c r="X71" s="330"/>
      <c r="Y71" s="330"/>
      <c r="Z71" s="330"/>
      <c r="AA71" s="330"/>
      <c r="AB71" s="330"/>
    </row>
    <row r="72" spans="1:28" hidden="1" x14ac:dyDescent="0.25">
      <c r="A72" s="210"/>
      <c r="B72" s="8" t="s">
        <v>1222</v>
      </c>
      <c r="D72" s="682">
        <f>D24</f>
        <v>10</v>
      </c>
      <c r="E72" s="8"/>
      <c r="F72" s="220"/>
      <c r="G72" s="330"/>
      <c r="H72" s="330"/>
      <c r="I72" s="330"/>
      <c r="J72" s="330"/>
      <c r="K72" s="330"/>
      <c r="L72" s="330"/>
      <c r="M72" s="330"/>
      <c r="N72" s="330"/>
      <c r="O72" s="330"/>
      <c r="P72" s="330"/>
      <c r="Q72" s="330"/>
      <c r="R72" s="330"/>
      <c r="S72" s="330"/>
      <c r="T72" s="330"/>
      <c r="U72" s="330"/>
      <c r="V72" s="330"/>
      <c r="W72" s="330"/>
      <c r="X72" s="330"/>
      <c r="Y72" s="330"/>
      <c r="Z72" s="330"/>
      <c r="AA72" s="330"/>
      <c r="AB72" s="330"/>
    </row>
    <row r="73" spans="1:28" hidden="1" x14ac:dyDescent="0.25">
      <c r="A73" s="210"/>
      <c r="B73" s="8" t="s">
        <v>1223</v>
      </c>
      <c r="D73" s="683">
        <f>D60</f>
        <v>0.941067742518362</v>
      </c>
      <c r="E73" s="23" t="s">
        <v>96</v>
      </c>
      <c r="F73" s="220"/>
      <c r="G73" s="330"/>
      <c r="H73" s="330"/>
      <c r="I73" s="330"/>
      <c r="J73" s="330"/>
      <c r="K73" s="330"/>
      <c r="L73" s="330"/>
      <c r="M73" s="330"/>
      <c r="N73" s="330"/>
      <c r="O73" s="330"/>
      <c r="P73" s="330"/>
      <c r="Q73" s="330"/>
      <c r="R73" s="330"/>
      <c r="S73" s="330"/>
      <c r="T73" s="330"/>
      <c r="U73" s="330"/>
      <c r="V73" s="330"/>
      <c r="W73" s="330"/>
      <c r="X73" s="330"/>
      <c r="Y73" s="330"/>
      <c r="Z73" s="330"/>
      <c r="AA73" s="330"/>
      <c r="AB73" s="330"/>
    </row>
    <row r="74" spans="1:28" hidden="1" x14ac:dyDescent="0.25">
      <c r="A74" s="210"/>
      <c r="B74" s="8" t="s">
        <v>1122</v>
      </c>
      <c r="D74" s="684">
        <f>D23</f>
        <v>2</v>
      </c>
      <c r="E74" s="8"/>
      <c r="F74" s="220"/>
      <c r="G74" s="330"/>
      <c r="H74" s="330"/>
      <c r="I74" s="330"/>
      <c r="J74" s="330"/>
      <c r="K74" s="330"/>
      <c r="L74" s="330"/>
      <c r="M74" s="330"/>
      <c r="N74" s="330"/>
      <c r="O74" s="330"/>
      <c r="P74" s="330"/>
      <c r="Q74" s="330"/>
      <c r="R74" s="330"/>
      <c r="S74" s="330"/>
      <c r="T74" s="330"/>
      <c r="U74" s="330"/>
      <c r="V74" s="330"/>
      <c r="W74" s="330"/>
      <c r="X74" s="330"/>
      <c r="Y74" s="330"/>
      <c r="Z74" s="330"/>
      <c r="AA74" s="330"/>
      <c r="AB74" s="330"/>
    </row>
    <row r="75" spans="1:28" hidden="1" x14ac:dyDescent="0.25">
      <c r="A75" s="210"/>
      <c r="B75" s="8" t="s">
        <v>1224</v>
      </c>
      <c r="D75" s="700">
        <f>D208</f>
        <v>5</v>
      </c>
      <c r="E75" s="8" t="s">
        <v>34</v>
      </c>
      <c r="F75" s="220"/>
      <c r="G75" s="330"/>
      <c r="H75" s="330"/>
      <c r="I75" s="330"/>
      <c r="J75" s="330"/>
      <c r="K75" s="330"/>
      <c r="L75" s="330"/>
      <c r="M75" s="330"/>
      <c r="N75" s="330"/>
      <c r="O75" s="330"/>
      <c r="P75" s="330"/>
      <c r="Q75" s="330"/>
      <c r="R75" s="330"/>
      <c r="S75" s="330"/>
      <c r="T75" s="330"/>
      <c r="U75" s="330"/>
      <c r="V75" s="330"/>
      <c r="W75" s="330"/>
      <c r="X75" s="330"/>
      <c r="Y75" s="330"/>
      <c r="Z75" s="330"/>
      <c r="AA75" s="330"/>
      <c r="AB75" s="330"/>
    </row>
    <row r="76" spans="1:28" hidden="1" x14ac:dyDescent="0.25">
      <c r="A76" s="210"/>
      <c r="B76" s="8" t="s">
        <v>1225</v>
      </c>
      <c r="D76" s="701">
        <f>D63</f>
        <v>0.20319999999999999</v>
      </c>
      <c r="E76" s="8" t="s">
        <v>34</v>
      </c>
      <c r="F76" s="220"/>
      <c r="G76" s="330"/>
      <c r="H76" s="330"/>
      <c r="I76" s="330"/>
      <c r="J76" s="330"/>
      <c r="K76" s="330"/>
      <c r="L76" s="330"/>
      <c r="M76" s="330"/>
      <c r="N76" s="330"/>
      <c r="O76" s="330"/>
      <c r="P76" s="330"/>
      <c r="Q76" s="330"/>
      <c r="R76" s="330"/>
      <c r="S76" s="330"/>
      <c r="T76" s="330"/>
      <c r="U76" s="330"/>
      <c r="V76" s="330"/>
      <c r="W76" s="330"/>
      <c r="X76" s="330"/>
      <c r="Y76" s="330"/>
      <c r="Z76" s="330"/>
      <c r="AA76" s="330"/>
      <c r="AB76" s="330"/>
    </row>
    <row r="77" spans="1:28" hidden="1" x14ac:dyDescent="0.25">
      <c r="A77" s="210"/>
      <c r="B77" s="8" t="s">
        <v>1226</v>
      </c>
      <c r="D77" s="701">
        <f>D89</f>
        <v>3.9999919999999994E-2</v>
      </c>
      <c r="E77" s="8" t="s">
        <v>34</v>
      </c>
      <c r="F77" s="220"/>
      <c r="G77" s="330"/>
      <c r="H77" s="330"/>
      <c r="I77" s="330"/>
      <c r="J77" s="330"/>
      <c r="K77" s="330"/>
      <c r="L77" s="330"/>
      <c r="M77" s="330"/>
      <c r="N77" s="330"/>
      <c r="O77" s="330"/>
      <c r="P77" s="330"/>
      <c r="Q77" s="330"/>
      <c r="R77" s="330"/>
      <c r="S77" s="330"/>
      <c r="T77" s="330"/>
      <c r="U77" s="330"/>
      <c r="V77" s="330"/>
      <c r="W77" s="330"/>
      <c r="X77" s="330"/>
      <c r="Y77" s="330"/>
      <c r="Z77" s="330"/>
      <c r="AA77" s="330"/>
      <c r="AB77" s="330"/>
    </row>
    <row r="78" spans="1:28" hidden="1" x14ac:dyDescent="0.25">
      <c r="A78" s="210"/>
      <c r="B78" s="8" t="s">
        <v>1227</v>
      </c>
      <c r="D78" s="701">
        <f>D88</f>
        <v>0.20319999999999999</v>
      </c>
      <c r="E78" s="8" t="s">
        <v>34</v>
      </c>
      <c r="F78" s="220"/>
      <c r="G78" s="330"/>
      <c r="H78" s="330"/>
      <c r="I78" s="330"/>
      <c r="J78" s="330"/>
      <c r="K78" s="330"/>
      <c r="L78" s="330"/>
      <c r="M78" s="330"/>
      <c r="N78" s="330"/>
      <c r="O78" s="330"/>
      <c r="P78" s="330"/>
      <c r="Q78" s="330"/>
      <c r="R78" s="330"/>
      <c r="S78" s="330"/>
      <c r="T78" s="330"/>
      <c r="U78" s="330"/>
      <c r="V78" s="330"/>
      <c r="W78" s="330"/>
      <c r="X78" s="330"/>
      <c r="Y78" s="330"/>
      <c r="Z78" s="330"/>
      <c r="AA78" s="330"/>
      <c r="AB78" s="330"/>
    </row>
    <row r="79" spans="1:28" hidden="1" x14ac:dyDescent="0.25">
      <c r="A79" s="210"/>
      <c r="B79" s="8" t="s">
        <v>1228</v>
      </c>
      <c r="D79" s="701">
        <f>D87</f>
        <v>0.20319999999999999</v>
      </c>
      <c r="E79" s="8" t="s">
        <v>34</v>
      </c>
      <c r="F79" s="220"/>
      <c r="G79" s="330"/>
      <c r="H79" s="330"/>
      <c r="I79" s="330"/>
      <c r="J79" s="330"/>
      <c r="K79" s="330"/>
      <c r="L79" s="330"/>
      <c r="M79" s="330"/>
      <c r="N79" s="330"/>
      <c r="O79" s="330"/>
      <c r="P79" s="330"/>
      <c r="Q79" s="330"/>
      <c r="R79" s="330"/>
      <c r="S79" s="330"/>
      <c r="T79" s="330"/>
      <c r="U79" s="330"/>
      <c r="V79" s="330"/>
      <c r="W79" s="330"/>
      <c r="X79" s="330"/>
      <c r="Y79" s="330"/>
      <c r="Z79" s="330"/>
      <c r="AA79" s="330"/>
      <c r="AB79" s="330"/>
    </row>
    <row r="80" spans="1:28" hidden="1" x14ac:dyDescent="0.25">
      <c r="A80" s="210"/>
      <c r="B80" s="8" t="s">
        <v>1229</v>
      </c>
      <c r="D80" s="701">
        <f>D86</f>
        <v>0.20319999999999999</v>
      </c>
      <c r="E80" s="8" t="s">
        <v>34</v>
      </c>
      <c r="F80" s="220"/>
      <c r="G80" s="330"/>
      <c r="H80" s="330"/>
      <c r="I80" s="330"/>
      <c r="J80" s="330"/>
      <c r="K80" s="330"/>
      <c r="L80" s="330"/>
      <c r="M80" s="330"/>
      <c r="N80" s="330"/>
      <c r="O80" s="330"/>
      <c r="P80" s="330"/>
      <c r="Q80" s="330"/>
      <c r="R80" s="330"/>
      <c r="S80" s="330"/>
      <c r="T80" s="330"/>
      <c r="U80" s="330"/>
      <c r="V80" s="330"/>
      <c r="W80" s="330"/>
      <c r="X80" s="330"/>
      <c r="Y80" s="330"/>
      <c r="Z80" s="330"/>
      <c r="AA80" s="330"/>
      <c r="AB80" s="330"/>
    </row>
    <row r="81" spans="1:28" hidden="1" x14ac:dyDescent="0.25">
      <c r="A81" s="210"/>
      <c r="B81" s="8" t="s">
        <v>1230</v>
      </c>
      <c r="D81" s="701">
        <f>D85</f>
        <v>0.76200000000000001</v>
      </c>
      <c r="E81" s="8" t="s">
        <v>34</v>
      </c>
      <c r="F81" s="220"/>
      <c r="G81" s="330"/>
      <c r="H81" s="330"/>
      <c r="I81" s="330"/>
      <c r="J81" s="330"/>
      <c r="K81" s="330"/>
      <c r="L81" s="330"/>
      <c r="M81" s="330"/>
      <c r="N81" s="330"/>
      <c r="O81" s="330"/>
      <c r="P81" s="330"/>
      <c r="Q81" s="330"/>
      <c r="R81" s="330"/>
      <c r="S81" s="330"/>
      <c r="T81" s="330"/>
      <c r="U81" s="330"/>
      <c r="V81" s="330"/>
      <c r="W81" s="330"/>
      <c r="X81" s="330"/>
      <c r="Y81" s="330"/>
      <c r="Z81" s="330"/>
      <c r="AA81" s="330"/>
      <c r="AB81" s="330"/>
    </row>
    <row r="82" spans="1:28" hidden="1" x14ac:dyDescent="0.25">
      <c r="A82" s="210"/>
      <c r="B82" s="8" t="s">
        <v>1231</v>
      </c>
      <c r="D82" s="701">
        <f>D84</f>
        <v>0.20319999999999999</v>
      </c>
      <c r="E82" s="8" t="s">
        <v>34</v>
      </c>
      <c r="F82" s="220"/>
      <c r="G82" s="330"/>
      <c r="H82" s="330"/>
      <c r="I82" s="330"/>
      <c r="J82" s="330"/>
      <c r="K82" s="330"/>
      <c r="L82" s="330"/>
      <c r="M82" s="330"/>
      <c r="N82" s="330"/>
      <c r="O82" s="330"/>
      <c r="P82" s="330"/>
      <c r="Q82" s="330"/>
      <c r="R82" s="330"/>
      <c r="S82" s="330"/>
      <c r="T82" s="330"/>
      <c r="U82" s="330"/>
      <c r="V82" s="330"/>
      <c r="W82" s="330"/>
      <c r="X82" s="330"/>
      <c r="Y82" s="330"/>
      <c r="Z82" s="330"/>
      <c r="AA82" s="330"/>
      <c r="AB82" s="330"/>
    </row>
    <row r="83" spans="1:28" hidden="1" x14ac:dyDescent="0.25">
      <c r="A83" s="210"/>
      <c r="B83" s="8" t="s">
        <v>1232</v>
      </c>
      <c r="D83" s="702">
        <f>2*D75</f>
        <v>10</v>
      </c>
      <c r="E83" s="8" t="s">
        <v>34</v>
      </c>
      <c r="F83" s="220"/>
      <c r="G83" s="330"/>
      <c r="H83" s="330"/>
      <c r="I83" s="330"/>
      <c r="J83" s="330"/>
      <c r="K83" s="330"/>
      <c r="L83" s="330"/>
      <c r="M83" s="330"/>
      <c r="N83" s="330"/>
      <c r="O83" s="330"/>
      <c r="P83" s="330"/>
      <c r="Q83" s="330"/>
      <c r="R83" s="330"/>
      <c r="S83" s="330"/>
      <c r="T83" s="330"/>
      <c r="U83" s="330"/>
      <c r="V83" s="330"/>
      <c r="W83" s="330"/>
      <c r="X83" s="330"/>
      <c r="Y83" s="330"/>
      <c r="Z83" s="330"/>
      <c r="AA83" s="330"/>
      <c r="AB83" s="330"/>
    </row>
    <row r="84" spans="1:28" hidden="1" x14ac:dyDescent="0.25">
      <c r="A84" s="210"/>
      <c r="B84" s="8" t="s">
        <v>1233</v>
      </c>
      <c r="D84" s="683">
        <f>D63</f>
        <v>0.20319999999999999</v>
      </c>
      <c r="E84" s="8" t="s">
        <v>34</v>
      </c>
      <c r="F84" s="220"/>
      <c r="G84" s="330"/>
      <c r="H84" s="330"/>
      <c r="I84" s="330"/>
      <c r="J84" s="330"/>
      <c r="K84" s="330"/>
      <c r="L84" s="330"/>
      <c r="M84" s="330"/>
      <c r="N84" s="330"/>
      <c r="O84" s="330"/>
      <c r="P84" s="330"/>
      <c r="Q84" s="330"/>
      <c r="R84" s="330"/>
      <c r="S84" s="330"/>
      <c r="T84" s="330"/>
      <c r="U84" s="330"/>
      <c r="V84" s="330"/>
      <c r="W84" s="330"/>
      <c r="X84" s="330"/>
      <c r="Y84" s="330"/>
      <c r="Z84" s="330"/>
      <c r="AA84" s="330"/>
      <c r="AB84" s="330"/>
    </row>
    <row r="85" spans="1:28" hidden="1" x14ac:dyDescent="0.25">
      <c r="A85" s="210"/>
      <c r="B85" s="8" t="s">
        <v>1234</v>
      </c>
      <c r="D85" s="683">
        <f t="shared" ref="D85:D90" si="2">D64</f>
        <v>0.76200000000000001</v>
      </c>
      <c r="E85" s="8" t="s">
        <v>34</v>
      </c>
      <c r="F85" s="220"/>
      <c r="G85" s="330"/>
      <c r="H85" s="330"/>
      <c r="I85" s="330"/>
      <c r="J85" s="330"/>
      <c r="K85" s="330"/>
      <c r="L85" s="330"/>
      <c r="M85" s="330"/>
      <c r="N85" s="330"/>
      <c r="O85" s="330"/>
      <c r="P85" s="330"/>
      <c r="Q85" s="330"/>
      <c r="R85" s="330"/>
      <c r="S85" s="330"/>
      <c r="T85" s="330"/>
      <c r="U85" s="330"/>
      <c r="V85" s="330"/>
      <c r="W85" s="330"/>
      <c r="X85" s="330"/>
      <c r="Y85" s="330"/>
      <c r="Z85" s="330"/>
      <c r="AA85" s="330"/>
      <c r="AB85" s="330"/>
    </row>
    <row r="86" spans="1:28" hidden="1" x14ac:dyDescent="0.25">
      <c r="A86" s="210"/>
      <c r="B86" s="8" t="s">
        <v>1235</v>
      </c>
      <c r="D86" s="683">
        <f t="shared" si="2"/>
        <v>0.20319999999999999</v>
      </c>
      <c r="E86" s="8" t="s">
        <v>34</v>
      </c>
      <c r="F86" s="220"/>
      <c r="G86" s="330"/>
      <c r="H86" s="330"/>
      <c r="I86" s="330"/>
      <c r="J86" s="330"/>
      <c r="K86" s="330"/>
      <c r="L86" s="330"/>
      <c r="M86" s="330"/>
      <c r="N86" s="330"/>
      <c r="O86" s="330"/>
      <c r="P86" s="330"/>
      <c r="Q86" s="330"/>
      <c r="R86" s="330"/>
      <c r="S86" s="330"/>
      <c r="T86" s="330"/>
      <c r="U86" s="330"/>
      <c r="V86" s="330"/>
      <c r="W86" s="330"/>
      <c r="X86" s="330"/>
      <c r="Y86" s="330"/>
      <c r="Z86" s="330"/>
      <c r="AA86" s="330"/>
      <c r="AB86" s="330"/>
    </row>
    <row r="87" spans="1:28" hidden="1" x14ac:dyDescent="0.25">
      <c r="A87" s="210"/>
      <c r="B87" s="8" t="s">
        <v>1236</v>
      </c>
      <c r="D87" s="683">
        <f t="shared" si="2"/>
        <v>0.20319999999999999</v>
      </c>
      <c r="E87" s="8" t="s">
        <v>34</v>
      </c>
      <c r="F87" s="220"/>
      <c r="G87" s="330"/>
      <c r="H87" s="330"/>
      <c r="I87" s="330"/>
      <c r="J87" s="330"/>
      <c r="K87" s="330"/>
      <c r="L87" s="330"/>
      <c r="M87" s="330"/>
      <c r="N87" s="330"/>
      <c r="O87" s="330"/>
      <c r="P87" s="330"/>
      <c r="Q87" s="330"/>
      <c r="R87" s="330"/>
      <c r="S87" s="330"/>
      <c r="T87" s="330"/>
      <c r="U87" s="330"/>
      <c r="V87" s="330"/>
      <c r="W87" s="330"/>
      <c r="X87" s="330"/>
      <c r="Y87" s="330"/>
      <c r="Z87" s="330"/>
      <c r="AA87" s="330"/>
      <c r="AB87" s="330"/>
    </row>
    <row r="88" spans="1:28" hidden="1" x14ac:dyDescent="0.25">
      <c r="A88" s="210"/>
      <c r="B88" s="8" t="s">
        <v>1237</v>
      </c>
      <c r="D88" s="683">
        <f t="shared" si="2"/>
        <v>0.20319999999999999</v>
      </c>
      <c r="E88" s="8" t="s">
        <v>34</v>
      </c>
      <c r="F88" s="220"/>
      <c r="G88" s="330"/>
      <c r="H88" s="330"/>
      <c r="I88" s="330"/>
      <c r="J88" s="330"/>
      <c r="K88" s="330"/>
      <c r="L88" s="330"/>
      <c r="M88" s="330"/>
      <c r="N88" s="330"/>
      <c r="O88" s="330"/>
      <c r="P88" s="330"/>
      <c r="Q88" s="330"/>
      <c r="R88" s="330"/>
      <c r="S88" s="330"/>
      <c r="T88" s="330"/>
      <c r="U88" s="330"/>
      <c r="V88" s="330"/>
      <c r="W88" s="330"/>
      <c r="X88" s="330"/>
      <c r="Y88" s="330"/>
      <c r="Z88" s="330"/>
      <c r="AA88" s="330"/>
      <c r="AB88" s="330"/>
    </row>
    <row r="89" spans="1:28" hidden="1" x14ac:dyDescent="0.25">
      <c r="A89" s="210"/>
      <c r="B89" s="8" t="s">
        <v>1238</v>
      </c>
      <c r="D89" s="683">
        <f t="shared" si="2"/>
        <v>3.9999919999999994E-2</v>
      </c>
      <c r="E89" s="8" t="s">
        <v>34</v>
      </c>
      <c r="F89" s="220"/>
      <c r="G89" s="330"/>
      <c r="H89" s="330"/>
      <c r="I89" s="330"/>
      <c r="J89" s="330"/>
      <c r="K89" s="330"/>
      <c r="L89" s="330"/>
      <c r="M89" s="330"/>
      <c r="N89" s="330"/>
      <c r="O89" s="330"/>
      <c r="P89" s="330"/>
      <c r="Q89" s="330"/>
      <c r="R89" s="330"/>
      <c r="S89" s="330"/>
      <c r="T89" s="330"/>
      <c r="U89" s="330"/>
      <c r="V89" s="330"/>
      <c r="W89" s="330"/>
      <c r="X89" s="330"/>
      <c r="Y89" s="330"/>
      <c r="Z89" s="330"/>
      <c r="AA89" s="330"/>
      <c r="AB89" s="330"/>
    </row>
    <row r="90" spans="1:28" hidden="1" x14ac:dyDescent="0.25">
      <c r="A90" s="210"/>
      <c r="B90" s="8" t="s">
        <v>1239</v>
      </c>
      <c r="D90" s="683">
        <f t="shared" si="2"/>
        <v>3.9999919999999994E-2</v>
      </c>
      <c r="E90" s="8" t="s">
        <v>34</v>
      </c>
      <c r="F90" s="220"/>
      <c r="G90" s="330"/>
      <c r="H90" s="330"/>
      <c r="I90" s="330"/>
      <c r="J90" s="330"/>
      <c r="K90" s="330"/>
      <c r="L90" s="330"/>
      <c r="M90" s="330"/>
      <c r="N90" s="330"/>
      <c r="O90" s="330"/>
      <c r="P90" s="330"/>
      <c r="Q90" s="330"/>
      <c r="R90" s="330"/>
      <c r="S90" s="330"/>
      <c r="T90" s="330"/>
      <c r="U90" s="330"/>
      <c r="V90" s="330"/>
      <c r="W90" s="330"/>
      <c r="X90" s="330"/>
      <c r="Y90" s="330"/>
      <c r="Z90" s="330"/>
      <c r="AA90" s="330"/>
      <c r="AB90" s="330"/>
    </row>
    <row r="91" spans="1:28" hidden="1" x14ac:dyDescent="0.25">
      <c r="A91" s="210"/>
      <c r="B91" s="8" t="s">
        <v>1240</v>
      </c>
      <c r="D91" s="683">
        <f>1.5625*D72^2/(1.67*D72^2-5.84*D72+65)</f>
        <v>0.90005760368663601</v>
      </c>
      <c r="E91" s="8"/>
      <c r="F91" s="220"/>
      <c r="G91" s="330"/>
      <c r="H91" s="330"/>
      <c r="I91" s="330"/>
      <c r="J91" s="330"/>
      <c r="K91" s="330"/>
      <c r="L91" s="330"/>
      <c r="M91" s="330"/>
      <c r="N91" s="330"/>
      <c r="O91" s="330"/>
      <c r="P91" s="330"/>
      <c r="Q91" s="330"/>
      <c r="R91" s="330"/>
      <c r="S91" s="330"/>
      <c r="T91" s="330"/>
      <c r="U91" s="330"/>
      <c r="V91" s="330"/>
      <c r="W91" s="330"/>
      <c r="X91" s="330"/>
      <c r="Y91" s="330"/>
      <c r="Z91" s="330"/>
      <c r="AA91" s="330"/>
      <c r="AB91" s="330"/>
    </row>
    <row r="92" spans="1:28" hidden="1" x14ac:dyDescent="0.25">
      <c r="A92" s="210"/>
      <c r="B92" s="8" t="s">
        <v>1241</v>
      </c>
      <c r="D92" s="686">
        <f>(2*SUM(D99:D126))</f>
        <v>1.6781507887879681</v>
      </c>
      <c r="E92" s="8"/>
      <c r="F92" s="220"/>
      <c r="G92" s="330"/>
      <c r="H92" s="330"/>
      <c r="I92" s="330"/>
      <c r="J92" s="330"/>
      <c r="K92" s="330"/>
      <c r="L92" s="330"/>
      <c r="M92" s="330"/>
      <c r="N92" s="330"/>
      <c r="O92" s="330"/>
      <c r="P92" s="330"/>
      <c r="Q92" s="330"/>
      <c r="R92" s="330"/>
      <c r="S92" s="330"/>
      <c r="T92" s="330"/>
      <c r="U92" s="330"/>
      <c r="V92" s="330"/>
      <c r="W92" s="330"/>
      <c r="X92" s="330"/>
      <c r="Y92" s="330"/>
      <c r="Z92" s="330"/>
      <c r="AA92" s="330"/>
      <c r="AB92" s="330"/>
    </row>
    <row r="93" spans="1:28" hidden="1" x14ac:dyDescent="0.25">
      <c r="A93" s="210"/>
      <c r="B93" s="8" t="s">
        <v>1242</v>
      </c>
      <c r="D93" s="686">
        <f>D92*D91+D74</f>
        <v>3.5104323775813366</v>
      </c>
      <c r="E93" s="8"/>
      <c r="F93" s="220"/>
      <c r="G93" s="330"/>
      <c r="H93" s="330"/>
      <c r="I93" s="330"/>
      <c r="J93" s="330"/>
      <c r="K93" s="330"/>
      <c r="L93" s="330"/>
      <c r="M93" s="330"/>
      <c r="N93" s="330"/>
      <c r="O93" s="330"/>
      <c r="P93" s="330"/>
      <c r="Q93" s="330"/>
      <c r="R93" s="330"/>
      <c r="S93" s="330"/>
      <c r="T93" s="330"/>
      <c r="U93" s="330"/>
      <c r="V93" s="330"/>
      <c r="W93" s="330"/>
      <c r="X93" s="330"/>
      <c r="Y93" s="330"/>
      <c r="Z93" s="330"/>
      <c r="AA93" s="330"/>
      <c r="AB93" s="330"/>
    </row>
    <row r="94" spans="1:28" hidden="1" x14ac:dyDescent="0.25">
      <c r="A94" s="210"/>
      <c r="B94" s="687" t="s">
        <v>1243</v>
      </c>
      <c r="D94" s="688">
        <f>D93*D73</f>
        <v>3.3035546728338345</v>
      </c>
      <c r="E94" s="8"/>
      <c r="F94" s="220"/>
      <c r="G94" s="330"/>
      <c r="H94" s="330"/>
      <c r="I94" s="330"/>
      <c r="J94" s="330"/>
      <c r="K94" s="330"/>
      <c r="L94" s="330"/>
      <c r="M94" s="330"/>
      <c r="N94" s="330"/>
      <c r="O94" s="330"/>
      <c r="P94" s="330"/>
      <c r="Q94" s="330"/>
      <c r="R94" s="330"/>
      <c r="S94" s="330"/>
      <c r="T94" s="330"/>
      <c r="U94" s="330"/>
      <c r="V94" s="330"/>
      <c r="W94" s="330"/>
      <c r="X94" s="330"/>
      <c r="Y94" s="330"/>
      <c r="Z94" s="330"/>
      <c r="AA94" s="330"/>
      <c r="AB94" s="330"/>
    </row>
    <row r="95" spans="1:28" hidden="1" x14ac:dyDescent="0.25">
      <c r="A95" s="210"/>
      <c r="B95" s="8" t="s">
        <v>1244</v>
      </c>
      <c r="D95" s="686">
        <f>SUM(D128:D190)</f>
        <v>-2.628486844530439E-2</v>
      </c>
      <c r="E95" s="8"/>
      <c r="F95" s="220"/>
      <c r="G95" s="330"/>
      <c r="H95" s="330"/>
      <c r="I95" s="330"/>
      <c r="J95" s="330"/>
      <c r="K95" s="330"/>
      <c r="L95" s="330"/>
      <c r="M95" s="330"/>
      <c r="N95" s="330"/>
      <c r="O95" s="330"/>
      <c r="P95" s="330"/>
      <c r="Q95" s="330"/>
      <c r="R95" s="330"/>
      <c r="S95" s="330"/>
      <c r="T95" s="330"/>
      <c r="U95" s="330"/>
      <c r="V95" s="330"/>
      <c r="W95" s="330"/>
      <c r="X95" s="330"/>
      <c r="Y95" s="330"/>
      <c r="Z95" s="330"/>
      <c r="AA95" s="330"/>
      <c r="AB95" s="330"/>
    </row>
    <row r="96" spans="1:28" hidden="1" x14ac:dyDescent="0.25">
      <c r="A96" s="210"/>
      <c r="B96" s="8" t="s">
        <v>1245</v>
      </c>
      <c r="D96" s="686">
        <f>(D92+D95)*D91+D74</f>
        <v>3.4867744818752375</v>
      </c>
      <c r="E96" s="8"/>
      <c r="F96" s="220"/>
      <c r="G96" s="330"/>
      <c r="H96" s="330"/>
      <c r="I96" s="330"/>
      <c r="J96" s="330"/>
      <c r="K96" s="330"/>
      <c r="L96" s="330"/>
      <c r="M96" s="330"/>
      <c r="N96" s="330"/>
      <c r="O96" s="330"/>
      <c r="P96" s="330"/>
      <c r="Q96" s="330"/>
      <c r="R96" s="330"/>
      <c r="S96" s="330"/>
      <c r="T96" s="330"/>
      <c r="U96" s="330"/>
      <c r="V96" s="330"/>
      <c r="W96" s="330"/>
      <c r="X96" s="330"/>
      <c r="Y96" s="330"/>
      <c r="Z96" s="330"/>
      <c r="AA96" s="330"/>
      <c r="AB96" s="330"/>
    </row>
    <row r="97" spans="1:28" hidden="1" x14ac:dyDescent="0.25">
      <c r="A97" s="210"/>
      <c r="B97" s="687" t="s">
        <v>1246</v>
      </c>
      <c r="D97" s="688">
        <f>D96*D73</f>
        <v>3.2812909903289613</v>
      </c>
      <c r="E97" s="8"/>
      <c r="F97" s="220"/>
      <c r="G97" s="330"/>
      <c r="H97" s="330"/>
      <c r="I97" s="330"/>
      <c r="J97" s="330"/>
      <c r="K97" s="330"/>
      <c r="L97" s="330"/>
      <c r="M97" s="330"/>
      <c r="N97" s="330"/>
      <c r="O97" s="330"/>
      <c r="P97" s="330"/>
      <c r="Q97" s="330"/>
      <c r="R97" s="330"/>
      <c r="S97" s="330"/>
      <c r="T97" s="330"/>
      <c r="U97" s="330"/>
      <c r="V97" s="330"/>
      <c r="W97" s="330"/>
      <c r="X97" s="330"/>
      <c r="Y97" s="330"/>
      <c r="Z97" s="330"/>
      <c r="AA97" s="330"/>
      <c r="AB97" s="330"/>
    </row>
    <row r="98" spans="1:28" hidden="1" x14ac:dyDescent="0.25">
      <c r="A98" s="210"/>
      <c r="B98" s="8"/>
      <c r="D98" s="686"/>
      <c r="E98" s="8"/>
      <c r="F98" s="220"/>
      <c r="G98" s="330"/>
      <c r="H98" s="330"/>
      <c r="I98" s="330"/>
      <c r="J98" s="330"/>
      <c r="K98" s="330"/>
      <c r="L98" s="330"/>
      <c r="M98" s="330"/>
      <c r="N98" s="330"/>
      <c r="O98" s="330"/>
      <c r="P98" s="330"/>
      <c r="Q98" s="330"/>
      <c r="R98" s="330"/>
      <c r="S98" s="330"/>
      <c r="T98" s="330"/>
      <c r="U98" s="330"/>
      <c r="V98" s="330"/>
      <c r="W98" s="330"/>
      <c r="X98" s="330"/>
      <c r="Y98" s="330"/>
      <c r="Z98" s="330"/>
      <c r="AA98" s="330"/>
      <c r="AB98" s="330"/>
    </row>
    <row r="99" spans="1:28" hidden="1" x14ac:dyDescent="0.25">
      <c r="A99" s="210"/>
      <c r="B99" s="8" t="s">
        <v>1247</v>
      </c>
      <c r="D99" s="686">
        <f>IF(2&gt;D74,0,1/((0.184*ABS(SUM(D84:D84))^3-0.525*(SUM(D84:D84))^2+1.038*ABS(SUM(D84:D84))+1.001)))</f>
        <v>0.83907539439398404</v>
      </c>
      <c r="E99" s="8"/>
      <c r="F99" s="220"/>
      <c r="G99" s="330"/>
      <c r="H99" s="330"/>
      <c r="I99" s="330"/>
      <c r="J99" s="330"/>
      <c r="K99" s="330"/>
      <c r="L99" s="330"/>
      <c r="M99" s="330"/>
      <c r="N99" s="330"/>
      <c r="O99" s="330"/>
      <c r="P99" s="330"/>
      <c r="Q99" s="330"/>
      <c r="R99" s="330"/>
      <c r="S99" s="330"/>
      <c r="T99" s="330"/>
      <c r="U99" s="330"/>
      <c r="V99" s="330"/>
      <c r="W99" s="330"/>
      <c r="X99" s="330"/>
      <c r="Y99" s="330"/>
      <c r="Z99" s="330"/>
      <c r="AA99" s="330"/>
      <c r="AB99" s="330"/>
    </row>
    <row r="100" spans="1:28" hidden="1" x14ac:dyDescent="0.25">
      <c r="A100" s="210"/>
      <c r="B100" s="8" t="s">
        <v>1248</v>
      </c>
      <c r="D100" s="686">
        <f>IF(3&gt;D74,0,1/((0.184*ABS(SUM(D84:D85))^3-0.525*(SUM(D84:D85))^2+1.038*ABS(SUM(D84:D85))+1.001)))</f>
        <v>0</v>
      </c>
      <c r="E100" s="8"/>
      <c r="F100" s="220"/>
      <c r="G100" s="330"/>
      <c r="H100" s="330"/>
      <c r="I100" s="330"/>
      <c r="J100" s="330"/>
      <c r="K100" s="330"/>
      <c r="L100" s="330"/>
      <c r="M100" s="330"/>
      <c r="N100" s="330"/>
      <c r="O100" s="330"/>
      <c r="P100" s="330"/>
      <c r="Q100" s="330"/>
      <c r="R100" s="330"/>
      <c r="S100" s="330"/>
      <c r="T100" s="330"/>
      <c r="U100" s="330"/>
      <c r="V100" s="330"/>
      <c r="W100" s="330"/>
      <c r="X100" s="330"/>
      <c r="Y100" s="330"/>
      <c r="Z100" s="330"/>
      <c r="AA100" s="330"/>
      <c r="AB100" s="330"/>
    </row>
    <row r="101" spans="1:28" hidden="1" x14ac:dyDescent="0.25">
      <c r="A101" s="210"/>
      <c r="B101" s="8" t="s">
        <v>1249</v>
      </c>
      <c r="D101" s="686">
        <f>IF(4&gt;D74,0,1/((0.184*ABS(SUM(D84:D86))^3-0.525*(SUM(D84:D86))^2+1.038*ABS(SUM(D84:D86))+1.001)))</f>
        <v>0</v>
      </c>
      <c r="E101" s="8"/>
      <c r="F101" s="220"/>
      <c r="G101" s="330"/>
      <c r="H101" s="330"/>
      <c r="I101" s="330"/>
      <c r="J101" s="330"/>
      <c r="K101" s="330"/>
      <c r="L101" s="330"/>
      <c r="M101" s="330"/>
      <c r="N101" s="330"/>
      <c r="O101" s="330"/>
      <c r="P101" s="330"/>
      <c r="Q101" s="330"/>
      <c r="R101" s="330"/>
      <c r="S101" s="330"/>
      <c r="T101" s="330"/>
      <c r="U101" s="330"/>
      <c r="V101" s="330"/>
      <c r="W101" s="330"/>
      <c r="X101" s="330"/>
      <c r="Y101" s="330"/>
      <c r="Z101" s="330"/>
      <c r="AA101" s="330"/>
      <c r="AB101" s="330"/>
    </row>
    <row r="102" spans="1:28" hidden="1" x14ac:dyDescent="0.25">
      <c r="A102" s="210"/>
      <c r="B102" s="8" t="s">
        <v>1250</v>
      </c>
      <c r="D102" s="686">
        <f>IF(5&gt;D74,0,1/((0.184*ABS(SUM(D84:D87))^3-0.525*(SUM(D84:D87))^2+1.038*ABS(SUM(D84:D87))+1.001)))</f>
        <v>0</v>
      </c>
      <c r="E102" s="8"/>
      <c r="F102" s="220"/>
      <c r="G102" s="330"/>
      <c r="H102" s="330"/>
      <c r="I102" s="330"/>
      <c r="J102" s="330"/>
      <c r="K102" s="330"/>
      <c r="L102" s="330"/>
      <c r="M102" s="330"/>
      <c r="N102" s="330"/>
      <c r="O102" s="330"/>
      <c r="P102" s="330"/>
      <c r="Q102" s="330"/>
      <c r="R102" s="330"/>
      <c r="S102" s="330"/>
      <c r="T102" s="330"/>
      <c r="U102" s="330"/>
      <c r="V102" s="330"/>
      <c r="W102" s="330"/>
      <c r="X102" s="330"/>
      <c r="Y102" s="330"/>
      <c r="Z102" s="330"/>
      <c r="AA102" s="330"/>
      <c r="AB102" s="330"/>
    </row>
    <row r="103" spans="1:28" hidden="1" x14ac:dyDescent="0.25">
      <c r="A103" s="210"/>
      <c r="B103" s="8" t="s">
        <v>1251</v>
      </c>
      <c r="D103" s="686">
        <f>IF(6&gt;D74,0,1/((0.184*ABS(SUM(D84:D88))^3-0.525*(SUM(D84:D88))^2+1.038*ABS(SUM(D84:D88))+1.001)))</f>
        <v>0</v>
      </c>
      <c r="E103" s="8"/>
      <c r="F103" s="220"/>
      <c r="G103" s="330"/>
      <c r="H103" s="330"/>
      <c r="I103" s="330"/>
      <c r="J103" s="330"/>
      <c r="K103" s="330"/>
      <c r="L103" s="330"/>
      <c r="M103" s="330"/>
      <c r="N103" s="330"/>
      <c r="O103" s="330"/>
      <c r="P103" s="330"/>
      <c r="Q103" s="330"/>
      <c r="R103" s="330"/>
      <c r="S103" s="330"/>
      <c r="T103" s="330"/>
      <c r="U103" s="330"/>
      <c r="V103" s="330"/>
      <c r="W103" s="330"/>
      <c r="X103" s="330"/>
      <c r="Y103" s="330"/>
      <c r="Z103" s="330"/>
      <c r="AA103" s="330"/>
      <c r="AB103" s="330"/>
    </row>
    <row r="104" spans="1:28" hidden="1" x14ac:dyDescent="0.25">
      <c r="A104" s="210"/>
      <c r="B104" s="8" t="s">
        <v>1252</v>
      </c>
      <c r="D104" s="686">
        <f>IF(7&gt;D74,0,1/((0.184*ABS(SUM(D84:D89))^3-0.525*(SUM(D84:D89))^2+1.038*ABS(SUM(D84:D89))+1.001)))</f>
        <v>0</v>
      </c>
      <c r="E104" s="8"/>
      <c r="F104" s="220"/>
      <c r="G104" s="330"/>
      <c r="H104" s="330"/>
      <c r="I104" s="330"/>
      <c r="J104" s="330"/>
      <c r="K104" s="330"/>
      <c r="L104" s="330"/>
      <c r="M104" s="330"/>
      <c r="N104" s="330"/>
      <c r="O104" s="330"/>
      <c r="P104" s="330"/>
      <c r="Q104" s="330"/>
      <c r="R104" s="330"/>
      <c r="S104" s="330"/>
      <c r="T104" s="330"/>
      <c r="U104" s="330"/>
      <c r="V104" s="330"/>
      <c r="W104" s="330"/>
      <c r="X104" s="330"/>
      <c r="Y104" s="330"/>
      <c r="Z104" s="330"/>
      <c r="AA104" s="330"/>
      <c r="AB104" s="330"/>
    </row>
    <row r="105" spans="1:28" hidden="1" x14ac:dyDescent="0.25">
      <c r="A105" s="210"/>
      <c r="B105" s="8" t="s">
        <v>1253</v>
      </c>
      <c r="D105" s="686">
        <f>IF(8&gt;D74,0,1/((0.184*ABS(SUM(D84:D90))^3-0.525*(SUM(D84:D90))^2+1.038*ABS(SUM(D84:D90))+1.001)))</f>
        <v>0</v>
      </c>
      <c r="E105" s="8"/>
      <c r="F105" s="220"/>
      <c r="G105" s="330"/>
      <c r="H105" s="330"/>
      <c r="I105" s="330"/>
      <c r="J105" s="330"/>
      <c r="K105" s="330"/>
      <c r="L105" s="330"/>
      <c r="M105" s="330"/>
      <c r="N105" s="330"/>
      <c r="O105" s="330"/>
      <c r="P105" s="330"/>
      <c r="Q105" s="330"/>
      <c r="R105" s="330"/>
      <c r="S105" s="330"/>
      <c r="T105" s="330"/>
      <c r="U105" s="330"/>
      <c r="V105" s="330"/>
      <c r="W105" s="330"/>
      <c r="X105" s="330"/>
      <c r="Y105" s="330"/>
      <c r="Z105" s="330"/>
      <c r="AA105" s="330"/>
      <c r="AB105" s="330"/>
    </row>
    <row r="106" spans="1:28" hidden="1" x14ac:dyDescent="0.25">
      <c r="A106" s="210"/>
      <c r="B106" s="8" t="s">
        <v>1254</v>
      </c>
      <c r="D106" s="686">
        <f>IF(3&gt;D74,0,1/((0.184*ABS(SUM(D85:D85))^3-0.525*(SUM(D85:D85))^2+1.038*ABS(SUM(D85:D85))+1.001)))</f>
        <v>0</v>
      </c>
      <c r="E106" s="8"/>
      <c r="F106" s="220"/>
      <c r="G106" s="330"/>
      <c r="H106" s="330"/>
      <c r="I106" s="330"/>
      <c r="J106" s="330"/>
      <c r="K106" s="330"/>
      <c r="L106" s="330"/>
      <c r="M106" s="330"/>
      <c r="N106" s="330"/>
      <c r="O106" s="330"/>
      <c r="P106" s="330"/>
      <c r="Q106" s="330"/>
      <c r="R106" s="330"/>
      <c r="S106" s="330"/>
      <c r="T106" s="330"/>
      <c r="U106" s="330"/>
      <c r="V106" s="330"/>
      <c r="W106" s="330"/>
      <c r="X106" s="330"/>
      <c r="Y106" s="330"/>
      <c r="Z106" s="330"/>
      <c r="AA106" s="330"/>
      <c r="AB106" s="330"/>
    </row>
    <row r="107" spans="1:28" hidden="1" x14ac:dyDescent="0.25">
      <c r="A107" s="210"/>
      <c r="B107" s="8" t="s">
        <v>1255</v>
      </c>
      <c r="D107" s="686">
        <f>IF(4&gt;D74,0,1/((0.184*ABS(SUM(D85:D86))^3-0.525*(SUM(D85:D86))^2+1.038*ABS(SUM(D85:D86))+1.001)))</f>
        <v>0</v>
      </c>
      <c r="E107" s="8"/>
      <c r="F107" s="220"/>
      <c r="G107" s="330"/>
      <c r="H107" s="330"/>
      <c r="I107" s="330"/>
      <c r="J107" s="330"/>
      <c r="K107" s="330"/>
      <c r="L107" s="330"/>
      <c r="M107" s="330"/>
      <c r="N107" s="330"/>
      <c r="O107" s="330"/>
      <c r="P107" s="330"/>
      <c r="Q107" s="330"/>
      <c r="R107" s="330"/>
      <c r="S107" s="330"/>
      <c r="T107" s="330"/>
      <c r="U107" s="330"/>
      <c r="V107" s="330"/>
      <c r="W107" s="330"/>
      <c r="X107" s="330"/>
      <c r="Y107" s="330"/>
      <c r="Z107" s="330"/>
      <c r="AA107" s="330"/>
      <c r="AB107" s="330"/>
    </row>
    <row r="108" spans="1:28" hidden="1" x14ac:dyDescent="0.25">
      <c r="A108" s="210"/>
      <c r="B108" s="8" t="s">
        <v>1256</v>
      </c>
      <c r="D108" s="686">
        <f>IF(5&gt;D74,0,1/((0.184*ABS(SUM(D85:D87))^3-0.525*(SUM(D85:D87))^2+1.038*ABS(SUM(D85:D87))+1.001)))</f>
        <v>0</v>
      </c>
      <c r="E108" s="8"/>
      <c r="F108" s="220"/>
      <c r="G108" s="330"/>
      <c r="H108" s="330"/>
      <c r="I108" s="330"/>
      <c r="J108" s="330"/>
      <c r="K108" s="330"/>
      <c r="L108" s="330"/>
      <c r="M108" s="330"/>
      <c r="N108" s="330"/>
      <c r="O108" s="330"/>
      <c r="P108" s="330"/>
      <c r="Q108" s="330"/>
      <c r="R108" s="330"/>
      <c r="S108" s="330"/>
      <c r="T108" s="330"/>
      <c r="U108" s="330"/>
      <c r="V108" s="330"/>
      <c r="W108" s="330"/>
      <c r="X108" s="330"/>
      <c r="Y108" s="330"/>
      <c r="Z108" s="330"/>
      <c r="AA108" s="330"/>
      <c r="AB108" s="330"/>
    </row>
    <row r="109" spans="1:28" hidden="1" x14ac:dyDescent="0.25">
      <c r="A109" s="210"/>
      <c r="B109" s="8" t="s">
        <v>1257</v>
      </c>
      <c r="D109" s="686">
        <f>IF(6&gt;D74,0,1/((0.184*ABS(SUM(D85:D88))^3-0.525*(SUM(D85:D88))^2+1.038*ABS(SUM(D85:D88))+1.001)))</f>
        <v>0</v>
      </c>
      <c r="E109" s="8"/>
      <c r="F109" s="220"/>
      <c r="G109" s="330"/>
      <c r="H109" s="330"/>
      <c r="I109" s="330"/>
      <c r="J109" s="330"/>
      <c r="K109" s="330"/>
      <c r="L109" s="330"/>
      <c r="M109" s="330"/>
      <c r="N109" s="330"/>
      <c r="O109" s="330"/>
      <c r="P109" s="330"/>
      <c r="Q109" s="330"/>
      <c r="R109" s="330"/>
      <c r="S109" s="330"/>
      <c r="T109" s="330"/>
      <c r="U109" s="330"/>
      <c r="V109" s="330"/>
      <c r="W109" s="330"/>
      <c r="X109" s="330"/>
      <c r="Y109" s="330"/>
      <c r="Z109" s="330"/>
      <c r="AA109" s="330"/>
      <c r="AB109" s="330"/>
    </row>
    <row r="110" spans="1:28" hidden="1" x14ac:dyDescent="0.25">
      <c r="A110" s="210"/>
      <c r="B110" s="8" t="s">
        <v>1258</v>
      </c>
      <c r="D110" s="686">
        <f>IF(7&gt;D74,0,1/((0.184*ABS(SUM(D85:D89))^3-0.525*(SUM(D85:D89))^2+1.038*ABS(SUM(D85:D89))+1.001)))</f>
        <v>0</v>
      </c>
      <c r="E110" s="8"/>
      <c r="F110" s="220"/>
      <c r="G110" s="330"/>
      <c r="H110" s="330"/>
      <c r="I110" s="330"/>
      <c r="J110" s="330"/>
      <c r="K110" s="330"/>
      <c r="L110" s="330"/>
      <c r="M110" s="330"/>
      <c r="N110" s="330"/>
      <c r="O110" s="330"/>
      <c r="P110" s="330"/>
      <c r="Q110" s="330"/>
      <c r="R110" s="330"/>
      <c r="S110" s="330"/>
      <c r="T110" s="330"/>
      <c r="U110" s="330"/>
      <c r="V110" s="330"/>
      <c r="W110" s="330"/>
      <c r="X110" s="330"/>
      <c r="Y110" s="330"/>
      <c r="Z110" s="330"/>
      <c r="AA110" s="330"/>
      <c r="AB110" s="330"/>
    </row>
    <row r="111" spans="1:28" hidden="1" x14ac:dyDescent="0.25">
      <c r="A111" s="210"/>
      <c r="B111" s="8" t="s">
        <v>1259</v>
      </c>
      <c r="D111" s="686">
        <f>IF(8&gt;D74,0,1/((0.184*ABS(SUM(D85:D90))^3-0.525*(SUM(D85:D90))^2+1.038*ABS(SUM(D85:D90))+1.001)))</f>
        <v>0</v>
      </c>
      <c r="E111" s="8"/>
      <c r="F111" s="220"/>
      <c r="G111" s="330"/>
      <c r="H111" s="330"/>
      <c r="I111" s="330"/>
      <c r="J111" s="330"/>
      <c r="K111" s="330"/>
      <c r="L111" s="330"/>
      <c r="M111" s="330"/>
      <c r="N111" s="330"/>
      <c r="O111" s="330"/>
      <c r="P111" s="330"/>
      <c r="Q111" s="330"/>
      <c r="R111" s="330"/>
      <c r="S111" s="330"/>
      <c r="T111" s="330"/>
      <c r="U111" s="330"/>
      <c r="V111" s="330"/>
      <c r="W111" s="330"/>
      <c r="X111" s="330"/>
      <c r="Y111" s="330"/>
      <c r="Z111" s="330"/>
      <c r="AA111" s="330"/>
      <c r="AB111" s="330"/>
    </row>
    <row r="112" spans="1:28" hidden="1" x14ac:dyDescent="0.25">
      <c r="A112" s="210"/>
      <c r="B112" s="8" t="s">
        <v>1260</v>
      </c>
      <c r="D112" s="686">
        <f>IF(4&gt;D74,0,1/((0.184*ABS(SUM(D86:D86))^3-0.525*(SUM(D86:D86))^2+1.038*ABS(SUM(D86:D86))+1.001)))</f>
        <v>0</v>
      </c>
      <c r="E112" s="8"/>
      <c r="F112" s="220"/>
      <c r="G112" s="330"/>
      <c r="H112" s="330"/>
      <c r="I112" s="330"/>
      <c r="J112" s="330"/>
      <c r="K112" s="330"/>
      <c r="L112" s="330"/>
      <c r="M112" s="330"/>
      <c r="N112" s="330"/>
      <c r="O112" s="330"/>
      <c r="P112" s="330"/>
      <c r="Q112" s="330"/>
      <c r="R112" s="330"/>
      <c r="S112" s="330"/>
      <c r="T112" s="330"/>
      <c r="U112" s="330"/>
      <c r="V112" s="330"/>
      <c r="W112" s="330"/>
      <c r="X112" s="330"/>
      <c r="Y112" s="330"/>
      <c r="Z112" s="330"/>
      <c r="AA112" s="330"/>
      <c r="AB112" s="330"/>
    </row>
    <row r="113" spans="1:28" hidden="1" x14ac:dyDescent="0.25">
      <c r="A113" s="210"/>
      <c r="B113" s="8" t="s">
        <v>1261</v>
      </c>
      <c r="D113" s="686">
        <f>IF(5&gt;D74,0,1/((0.184*ABS(SUM(D86:D87))^3-0.525*(SUM(D86:D87))^2+1.038*ABS(SUM(D86:D87))+1.001)))</f>
        <v>0</v>
      </c>
      <c r="E113" s="8"/>
      <c r="F113" s="220"/>
      <c r="G113" s="330"/>
      <c r="H113" s="330"/>
      <c r="I113" s="330"/>
      <c r="J113" s="330"/>
      <c r="K113" s="330"/>
      <c r="L113" s="330"/>
      <c r="M113" s="330"/>
      <c r="N113" s="330"/>
      <c r="O113" s="330"/>
      <c r="P113" s="330"/>
      <c r="Q113" s="330"/>
      <c r="R113" s="330"/>
      <c r="S113" s="330"/>
      <c r="T113" s="330"/>
      <c r="U113" s="330"/>
      <c r="V113" s="330"/>
      <c r="W113" s="330"/>
      <c r="X113" s="330"/>
      <c r="Y113" s="330"/>
      <c r="Z113" s="330"/>
      <c r="AA113" s="330"/>
      <c r="AB113" s="330"/>
    </row>
    <row r="114" spans="1:28" hidden="1" x14ac:dyDescent="0.25">
      <c r="A114" s="210"/>
      <c r="B114" s="8" t="s">
        <v>1262</v>
      </c>
      <c r="D114" s="686">
        <f>IF(6&gt;D74,0,1/((0.184*ABS(SUM(D86:D88))^3-0.525*(SUM(D86:D88))^2+1.038*ABS(SUM(D86:D88))+1.001)))</f>
        <v>0</v>
      </c>
      <c r="E114" s="8"/>
      <c r="F114" s="220"/>
      <c r="G114" s="330"/>
      <c r="H114" s="330"/>
      <c r="I114" s="330"/>
      <c r="J114" s="330"/>
      <c r="K114" s="330"/>
      <c r="L114" s="330"/>
      <c r="M114" s="330"/>
      <c r="N114" s="330"/>
      <c r="O114" s="330"/>
      <c r="P114" s="330"/>
      <c r="Q114" s="330"/>
      <c r="R114" s="330"/>
      <c r="S114" s="330"/>
      <c r="T114" s="330"/>
      <c r="U114" s="330"/>
      <c r="V114" s="330"/>
      <c r="W114" s="330"/>
      <c r="X114" s="330"/>
      <c r="Y114" s="330"/>
      <c r="Z114" s="330"/>
      <c r="AA114" s="330"/>
      <c r="AB114" s="330"/>
    </row>
    <row r="115" spans="1:28" hidden="1" x14ac:dyDescent="0.25">
      <c r="A115" s="210"/>
      <c r="B115" s="8" t="s">
        <v>1263</v>
      </c>
      <c r="D115" s="686">
        <f>IF(7&gt;D74,0,1/((0.184*ABS(SUM(D86:D89))^3-0.525*(SUM(D86:D89))^2+1.038*ABS(SUM(D86:D89))+1.001)))</f>
        <v>0</v>
      </c>
      <c r="E115" s="8"/>
      <c r="F115" s="220"/>
      <c r="G115" s="330"/>
      <c r="H115" s="330"/>
      <c r="I115" s="330"/>
      <c r="J115" s="330"/>
      <c r="K115" s="330"/>
      <c r="L115" s="330"/>
      <c r="M115" s="330"/>
      <c r="N115" s="330"/>
      <c r="O115" s="330"/>
      <c r="P115" s="330"/>
      <c r="Q115" s="330"/>
      <c r="R115" s="330"/>
      <c r="S115" s="330"/>
      <c r="T115" s="330"/>
      <c r="U115" s="330"/>
      <c r="V115" s="330"/>
      <c r="W115" s="330"/>
      <c r="X115" s="330"/>
      <c r="Y115" s="330"/>
      <c r="Z115" s="330"/>
      <c r="AA115" s="330"/>
      <c r="AB115" s="330"/>
    </row>
    <row r="116" spans="1:28" hidden="1" x14ac:dyDescent="0.25">
      <c r="A116" s="210"/>
      <c r="B116" s="8" t="s">
        <v>1264</v>
      </c>
      <c r="D116" s="686">
        <f>IF(8&gt;D74,0,1/((0.184*ABS(SUM(D86:D90))^3-0.525*(SUM(D86:D90))^2+1.038*ABS(SUM(D86:D90))+1.001)))</f>
        <v>0</v>
      </c>
      <c r="E116" s="8"/>
      <c r="F116" s="220"/>
      <c r="G116" s="330"/>
      <c r="H116" s="330"/>
      <c r="I116" s="330"/>
      <c r="J116" s="330"/>
      <c r="K116" s="330"/>
      <c r="L116" s="330"/>
      <c r="M116" s="330"/>
      <c r="N116" s="330"/>
      <c r="O116" s="330"/>
      <c r="P116" s="330"/>
      <c r="Q116" s="330"/>
      <c r="R116" s="330"/>
      <c r="S116" s="330"/>
      <c r="T116" s="330"/>
      <c r="U116" s="330"/>
      <c r="V116" s="330"/>
      <c r="W116" s="330"/>
      <c r="X116" s="330"/>
      <c r="Y116" s="330"/>
      <c r="Z116" s="330"/>
      <c r="AA116" s="330"/>
      <c r="AB116" s="330"/>
    </row>
    <row r="117" spans="1:28" hidden="1" x14ac:dyDescent="0.25">
      <c r="A117" s="210"/>
      <c r="B117" s="8" t="s">
        <v>1265</v>
      </c>
      <c r="D117" s="686">
        <f>IF(5&gt;D74,0,1/((0.184*ABS(SUM(D87:D87))^3-0.525*(SUM(D87:D87))^2+1.038*ABS(SUM(D87:D87))+1.001)))</f>
        <v>0</v>
      </c>
      <c r="E117" s="8"/>
      <c r="F117" s="220"/>
      <c r="G117" s="330"/>
      <c r="H117" s="330"/>
      <c r="I117" s="330"/>
      <c r="J117" s="330"/>
      <c r="K117" s="330"/>
      <c r="L117" s="330"/>
      <c r="M117" s="330"/>
      <c r="N117" s="330"/>
      <c r="O117" s="330"/>
      <c r="P117" s="330"/>
      <c r="Q117" s="330"/>
      <c r="R117" s="330"/>
      <c r="S117" s="330"/>
      <c r="T117" s="330"/>
      <c r="U117" s="330"/>
      <c r="V117" s="330"/>
      <c r="W117" s="330"/>
      <c r="X117" s="330"/>
      <c r="Y117" s="330"/>
      <c r="Z117" s="330"/>
      <c r="AA117" s="330"/>
      <c r="AB117" s="330"/>
    </row>
    <row r="118" spans="1:28" hidden="1" x14ac:dyDescent="0.25">
      <c r="A118" s="210"/>
      <c r="B118" s="8" t="s">
        <v>1266</v>
      </c>
      <c r="D118" s="686">
        <f>IF(6&gt;D74,0,1/((0.184*ABS(SUM(D87:D88))^3-0.525*(SUM(D87:D88))^2+1.038*ABS(SUM(D87:D88))+1.001)))</f>
        <v>0</v>
      </c>
      <c r="E118" s="8"/>
      <c r="F118" s="220"/>
      <c r="G118" s="330"/>
      <c r="H118" s="330"/>
      <c r="I118" s="330"/>
      <c r="J118" s="330"/>
      <c r="K118" s="330"/>
      <c r="L118" s="330"/>
      <c r="M118" s="330"/>
      <c r="N118" s="330"/>
      <c r="O118" s="330"/>
      <c r="P118" s="330"/>
      <c r="Q118" s="330"/>
      <c r="R118" s="330"/>
      <c r="S118" s="330"/>
      <c r="T118" s="330"/>
      <c r="U118" s="330"/>
      <c r="V118" s="330"/>
      <c r="W118" s="330"/>
      <c r="X118" s="330"/>
      <c r="Y118" s="330"/>
      <c r="Z118" s="330"/>
      <c r="AA118" s="330"/>
      <c r="AB118" s="330"/>
    </row>
    <row r="119" spans="1:28" hidden="1" x14ac:dyDescent="0.25">
      <c r="A119" s="210"/>
      <c r="B119" s="8" t="s">
        <v>1267</v>
      </c>
      <c r="D119" s="686">
        <f>IF(7&gt;D74,0,1/((0.184*ABS(SUM(D87:D89))^3-0.525*(SUM(D87:D89))^2+1.038*ABS(SUM(D87:D89))+1.001)))</f>
        <v>0</v>
      </c>
      <c r="E119" s="8"/>
      <c r="F119" s="220"/>
      <c r="G119" s="330"/>
      <c r="H119" s="330"/>
      <c r="I119" s="330"/>
      <c r="J119" s="330"/>
      <c r="K119" s="330"/>
      <c r="L119" s="330"/>
      <c r="M119" s="330"/>
      <c r="N119" s="330"/>
      <c r="O119" s="330"/>
      <c r="P119" s="330"/>
      <c r="Q119" s="330"/>
      <c r="R119" s="330"/>
      <c r="S119" s="330"/>
      <c r="T119" s="330"/>
      <c r="U119" s="330"/>
      <c r="V119" s="330"/>
      <c r="W119" s="330"/>
      <c r="X119" s="330"/>
      <c r="Y119" s="330"/>
      <c r="Z119" s="330"/>
      <c r="AA119" s="330"/>
      <c r="AB119" s="330"/>
    </row>
    <row r="120" spans="1:28" hidden="1" x14ac:dyDescent="0.25">
      <c r="A120" s="210"/>
      <c r="B120" s="8" t="s">
        <v>1268</v>
      </c>
      <c r="D120" s="686">
        <f>IF(8&gt;D74,0,1/((0.184*ABS(SUM(D87:D90))^3-0.525*(SUM(D87:D90))^2+1.038*ABS(SUM(D87:D90))+1.001)))</f>
        <v>0</v>
      </c>
      <c r="E120" s="8"/>
      <c r="F120" s="220"/>
      <c r="G120" s="330"/>
      <c r="H120" s="330"/>
      <c r="I120" s="330"/>
      <c r="J120" s="330"/>
      <c r="K120" s="330"/>
      <c r="L120" s="330"/>
      <c r="M120" s="330"/>
      <c r="N120" s="330"/>
      <c r="O120" s="330"/>
      <c r="P120" s="330"/>
      <c r="Q120" s="330"/>
      <c r="R120" s="330"/>
      <c r="S120" s="330"/>
      <c r="T120" s="330"/>
      <c r="U120" s="330"/>
      <c r="V120" s="330"/>
      <c r="W120" s="330"/>
      <c r="X120" s="330"/>
      <c r="Y120" s="330"/>
      <c r="Z120" s="330"/>
      <c r="AA120" s="330"/>
      <c r="AB120" s="330"/>
    </row>
    <row r="121" spans="1:28" hidden="1" x14ac:dyDescent="0.25">
      <c r="A121" s="210"/>
      <c r="B121" s="8" t="s">
        <v>1269</v>
      </c>
      <c r="D121" s="686">
        <f>IF(6&gt;D74,0,1/((0.184*ABS(SUM(D88:D88))^3-0.525*(SUM(D88:D88))^2+1.038*ABS(SUM(D88:D88))+1.001)))</f>
        <v>0</v>
      </c>
      <c r="E121" s="8"/>
      <c r="F121" s="220"/>
      <c r="G121" s="330"/>
      <c r="H121" s="330"/>
      <c r="I121" s="330"/>
      <c r="J121" s="330"/>
      <c r="K121" s="330"/>
      <c r="L121" s="330"/>
      <c r="M121" s="330"/>
      <c r="N121" s="330"/>
      <c r="O121" s="330"/>
      <c r="P121" s="330"/>
      <c r="Q121" s="330"/>
      <c r="R121" s="330"/>
      <c r="S121" s="330"/>
      <c r="T121" s="330"/>
      <c r="U121" s="330"/>
      <c r="V121" s="330"/>
      <c r="W121" s="330"/>
      <c r="X121" s="330"/>
      <c r="Y121" s="330"/>
      <c r="Z121" s="330"/>
      <c r="AA121" s="330"/>
      <c r="AB121" s="330"/>
    </row>
    <row r="122" spans="1:28" hidden="1" x14ac:dyDescent="0.25">
      <c r="A122" s="210"/>
      <c r="B122" s="8" t="s">
        <v>1270</v>
      </c>
      <c r="D122" s="686">
        <f>IF(7&gt;D74,0,1/((0.184*ABS(SUM(D88:D89))^3-0.525*(SUM(D88:D89))^2+1.038*ABS(SUM(D88:D89))+1.001)))</f>
        <v>0</v>
      </c>
      <c r="E122" s="8"/>
      <c r="F122" s="220"/>
      <c r="G122" s="330"/>
      <c r="H122" s="330"/>
      <c r="I122" s="330"/>
      <c r="J122" s="330"/>
      <c r="K122" s="330"/>
      <c r="L122" s="330"/>
      <c r="M122" s="330"/>
      <c r="N122" s="330"/>
      <c r="O122" s="330"/>
      <c r="P122" s="330"/>
      <c r="Q122" s="330"/>
      <c r="R122" s="330"/>
      <c r="S122" s="330"/>
      <c r="T122" s="330"/>
      <c r="U122" s="330"/>
      <c r="V122" s="330"/>
      <c r="W122" s="330"/>
      <c r="X122" s="330"/>
      <c r="Y122" s="330"/>
      <c r="Z122" s="330"/>
      <c r="AA122" s="330"/>
      <c r="AB122" s="330"/>
    </row>
    <row r="123" spans="1:28" hidden="1" x14ac:dyDescent="0.25">
      <c r="A123" s="210"/>
      <c r="B123" s="8" t="s">
        <v>1271</v>
      </c>
      <c r="D123" s="686">
        <f>IF(8&gt;D74,0,1/((0.184*ABS(SUM(D88:D90))^3-0.525*(SUM(D88:D90))^2+1.038*ABS(SUM(D88:D90))+1.001)))</f>
        <v>0</v>
      </c>
      <c r="E123" s="8"/>
      <c r="F123" s="220"/>
      <c r="G123" s="330"/>
      <c r="H123" s="330"/>
      <c r="I123" s="330"/>
      <c r="J123" s="330"/>
      <c r="K123" s="330"/>
      <c r="L123" s="330"/>
      <c r="M123" s="330"/>
      <c r="N123" s="330"/>
      <c r="O123" s="330"/>
      <c r="P123" s="330"/>
      <c r="Q123" s="330"/>
      <c r="R123" s="330"/>
      <c r="S123" s="330"/>
      <c r="T123" s="330"/>
      <c r="U123" s="330"/>
      <c r="V123" s="330"/>
      <c r="W123" s="330"/>
      <c r="X123" s="330"/>
      <c r="Y123" s="330"/>
      <c r="Z123" s="330"/>
      <c r="AA123" s="330"/>
      <c r="AB123" s="330"/>
    </row>
    <row r="124" spans="1:28" hidden="1" x14ac:dyDescent="0.25">
      <c r="A124" s="210"/>
      <c r="B124" s="8" t="s">
        <v>1272</v>
      </c>
      <c r="D124" s="686">
        <f>IF(7&gt;D74,0,1/((0.184*ABS(SUM(D89:D89))^3-0.525*(SUM(D89:D89))^2+1.038*ABS(SUM(D89:D89))+1.001)))</f>
        <v>0</v>
      </c>
      <c r="E124" s="8"/>
      <c r="F124" s="220"/>
      <c r="G124" s="330"/>
      <c r="H124" s="330"/>
      <c r="I124" s="330"/>
      <c r="J124" s="330"/>
      <c r="K124" s="330"/>
      <c r="L124" s="330"/>
      <c r="M124" s="330"/>
      <c r="N124" s="330"/>
      <c r="O124" s="330"/>
      <c r="P124" s="330"/>
      <c r="Q124" s="330"/>
      <c r="R124" s="330"/>
      <c r="S124" s="330"/>
      <c r="T124" s="330"/>
      <c r="U124" s="330"/>
      <c r="V124" s="330"/>
      <c r="W124" s="330"/>
      <c r="X124" s="330"/>
      <c r="Y124" s="330"/>
      <c r="Z124" s="330"/>
      <c r="AA124" s="330"/>
      <c r="AB124" s="330"/>
    </row>
    <row r="125" spans="1:28" hidden="1" x14ac:dyDescent="0.25">
      <c r="A125" s="210"/>
      <c r="B125" s="8" t="s">
        <v>1273</v>
      </c>
      <c r="D125" s="686">
        <f>IF(8&gt;D74,0,1/((0.184*ABS(SUM(D89:D90))^3-0.525*(SUM(D89:D90))^2+1.038*ABS(SUM(D89:D90))+1.001)))</f>
        <v>0</v>
      </c>
      <c r="E125" s="8"/>
      <c r="F125" s="220"/>
      <c r="G125" s="330"/>
      <c r="H125" s="330"/>
      <c r="I125" s="330"/>
      <c r="J125" s="330"/>
      <c r="K125" s="330"/>
      <c r="L125" s="330"/>
      <c r="M125" s="330"/>
      <c r="N125" s="330"/>
      <c r="O125" s="330"/>
      <c r="P125" s="330"/>
      <c r="Q125" s="330"/>
      <c r="R125" s="330"/>
      <c r="S125" s="330"/>
      <c r="T125" s="330"/>
      <c r="U125" s="330"/>
      <c r="V125" s="330"/>
      <c r="W125" s="330"/>
      <c r="X125" s="330"/>
      <c r="Y125" s="330"/>
      <c r="Z125" s="330"/>
      <c r="AA125" s="330"/>
      <c r="AB125" s="330"/>
    </row>
    <row r="126" spans="1:28" hidden="1" x14ac:dyDescent="0.25">
      <c r="A126" s="210"/>
      <c r="B126" s="8" t="s">
        <v>1274</v>
      </c>
      <c r="D126" s="686">
        <f>IF(8&gt;D74,0,1/((0.184*ABS(SUM(D90:D90))^3-0.525*(SUM(D90:D90))^2+1.038*ABS(SUM(D90:D90))+1.001)))</f>
        <v>0</v>
      </c>
      <c r="E126" s="8"/>
      <c r="F126" s="220"/>
      <c r="G126" s="330"/>
      <c r="H126" s="330"/>
      <c r="I126" s="330"/>
      <c r="J126" s="330"/>
      <c r="K126" s="330"/>
      <c r="L126" s="330"/>
      <c r="M126" s="330"/>
      <c r="N126" s="330"/>
      <c r="O126" s="330"/>
      <c r="P126" s="330"/>
      <c r="Q126" s="330"/>
      <c r="R126" s="330"/>
      <c r="S126" s="330"/>
      <c r="T126" s="330"/>
      <c r="U126" s="330"/>
      <c r="V126" s="330"/>
      <c r="W126" s="330"/>
      <c r="X126" s="330"/>
      <c r="Y126" s="330"/>
      <c r="Z126" s="330"/>
      <c r="AA126" s="330"/>
      <c r="AB126" s="330"/>
    </row>
    <row r="127" spans="1:28" hidden="1" x14ac:dyDescent="0.25">
      <c r="A127" s="210"/>
      <c r="B127" s="8"/>
      <c r="D127" s="686"/>
      <c r="E127" s="8"/>
      <c r="F127" s="220"/>
      <c r="G127" s="330"/>
      <c r="H127" s="330"/>
      <c r="I127" s="330"/>
      <c r="J127" s="330"/>
      <c r="K127" s="330"/>
      <c r="L127" s="330"/>
      <c r="M127" s="330"/>
      <c r="N127" s="330"/>
      <c r="O127" s="330"/>
      <c r="P127" s="330"/>
      <c r="Q127" s="330"/>
      <c r="R127" s="330"/>
      <c r="S127" s="330"/>
      <c r="T127" s="330"/>
      <c r="U127" s="330"/>
      <c r="V127" s="330"/>
      <c r="W127" s="330"/>
      <c r="X127" s="330"/>
      <c r="Y127" s="330"/>
      <c r="Z127" s="330"/>
      <c r="AA127" s="330"/>
      <c r="AB127" s="330"/>
    </row>
    <row r="128" spans="1:28" hidden="1" x14ac:dyDescent="0.25">
      <c r="A128" s="210"/>
      <c r="B128" s="8" t="s">
        <v>1275</v>
      </c>
      <c r="D128" s="686">
        <f>IF(1&gt;D74,0,-1/((0.184*ABS(SUM(D83:D83))^3-0.525*(SUM(D83:D83))^2+1.038*ABS(SUM(D83:D83))+1.001)))</f>
        <v>-6.9988311951904034E-3</v>
      </c>
      <c r="E128" s="8"/>
      <c r="F128" s="220"/>
      <c r="G128" s="330"/>
      <c r="H128" s="330"/>
      <c r="I128" s="330"/>
      <c r="J128" s="330"/>
      <c r="K128" s="330"/>
      <c r="L128" s="330"/>
      <c r="M128" s="330"/>
      <c r="N128" s="330"/>
      <c r="O128" s="330"/>
      <c r="P128" s="330"/>
      <c r="Q128" s="330"/>
      <c r="R128" s="330"/>
      <c r="S128" s="330"/>
      <c r="T128" s="330"/>
      <c r="U128" s="330"/>
      <c r="V128" s="330"/>
      <c r="W128" s="330"/>
      <c r="X128" s="330"/>
      <c r="Y128" s="330"/>
      <c r="Z128" s="330"/>
      <c r="AA128" s="330"/>
      <c r="AB128" s="330"/>
    </row>
    <row r="129" spans="1:28" hidden="1" x14ac:dyDescent="0.25">
      <c r="A129" s="210"/>
      <c r="B129" s="8" t="s">
        <v>1276</v>
      </c>
      <c r="D129" s="686">
        <f>IF(2&gt;D74,0,-1/((0.184*ABS(SUM(D83:D84))^3-0.525*(SUM(D83:D84))^2+1.038*ABS(SUM(D83:D84))+1.001)))</f>
        <v>-6.5624225778348503E-3</v>
      </c>
      <c r="E129" s="8"/>
      <c r="F129" s="220"/>
      <c r="G129" s="330"/>
      <c r="H129" s="330"/>
      <c r="I129" s="330"/>
      <c r="J129" s="330"/>
      <c r="K129" s="330"/>
      <c r="L129" s="330"/>
      <c r="M129" s="330"/>
      <c r="N129" s="330"/>
      <c r="O129" s="330"/>
      <c r="P129" s="330"/>
      <c r="Q129" s="330"/>
      <c r="R129" s="330"/>
      <c r="S129" s="330"/>
      <c r="T129" s="330"/>
      <c r="U129" s="330"/>
      <c r="V129" s="330"/>
      <c r="W129" s="330"/>
      <c r="X129" s="330"/>
      <c r="Y129" s="330"/>
      <c r="Z129" s="330"/>
      <c r="AA129" s="330"/>
      <c r="AB129" s="330"/>
    </row>
    <row r="130" spans="1:28" hidden="1" x14ac:dyDescent="0.25">
      <c r="A130" s="210"/>
      <c r="B130" s="8" t="s">
        <v>1277</v>
      </c>
      <c r="D130" s="686">
        <f>IF(3&gt;D74,0,-1/((0.184*ABS(SUM(D83:D85))^3-0.525*(SUM(D83:D85))^2+1.038*ABS(SUM(D83:D85))+1.001)))</f>
        <v>0</v>
      </c>
      <c r="E130" s="8"/>
      <c r="F130" s="220"/>
      <c r="G130" s="330"/>
      <c r="H130" s="330"/>
      <c r="I130" s="330"/>
      <c r="J130" s="330"/>
      <c r="K130" s="330"/>
      <c r="L130" s="330"/>
      <c r="M130" s="330"/>
      <c r="N130" s="330"/>
      <c r="O130" s="330"/>
      <c r="P130" s="330"/>
      <c r="Q130" s="330"/>
      <c r="R130" s="330"/>
      <c r="S130" s="330"/>
      <c r="T130" s="330"/>
      <c r="U130" s="330"/>
      <c r="V130" s="330"/>
      <c r="W130" s="330"/>
      <c r="X130" s="330"/>
      <c r="Y130" s="330"/>
      <c r="Z130" s="330"/>
      <c r="AA130" s="330"/>
      <c r="AB130" s="330"/>
    </row>
    <row r="131" spans="1:28" hidden="1" x14ac:dyDescent="0.25">
      <c r="A131" s="210"/>
      <c r="B131" s="8" t="s">
        <v>1278</v>
      </c>
      <c r="D131" s="686">
        <f>IF(4&gt;D74,0,-1/((0.184*ABS(SUM(D83:D86))^3-0.525*(SUM(D83:D86))^2+1.038*ABS(SUM(D83:D86))+1.001)))</f>
        <v>0</v>
      </c>
      <c r="E131" s="8"/>
      <c r="F131" s="220"/>
      <c r="G131" s="330"/>
      <c r="H131" s="330"/>
      <c r="I131" s="330"/>
      <c r="J131" s="330"/>
      <c r="K131" s="330"/>
      <c r="L131" s="330"/>
      <c r="M131" s="330"/>
      <c r="N131" s="330"/>
      <c r="O131" s="330"/>
      <c r="P131" s="330"/>
      <c r="Q131" s="330"/>
      <c r="R131" s="330"/>
      <c r="S131" s="330"/>
      <c r="T131" s="330"/>
      <c r="U131" s="330"/>
      <c r="V131" s="330"/>
      <c r="W131" s="330"/>
      <c r="X131" s="330"/>
      <c r="Y131" s="330"/>
      <c r="Z131" s="330"/>
      <c r="AA131" s="330"/>
      <c r="AB131" s="330"/>
    </row>
    <row r="132" spans="1:28" hidden="1" x14ac:dyDescent="0.25">
      <c r="A132" s="210"/>
      <c r="B132" s="8" t="s">
        <v>1279</v>
      </c>
      <c r="D132" s="686">
        <f>IF(5&gt;D74,0,-1/((0.184*ABS(SUM(D83:D87))^3-0.525*(SUM(D83:D87))^2+1.038*ABS(SUM(D83:D87))+1.001)))</f>
        <v>0</v>
      </c>
      <c r="E132" s="8"/>
      <c r="F132" s="220"/>
      <c r="G132" s="330"/>
      <c r="H132" s="330"/>
      <c r="I132" s="330"/>
      <c r="J132" s="330"/>
      <c r="K132" s="330"/>
      <c r="L132" s="330"/>
      <c r="M132" s="330"/>
      <c r="N132" s="330"/>
      <c r="O132" s="330"/>
      <c r="P132" s="330"/>
      <c r="Q132" s="330"/>
      <c r="R132" s="330"/>
      <c r="S132" s="330"/>
      <c r="T132" s="330"/>
      <c r="U132" s="330"/>
      <c r="V132" s="330"/>
      <c r="W132" s="330"/>
      <c r="X132" s="330"/>
      <c r="Y132" s="330"/>
      <c r="Z132" s="330"/>
      <c r="AA132" s="330"/>
      <c r="AB132" s="330"/>
    </row>
    <row r="133" spans="1:28" hidden="1" x14ac:dyDescent="0.25">
      <c r="A133" s="210"/>
      <c r="B133" s="8" t="s">
        <v>1280</v>
      </c>
      <c r="D133" s="686">
        <f>IF(6&gt;D74,0,-1/((0.184*ABS(SUM(D83:D88))^3-0.525*(SUM(D83:D88))^2+1.038*ABS(SUM(D83:D88))+1.001)))</f>
        <v>0</v>
      </c>
      <c r="E133" s="8"/>
      <c r="F133" s="220"/>
      <c r="G133" s="330"/>
      <c r="H133" s="330"/>
      <c r="I133" s="330"/>
      <c r="J133" s="330"/>
      <c r="K133" s="330"/>
      <c r="L133" s="330"/>
      <c r="M133" s="330"/>
      <c r="N133" s="330"/>
      <c r="O133" s="330"/>
      <c r="P133" s="330"/>
      <c r="Q133" s="330"/>
      <c r="R133" s="330"/>
      <c r="S133" s="330"/>
      <c r="T133" s="330"/>
      <c r="U133" s="330"/>
      <c r="V133" s="330"/>
      <c r="W133" s="330"/>
      <c r="X133" s="330"/>
      <c r="Y133" s="330"/>
      <c r="Z133" s="330"/>
      <c r="AA133" s="330"/>
      <c r="AB133" s="330"/>
    </row>
    <row r="134" spans="1:28" hidden="1" x14ac:dyDescent="0.25">
      <c r="A134" s="210"/>
      <c r="B134" s="8" t="s">
        <v>1281</v>
      </c>
      <c r="D134" s="686">
        <f>IF(7&gt;D74,0,-1/((0.184*ABS(SUM(D83:D89))^3-0.525*(SUM(D83:D89))^2+1.038*ABS(SUM(D83:D89))+1.001)))</f>
        <v>0</v>
      </c>
      <c r="E134" s="8"/>
      <c r="F134" s="220"/>
      <c r="G134" s="330"/>
      <c r="H134" s="330"/>
      <c r="I134" s="330"/>
      <c r="J134" s="330"/>
      <c r="K134" s="330"/>
      <c r="L134" s="330"/>
      <c r="M134" s="330"/>
      <c r="N134" s="330"/>
      <c r="O134" s="330"/>
      <c r="P134" s="330"/>
      <c r="Q134" s="330"/>
      <c r="R134" s="330"/>
      <c r="S134" s="330"/>
      <c r="T134" s="330"/>
      <c r="U134" s="330"/>
      <c r="V134" s="330"/>
      <c r="W134" s="330"/>
      <c r="X134" s="330"/>
      <c r="Y134" s="330"/>
      <c r="Z134" s="330"/>
      <c r="AA134" s="330"/>
      <c r="AB134" s="330"/>
    </row>
    <row r="135" spans="1:28" hidden="1" x14ac:dyDescent="0.25">
      <c r="A135" s="210"/>
      <c r="B135" s="8" t="s">
        <v>1282</v>
      </c>
      <c r="D135" s="686">
        <f>IF(8&gt;D74,0,-1/((0.184*ABS(SUM(D83:D90))^3-0.525*(SUM(D83:D90))^2+1.038*ABS(SUM(D83:D90))+1.001)))</f>
        <v>0</v>
      </c>
      <c r="E135" s="8"/>
      <c r="F135" s="220"/>
      <c r="G135" s="330"/>
      <c r="H135" s="330"/>
      <c r="I135" s="330"/>
      <c r="J135" s="330"/>
      <c r="K135" s="330"/>
      <c r="L135" s="330"/>
      <c r="M135" s="330"/>
      <c r="N135" s="330"/>
      <c r="O135" s="330"/>
      <c r="P135" s="330"/>
      <c r="Q135" s="330"/>
      <c r="R135" s="330"/>
      <c r="S135" s="330"/>
      <c r="T135" s="330"/>
      <c r="U135" s="330"/>
      <c r="V135" s="330"/>
      <c r="W135" s="330"/>
      <c r="X135" s="330"/>
      <c r="Y135" s="330"/>
      <c r="Z135" s="330"/>
      <c r="AA135" s="330"/>
      <c r="AB135" s="330"/>
    </row>
    <row r="136" spans="1:28" hidden="1" x14ac:dyDescent="0.25">
      <c r="A136" s="210"/>
      <c r="B136" s="8" t="s">
        <v>1283</v>
      </c>
      <c r="D136" s="686">
        <f>IF(2&gt;D74,0,-1/((0.184*ABS(SUM(D82:D83))^3-0.525*(SUM(D82:D83))^2+1.038*ABS(SUM(D82:D83))+1.001)))</f>
        <v>-6.5624225778348503E-3</v>
      </c>
      <c r="E136" s="8"/>
      <c r="F136" s="220"/>
      <c r="G136" s="330"/>
      <c r="H136" s="330"/>
      <c r="I136" s="330"/>
      <c r="J136" s="330"/>
      <c r="K136" s="330"/>
      <c r="L136" s="330"/>
      <c r="M136" s="330"/>
      <c r="N136" s="330"/>
      <c r="O136" s="330"/>
      <c r="P136" s="330"/>
      <c r="Q136" s="330"/>
      <c r="R136" s="330"/>
      <c r="S136" s="330"/>
      <c r="T136" s="330"/>
      <c r="U136" s="330"/>
      <c r="V136" s="330"/>
      <c r="W136" s="330"/>
      <c r="X136" s="330"/>
      <c r="Y136" s="330"/>
      <c r="Z136" s="330"/>
      <c r="AA136" s="330"/>
      <c r="AB136" s="330"/>
    </row>
    <row r="137" spans="1:28" hidden="1" x14ac:dyDescent="0.25">
      <c r="A137" s="210"/>
      <c r="B137" s="8" t="s">
        <v>1284</v>
      </c>
      <c r="D137" s="686">
        <f>IF(2&gt;D74,0,-1/((0.184*ABS(SUM(D82:D84))^3-0.525*(SUM(D82:D84))^2+1.038*ABS(SUM(D82:D84))+1.001)))</f>
        <v>-6.161192094444286E-3</v>
      </c>
      <c r="E137" s="8"/>
      <c r="F137" s="220"/>
      <c r="G137" s="330"/>
      <c r="H137" s="330"/>
      <c r="I137" s="330"/>
      <c r="J137" s="330"/>
      <c r="K137" s="330"/>
      <c r="L137" s="330"/>
      <c r="M137" s="330"/>
      <c r="N137" s="330"/>
      <c r="O137" s="330"/>
      <c r="P137" s="330"/>
      <c r="Q137" s="330"/>
      <c r="R137" s="330"/>
      <c r="S137" s="330"/>
      <c r="T137" s="330"/>
      <c r="U137" s="330"/>
      <c r="V137" s="330"/>
      <c r="W137" s="330"/>
      <c r="X137" s="330"/>
      <c r="Y137" s="330"/>
      <c r="Z137" s="330"/>
      <c r="AA137" s="330"/>
      <c r="AB137" s="330"/>
    </row>
    <row r="138" spans="1:28" hidden="1" x14ac:dyDescent="0.25">
      <c r="A138" s="210"/>
      <c r="B138" s="8" t="s">
        <v>1285</v>
      </c>
      <c r="D138" s="686">
        <f>IF(3&gt;D74,0,-1/((0.184*ABS(SUM(D82:D85))^3-0.525*(SUM(D82:D85))^2+1.038*ABS(SUM(D82:D85))+1.001)))</f>
        <v>0</v>
      </c>
      <c r="E138" s="8"/>
      <c r="F138" s="220"/>
      <c r="G138" s="330"/>
      <c r="H138" s="330"/>
      <c r="I138" s="330"/>
      <c r="J138" s="330"/>
      <c r="K138" s="330"/>
      <c r="L138" s="330"/>
      <c r="M138" s="330"/>
      <c r="N138" s="330"/>
      <c r="O138" s="330"/>
      <c r="P138" s="330"/>
      <c r="Q138" s="330"/>
      <c r="R138" s="330"/>
      <c r="S138" s="330"/>
      <c r="T138" s="330"/>
      <c r="U138" s="330"/>
      <c r="V138" s="330"/>
      <c r="W138" s="330"/>
      <c r="X138" s="330"/>
      <c r="Y138" s="330"/>
      <c r="Z138" s="330"/>
      <c r="AA138" s="330"/>
      <c r="AB138" s="330"/>
    </row>
    <row r="139" spans="1:28" hidden="1" x14ac:dyDescent="0.25">
      <c r="A139" s="210"/>
      <c r="B139" s="8" t="s">
        <v>1286</v>
      </c>
      <c r="D139" s="686">
        <f>IF(4&gt;D74,0,-1/((0.184*ABS(SUM(D82:D86))^3-0.525*(SUM(D82:D86))^2+1.038*ABS(SUM(D82:D86))+1.001)))</f>
        <v>0</v>
      </c>
      <c r="E139" s="8"/>
      <c r="F139" s="220"/>
      <c r="G139" s="330"/>
      <c r="H139" s="330"/>
      <c r="I139" s="330"/>
      <c r="J139" s="330"/>
      <c r="K139" s="330"/>
      <c r="L139" s="330"/>
      <c r="M139" s="330"/>
      <c r="N139" s="330"/>
      <c r="O139" s="330"/>
      <c r="P139" s="330"/>
      <c r="Q139" s="330"/>
      <c r="R139" s="330"/>
      <c r="S139" s="330"/>
      <c r="T139" s="330"/>
      <c r="U139" s="330"/>
      <c r="V139" s="330"/>
      <c r="W139" s="330"/>
      <c r="X139" s="330"/>
      <c r="Y139" s="330"/>
      <c r="Z139" s="330"/>
      <c r="AA139" s="330"/>
      <c r="AB139" s="330"/>
    </row>
    <row r="140" spans="1:28" hidden="1" x14ac:dyDescent="0.25">
      <c r="A140" s="210"/>
      <c r="B140" s="8" t="s">
        <v>1287</v>
      </c>
      <c r="D140" s="686">
        <f>IF(5&gt;D74,0,-1/((0.184*ABS(SUM(D82:D87))^3-0.525*(SUM(D82:D87))^2+1.038*ABS(SUM(D82:D87))+1.001)))</f>
        <v>0</v>
      </c>
      <c r="E140" s="8"/>
      <c r="F140" s="220"/>
      <c r="G140" s="330"/>
      <c r="H140" s="330"/>
      <c r="I140" s="330"/>
      <c r="J140" s="330"/>
      <c r="K140" s="330"/>
      <c r="L140" s="330"/>
      <c r="M140" s="330"/>
      <c r="N140" s="330"/>
      <c r="O140" s="330"/>
      <c r="P140" s="330"/>
      <c r="Q140" s="330"/>
      <c r="R140" s="330"/>
      <c r="S140" s="330"/>
      <c r="T140" s="330"/>
      <c r="U140" s="330"/>
      <c r="V140" s="330"/>
      <c r="W140" s="330"/>
      <c r="X140" s="330"/>
      <c r="Y140" s="330"/>
      <c r="Z140" s="330"/>
      <c r="AA140" s="330"/>
      <c r="AB140" s="330"/>
    </row>
    <row r="141" spans="1:28" hidden="1" x14ac:dyDescent="0.25">
      <c r="A141" s="210"/>
      <c r="B141" s="8" t="s">
        <v>1288</v>
      </c>
      <c r="D141" s="686">
        <f>IF(6&gt;D74,0,-1/((0.184*ABS(SUM(D82:D88))^3-0.525*(SUM(D82:D88))^2+1.038*ABS(SUM(D82:D88))+1.001)))</f>
        <v>0</v>
      </c>
      <c r="E141" s="8"/>
      <c r="F141" s="220"/>
      <c r="G141" s="330"/>
      <c r="H141" s="330"/>
      <c r="I141" s="330"/>
      <c r="J141" s="330"/>
      <c r="K141" s="330"/>
      <c r="L141" s="330"/>
      <c r="M141" s="330"/>
      <c r="N141" s="330"/>
      <c r="O141" s="330"/>
      <c r="P141" s="330"/>
      <c r="Q141" s="330"/>
      <c r="R141" s="330"/>
      <c r="S141" s="330"/>
      <c r="T141" s="330"/>
      <c r="U141" s="330"/>
      <c r="V141" s="330"/>
      <c r="W141" s="330"/>
      <c r="X141" s="330"/>
      <c r="Y141" s="330"/>
      <c r="Z141" s="330"/>
      <c r="AA141" s="330"/>
      <c r="AB141" s="330"/>
    </row>
    <row r="142" spans="1:28" hidden="1" x14ac:dyDescent="0.25">
      <c r="A142" s="210"/>
      <c r="B142" s="8" t="s">
        <v>1289</v>
      </c>
      <c r="D142" s="686">
        <f>IF(7&gt;D74,0,-1/((0.184*ABS(SUM(D82:D89))^3-0.525*(SUM(D82:D89))^2+1.038*ABS(SUM(D82:D89))+1.001)))</f>
        <v>0</v>
      </c>
      <c r="E142" s="8"/>
      <c r="F142" s="220"/>
      <c r="G142" s="330"/>
      <c r="H142" s="330"/>
      <c r="I142" s="330"/>
      <c r="J142" s="330"/>
      <c r="K142" s="330"/>
      <c r="L142" s="330"/>
      <c r="M142" s="330"/>
      <c r="N142" s="330"/>
      <c r="O142" s="330"/>
      <c r="P142" s="330"/>
      <c r="Q142" s="330"/>
      <c r="R142" s="330"/>
      <c r="S142" s="330"/>
      <c r="T142" s="330"/>
      <c r="U142" s="330"/>
      <c r="V142" s="330"/>
      <c r="W142" s="330"/>
      <c r="X142" s="330"/>
      <c r="Y142" s="330"/>
      <c r="Z142" s="330"/>
      <c r="AA142" s="330"/>
      <c r="AB142" s="330"/>
    </row>
    <row r="143" spans="1:28" hidden="1" x14ac:dyDescent="0.25">
      <c r="A143" s="210"/>
      <c r="B143" s="8" t="s">
        <v>1290</v>
      </c>
      <c r="D143" s="686">
        <f>IF(8&gt;D74,0,-1/((0.184*ABS(SUM(D82:D90))^3-0.525*(SUM(D82:D90))^2+1.038*ABS(SUM(D82:D90))+1.001)))</f>
        <v>0</v>
      </c>
      <c r="E143" s="8"/>
      <c r="F143" s="220"/>
      <c r="G143" s="330"/>
      <c r="H143" s="330"/>
      <c r="I143" s="330"/>
      <c r="J143" s="330"/>
      <c r="K143" s="330"/>
      <c r="L143" s="330"/>
      <c r="M143" s="330"/>
      <c r="N143" s="330"/>
      <c r="O143" s="330"/>
      <c r="P143" s="330"/>
      <c r="Q143" s="330"/>
      <c r="R143" s="330"/>
      <c r="S143" s="330"/>
      <c r="T143" s="330"/>
      <c r="U143" s="330"/>
      <c r="V143" s="330"/>
      <c r="W143" s="330"/>
      <c r="X143" s="330"/>
      <c r="Y143" s="330"/>
      <c r="Z143" s="330"/>
      <c r="AA143" s="330"/>
      <c r="AB143" s="330"/>
    </row>
    <row r="144" spans="1:28" hidden="1" x14ac:dyDescent="0.25">
      <c r="A144" s="210"/>
      <c r="B144" s="8" t="s">
        <v>1291</v>
      </c>
      <c r="D144" s="686">
        <f>IF(3&gt;D74,0,-1/((0.184*ABS(SUM(D81:D83))^3-0.525*(SUM(D81:D83))^2+1.038*ABS(SUM(D81:D83))+1.001)))</f>
        <v>0</v>
      </c>
      <c r="E144" s="8"/>
      <c r="F144" s="220"/>
      <c r="G144" s="330"/>
      <c r="H144" s="330"/>
      <c r="I144" s="330"/>
      <c r="J144" s="330"/>
      <c r="K144" s="330"/>
      <c r="L144" s="330"/>
      <c r="M144" s="330"/>
      <c r="N144" s="330"/>
      <c r="O144" s="330"/>
      <c r="P144" s="330"/>
      <c r="Q144" s="330"/>
      <c r="R144" s="330"/>
      <c r="S144" s="330"/>
      <c r="T144" s="330"/>
      <c r="U144" s="330"/>
      <c r="V144" s="330"/>
      <c r="W144" s="330"/>
      <c r="X144" s="330"/>
      <c r="Y144" s="330"/>
      <c r="Z144" s="330"/>
      <c r="AA144" s="330"/>
      <c r="AB144" s="330"/>
    </row>
    <row r="145" spans="1:28" hidden="1" x14ac:dyDescent="0.25">
      <c r="A145" s="210"/>
      <c r="B145" s="8" t="s">
        <v>1292</v>
      </c>
      <c r="D145" s="686">
        <f>IF(3&gt;D74,0,-1/((0.184*ABS(SUM(D81:D84))^3-0.525*(SUM(D81:D84))^2+1.038*ABS(SUM(D81:D84))+1.001)))</f>
        <v>0</v>
      </c>
      <c r="E145" s="8"/>
      <c r="F145" s="220"/>
      <c r="G145" s="330"/>
      <c r="H145" s="330"/>
      <c r="I145" s="330"/>
      <c r="J145" s="330"/>
      <c r="K145" s="330"/>
      <c r="L145" s="330"/>
      <c r="M145" s="330"/>
      <c r="N145" s="330"/>
      <c r="O145" s="330"/>
      <c r="P145" s="330"/>
      <c r="Q145" s="330"/>
      <c r="R145" s="330"/>
      <c r="S145" s="330"/>
      <c r="T145" s="330"/>
      <c r="U145" s="330"/>
      <c r="V145" s="330"/>
      <c r="W145" s="330"/>
      <c r="X145" s="330"/>
      <c r="Y145" s="330"/>
      <c r="Z145" s="330"/>
      <c r="AA145" s="330"/>
      <c r="AB145" s="330"/>
    </row>
    <row r="146" spans="1:28" hidden="1" x14ac:dyDescent="0.25">
      <c r="A146" s="210"/>
      <c r="B146" s="8" t="s">
        <v>1293</v>
      </c>
      <c r="D146" s="686">
        <f>IF(3&gt;D74,0,-1/((0.184*ABS(SUM(D81:D85))^3-0.525*(SUM(D81:D85))^2+1.038*ABS(SUM(D81:D85))+1.001)))</f>
        <v>0</v>
      </c>
      <c r="E146" s="8"/>
      <c r="F146" s="220"/>
      <c r="G146" s="330"/>
      <c r="H146" s="330"/>
      <c r="I146" s="330"/>
      <c r="J146" s="330"/>
      <c r="K146" s="330"/>
      <c r="L146" s="330"/>
      <c r="M146" s="330"/>
      <c r="N146" s="330"/>
      <c r="O146" s="330"/>
      <c r="P146" s="330"/>
      <c r="Q146" s="330"/>
      <c r="R146" s="330"/>
      <c r="S146" s="330"/>
      <c r="T146" s="330"/>
      <c r="U146" s="330"/>
      <c r="V146" s="330"/>
      <c r="W146" s="330"/>
      <c r="X146" s="330"/>
      <c r="Y146" s="330"/>
      <c r="Z146" s="330"/>
      <c r="AA146" s="330"/>
      <c r="AB146" s="330"/>
    </row>
    <row r="147" spans="1:28" hidden="1" x14ac:dyDescent="0.25">
      <c r="A147" s="210"/>
      <c r="B147" s="8" t="s">
        <v>1294</v>
      </c>
      <c r="D147" s="686">
        <f>IF(4&gt;D74,0,-1/((0.184*ABS(SUM(D81:D86))^3-0.525*(SUM(D81:D86))^2+1.038*ABS(SUM(D81:D86))+1.001)))</f>
        <v>0</v>
      </c>
      <c r="E147" s="8"/>
      <c r="F147" s="220"/>
      <c r="G147" s="330"/>
      <c r="H147" s="330"/>
      <c r="I147" s="330"/>
      <c r="J147" s="330"/>
      <c r="K147" s="330"/>
      <c r="L147" s="330"/>
      <c r="M147" s="330"/>
      <c r="N147" s="330"/>
      <c r="O147" s="330"/>
      <c r="P147" s="330"/>
      <c r="Q147" s="330"/>
      <c r="R147" s="330"/>
      <c r="S147" s="330"/>
      <c r="T147" s="330"/>
      <c r="U147" s="330"/>
      <c r="V147" s="330"/>
      <c r="W147" s="330"/>
      <c r="X147" s="330"/>
      <c r="Y147" s="330"/>
      <c r="Z147" s="330"/>
      <c r="AA147" s="330"/>
      <c r="AB147" s="330"/>
    </row>
    <row r="148" spans="1:28" hidden="1" x14ac:dyDescent="0.25">
      <c r="A148" s="210"/>
      <c r="B148" s="8" t="s">
        <v>1295</v>
      </c>
      <c r="D148" s="686">
        <f>IF(5&gt;D74,0,-1/((0.184*ABS(SUM(D81:D87))^3-0.525*(SUM(D81:D87))^2+1.038*ABS(SUM(D81:D87))+1.001)))</f>
        <v>0</v>
      </c>
      <c r="E148" s="8"/>
      <c r="F148" s="220"/>
      <c r="G148" s="330"/>
      <c r="H148" s="330"/>
      <c r="I148" s="330"/>
      <c r="J148" s="330"/>
      <c r="K148" s="330"/>
      <c r="L148" s="330"/>
      <c r="M148" s="330"/>
      <c r="N148" s="330"/>
      <c r="O148" s="330"/>
      <c r="P148" s="330"/>
      <c r="Q148" s="330"/>
      <c r="R148" s="330"/>
      <c r="S148" s="330"/>
      <c r="T148" s="330"/>
      <c r="U148" s="330"/>
      <c r="V148" s="330"/>
      <c r="W148" s="330"/>
      <c r="X148" s="330"/>
      <c r="Y148" s="330"/>
      <c r="Z148" s="330"/>
      <c r="AA148" s="330"/>
      <c r="AB148" s="330"/>
    </row>
    <row r="149" spans="1:28" hidden="1" x14ac:dyDescent="0.25">
      <c r="A149" s="210"/>
      <c r="B149" s="8" t="s">
        <v>1296</v>
      </c>
      <c r="D149" s="686">
        <f>IF(6&gt;D74,0,-1/((0.184*ABS(SUM(D81:D88))^3-0.525*(SUM(D81:D88))^2+1.038*ABS(SUM(D81:D88))+1.001)))</f>
        <v>0</v>
      </c>
      <c r="E149" s="8"/>
      <c r="F149" s="220"/>
      <c r="G149" s="330"/>
      <c r="H149" s="330"/>
      <c r="I149" s="330"/>
      <c r="J149" s="330"/>
      <c r="K149" s="330"/>
      <c r="L149" s="330"/>
      <c r="M149" s="330"/>
      <c r="N149" s="330"/>
      <c r="O149" s="330"/>
      <c r="P149" s="330"/>
      <c r="Q149" s="330"/>
      <c r="R149" s="330"/>
      <c r="S149" s="330"/>
      <c r="T149" s="330"/>
      <c r="U149" s="330"/>
      <c r="V149" s="330"/>
      <c r="W149" s="330"/>
      <c r="X149" s="330"/>
      <c r="Y149" s="330"/>
      <c r="Z149" s="330"/>
      <c r="AA149" s="330"/>
      <c r="AB149" s="330"/>
    </row>
    <row r="150" spans="1:28" hidden="1" x14ac:dyDescent="0.25">
      <c r="A150" s="210"/>
      <c r="B150" s="8" t="s">
        <v>1297</v>
      </c>
      <c r="D150" s="686">
        <f>IF(7&gt;D74,0,-1/((0.184*ABS(SUM(D81:D89))^3-0.525*(SUM(D81:D89))^2+1.038*ABS(SUM(D81:D89))+1.001)))</f>
        <v>0</v>
      </c>
      <c r="E150" s="8"/>
      <c r="F150" s="220"/>
      <c r="G150" s="330"/>
      <c r="H150" s="330"/>
      <c r="I150" s="330"/>
      <c r="J150" s="330"/>
      <c r="K150" s="330"/>
      <c r="L150" s="330"/>
      <c r="M150" s="330"/>
      <c r="N150" s="330"/>
      <c r="O150" s="330"/>
      <c r="P150" s="330"/>
      <c r="Q150" s="330"/>
      <c r="R150" s="330"/>
      <c r="S150" s="330"/>
      <c r="T150" s="330"/>
      <c r="U150" s="330"/>
      <c r="V150" s="330"/>
      <c r="W150" s="330"/>
      <c r="X150" s="330"/>
      <c r="Y150" s="330"/>
      <c r="Z150" s="330"/>
      <c r="AA150" s="330"/>
      <c r="AB150" s="330"/>
    </row>
    <row r="151" spans="1:28" hidden="1" x14ac:dyDescent="0.25">
      <c r="A151" s="210"/>
      <c r="B151" s="8" t="s">
        <v>1298</v>
      </c>
      <c r="D151" s="686">
        <f>IF(8&gt;D74,0,-1/((0.184*ABS(SUM(D81:D90))^3-0.525*(SUM(D81:D90))^2+1.038*ABS(SUM(D81:D90))+1.001)))</f>
        <v>0</v>
      </c>
      <c r="E151" s="8"/>
      <c r="F151" s="220"/>
      <c r="G151" s="330"/>
      <c r="H151" s="330"/>
      <c r="I151" s="330"/>
      <c r="J151" s="330"/>
      <c r="K151" s="330"/>
      <c r="L151" s="330"/>
      <c r="M151" s="330"/>
      <c r="N151" s="330"/>
      <c r="O151" s="330"/>
      <c r="P151" s="330"/>
      <c r="Q151" s="330"/>
      <c r="R151" s="330"/>
      <c r="S151" s="330"/>
      <c r="T151" s="330"/>
      <c r="U151" s="330"/>
      <c r="V151" s="330"/>
      <c r="W151" s="330"/>
      <c r="X151" s="330"/>
      <c r="Y151" s="330"/>
      <c r="Z151" s="330"/>
      <c r="AA151" s="330"/>
      <c r="AB151" s="330"/>
    </row>
    <row r="152" spans="1:28" hidden="1" x14ac:dyDescent="0.25">
      <c r="A152" s="210"/>
      <c r="B152" s="8" t="s">
        <v>1299</v>
      </c>
      <c r="D152" s="686">
        <f>IF(4&gt;D74,0,-1/((0.184*ABS(SUM(D80:D83))^3-0.525*(SUM(D80:D83))^2+1.038*ABS(SUM(D80:D83))+1.001)))</f>
        <v>0</v>
      </c>
      <c r="E152" s="8"/>
      <c r="F152" s="220"/>
      <c r="G152" s="330"/>
      <c r="H152" s="330"/>
      <c r="I152" s="330"/>
      <c r="J152" s="330"/>
      <c r="K152" s="330"/>
      <c r="L152" s="330"/>
      <c r="M152" s="330"/>
      <c r="N152" s="330"/>
      <c r="O152" s="330"/>
      <c r="P152" s="330"/>
      <c r="Q152" s="330"/>
      <c r="R152" s="330"/>
      <c r="S152" s="330"/>
      <c r="T152" s="330"/>
      <c r="U152" s="330"/>
      <c r="V152" s="330"/>
      <c r="W152" s="330"/>
      <c r="X152" s="330"/>
      <c r="Y152" s="330"/>
      <c r="Z152" s="330"/>
      <c r="AA152" s="330"/>
      <c r="AB152" s="330"/>
    </row>
    <row r="153" spans="1:28" hidden="1" x14ac:dyDescent="0.25">
      <c r="A153" s="210"/>
      <c r="B153" s="8" t="s">
        <v>1300</v>
      </c>
      <c r="D153" s="686">
        <f>IF(4&gt;D74,0,-1/((0.184*ABS(SUM(D80:D84))^3-0.525*(SUM(D80:D84))^2+1.038*ABS(SUM(D80:D84))+1.001)))</f>
        <v>0</v>
      </c>
      <c r="E153" s="8"/>
      <c r="F153" s="220"/>
      <c r="G153" s="330"/>
      <c r="H153" s="330"/>
      <c r="I153" s="330"/>
      <c r="J153" s="330"/>
      <c r="K153" s="330"/>
      <c r="L153" s="330"/>
      <c r="M153" s="330"/>
      <c r="N153" s="330"/>
      <c r="O153" s="330"/>
      <c r="P153" s="330"/>
      <c r="Q153" s="330"/>
      <c r="R153" s="330"/>
      <c r="S153" s="330"/>
      <c r="T153" s="330"/>
      <c r="U153" s="330"/>
      <c r="V153" s="330"/>
      <c r="W153" s="330"/>
      <c r="X153" s="330"/>
      <c r="Y153" s="330"/>
      <c r="Z153" s="330"/>
      <c r="AA153" s="330"/>
      <c r="AB153" s="330"/>
    </row>
    <row r="154" spans="1:28" hidden="1" x14ac:dyDescent="0.25">
      <c r="A154" s="210"/>
      <c r="B154" s="8" t="s">
        <v>1301</v>
      </c>
      <c r="D154" s="686">
        <f>IF(4&gt;D74,0,-1/((0.184*ABS(SUM(D80:D85))^3-0.525*(SUM(D80:D85))^2+1.038*ABS(SUM(D80:D85))+1.001)))</f>
        <v>0</v>
      </c>
      <c r="E154" s="8"/>
      <c r="F154" s="220"/>
      <c r="G154" s="330"/>
      <c r="H154" s="330"/>
      <c r="I154" s="330"/>
      <c r="J154" s="330"/>
      <c r="K154" s="330"/>
      <c r="L154" s="330"/>
      <c r="M154" s="330"/>
      <c r="N154" s="330"/>
      <c r="O154" s="330"/>
      <c r="P154" s="330"/>
      <c r="Q154" s="330"/>
      <c r="R154" s="330"/>
      <c r="S154" s="330"/>
      <c r="T154" s="330"/>
      <c r="U154" s="330"/>
      <c r="V154" s="330"/>
      <c r="W154" s="330"/>
      <c r="X154" s="330"/>
      <c r="Y154" s="330"/>
      <c r="Z154" s="330"/>
      <c r="AA154" s="330"/>
      <c r="AB154" s="330"/>
    </row>
    <row r="155" spans="1:28" hidden="1" x14ac:dyDescent="0.25">
      <c r="A155" s="210"/>
      <c r="B155" s="8" t="s">
        <v>1302</v>
      </c>
      <c r="D155" s="686">
        <f>IF(4&gt;D74,0,-1/((0.184*ABS(SUM(D80:D86))^3-0.525*(SUM(D80:D86))^2+1.038*ABS(SUM(D80:D86))+1.001)))</f>
        <v>0</v>
      </c>
      <c r="E155" s="8"/>
      <c r="F155" s="220"/>
      <c r="G155" s="330"/>
      <c r="H155" s="330"/>
      <c r="I155" s="330"/>
      <c r="J155" s="330"/>
      <c r="K155" s="330"/>
      <c r="L155" s="330"/>
      <c r="M155" s="330"/>
      <c r="N155" s="330"/>
      <c r="O155" s="330"/>
      <c r="P155" s="330"/>
      <c r="Q155" s="330"/>
      <c r="R155" s="330"/>
      <c r="S155" s="330"/>
      <c r="T155" s="330"/>
      <c r="U155" s="330"/>
      <c r="V155" s="330"/>
      <c r="W155" s="330"/>
      <c r="X155" s="330"/>
      <c r="Y155" s="330"/>
      <c r="Z155" s="330"/>
      <c r="AA155" s="330"/>
      <c r="AB155" s="330"/>
    </row>
    <row r="156" spans="1:28" hidden="1" x14ac:dyDescent="0.25">
      <c r="A156" s="210"/>
      <c r="B156" s="8" t="s">
        <v>1303</v>
      </c>
      <c r="D156" s="686">
        <f>IF(5&gt;D74,0,-1/((0.184*ABS(SUM(D80:D87))^3-0.525*(SUM(D80:D87))^2+1.038*ABS(SUM(D80:D87))+1.001)))</f>
        <v>0</v>
      </c>
      <c r="E156" s="8"/>
      <c r="F156" s="220"/>
      <c r="G156" s="330"/>
      <c r="H156" s="330"/>
      <c r="I156" s="330"/>
      <c r="J156" s="330"/>
      <c r="K156" s="330"/>
      <c r="L156" s="330"/>
      <c r="M156" s="330"/>
      <c r="N156" s="330"/>
      <c r="O156" s="330"/>
      <c r="P156" s="330"/>
      <c r="Q156" s="330"/>
      <c r="R156" s="330"/>
      <c r="S156" s="330"/>
      <c r="T156" s="330"/>
      <c r="U156" s="330"/>
      <c r="V156" s="330"/>
      <c r="W156" s="330"/>
      <c r="X156" s="330"/>
      <c r="Y156" s="330"/>
      <c r="Z156" s="330"/>
      <c r="AA156" s="330"/>
      <c r="AB156" s="330"/>
    </row>
    <row r="157" spans="1:28" hidden="1" x14ac:dyDescent="0.25">
      <c r="A157" s="210"/>
      <c r="B157" s="8" t="s">
        <v>1304</v>
      </c>
      <c r="D157" s="686">
        <f>IF(6&gt;D74,0,-1/((0.184*ABS(SUM(D80:D88))^3-0.525*(SUM(D80:D88))^2+1.038*ABS(SUM(D80:D88))+1.001)))</f>
        <v>0</v>
      </c>
      <c r="E157" s="8"/>
      <c r="F157" s="220"/>
      <c r="G157" s="330"/>
      <c r="H157" s="330"/>
      <c r="I157" s="330"/>
      <c r="J157" s="330"/>
      <c r="K157" s="330"/>
      <c r="L157" s="330"/>
      <c r="M157" s="330"/>
      <c r="N157" s="330"/>
      <c r="O157" s="330"/>
      <c r="P157" s="330"/>
      <c r="Q157" s="330"/>
      <c r="R157" s="330"/>
      <c r="S157" s="330"/>
      <c r="T157" s="330"/>
      <c r="U157" s="330"/>
      <c r="V157" s="330"/>
      <c r="W157" s="330"/>
      <c r="X157" s="330"/>
      <c r="Y157" s="330"/>
      <c r="Z157" s="330"/>
      <c r="AA157" s="330"/>
      <c r="AB157" s="330"/>
    </row>
    <row r="158" spans="1:28" hidden="1" x14ac:dyDescent="0.25">
      <c r="A158" s="210"/>
      <c r="B158" s="8" t="s">
        <v>1305</v>
      </c>
      <c r="D158" s="686">
        <f>IF(7&gt;D74,0,-1/((0.184*ABS(SUM(D80:D89))^3-0.525*(SUM(D80:D89))^2+1.038*ABS(SUM(D80:D89))+1.001)))</f>
        <v>0</v>
      </c>
      <c r="E158" s="8"/>
      <c r="F158" s="220"/>
      <c r="G158" s="330"/>
      <c r="H158" s="330"/>
      <c r="I158" s="330"/>
      <c r="J158" s="330"/>
      <c r="K158" s="330"/>
      <c r="L158" s="330"/>
      <c r="M158" s="330"/>
      <c r="N158" s="330"/>
      <c r="O158" s="330"/>
      <c r="P158" s="330"/>
      <c r="Q158" s="330"/>
      <c r="R158" s="330"/>
      <c r="S158" s="330"/>
      <c r="T158" s="330"/>
      <c r="U158" s="330"/>
      <c r="V158" s="330"/>
      <c r="W158" s="330"/>
      <c r="X158" s="330"/>
      <c r="Y158" s="330"/>
      <c r="Z158" s="330"/>
      <c r="AA158" s="330"/>
      <c r="AB158" s="330"/>
    </row>
    <row r="159" spans="1:28" hidden="1" x14ac:dyDescent="0.25">
      <c r="A159" s="210"/>
      <c r="B159" s="8" t="s">
        <v>1306</v>
      </c>
      <c r="D159" s="686">
        <f>IF(8&gt;D74,0,-1/((0.184*ABS(SUM(D80:D90))^3-0.525*(SUM(D80:D90))^2+1.038*ABS(SUM(D80:D90))+1.001)))</f>
        <v>0</v>
      </c>
      <c r="E159" s="8"/>
      <c r="F159" s="220"/>
      <c r="G159" s="330"/>
      <c r="H159" s="330"/>
      <c r="I159" s="330"/>
      <c r="J159" s="330"/>
      <c r="K159" s="330"/>
      <c r="L159" s="330"/>
      <c r="M159" s="330"/>
      <c r="N159" s="330"/>
      <c r="O159" s="330"/>
      <c r="P159" s="330"/>
      <c r="Q159" s="330"/>
      <c r="R159" s="330"/>
      <c r="S159" s="330"/>
      <c r="T159" s="330"/>
      <c r="U159" s="330"/>
      <c r="V159" s="330"/>
      <c r="W159" s="330"/>
      <c r="X159" s="330"/>
      <c r="Y159" s="330"/>
      <c r="Z159" s="330"/>
      <c r="AA159" s="330"/>
      <c r="AB159" s="330"/>
    </row>
    <row r="160" spans="1:28" hidden="1" x14ac:dyDescent="0.25">
      <c r="A160" s="210"/>
      <c r="B160" s="8" t="s">
        <v>1307</v>
      </c>
      <c r="D160" s="686">
        <f>IF(5&gt;D74,0,-1/((0.184*ABS(SUM(D79:D83))^3-0.525*(SUM(D79:D83))^2+1.038*ABS(SUM(D79:D83))+1.001)))</f>
        <v>0</v>
      </c>
      <c r="E160" s="8"/>
      <c r="F160" s="220"/>
      <c r="G160" s="330"/>
      <c r="H160" s="330"/>
      <c r="I160" s="330"/>
      <c r="J160" s="330"/>
      <c r="K160" s="330"/>
      <c r="L160" s="330"/>
      <c r="M160" s="330"/>
      <c r="N160" s="330"/>
      <c r="O160" s="330"/>
      <c r="P160" s="330"/>
      <c r="Q160" s="330"/>
      <c r="R160" s="330"/>
      <c r="S160" s="330"/>
      <c r="T160" s="330"/>
      <c r="U160" s="330"/>
      <c r="V160" s="330"/>
      <c r="W160" s="330"/>
      <c r="X160" s="330"/>
      <c r="Y160" s="330"/>
      <c r="Z160" s="330"/>
      <c r="AA160" s="330"/>
      <c r="AB160" s="330"/>
    </row>
    <row r="161" spans="1:28" hidden="1" x14ac:dyDescent="0.25">
      <c r="A161" s="210"/>
      <c r="B161" s="8" t="s">
        <v>1308</v>
      </c>
      <c r="D161" s="686">
        <f>IF(5&gt;D74,0,-1/((0.184*ABS(SUM(D79:D84))^3-0.525*(SUM(D79:D84))^2+1.038*ABS(SUM(D79:D84))+1.001)))</f>
        <v>0</v>
      </c>
      <c r="E161" s="8"/>
      <c r="F161" s="220"/>
      <c r="G161" s="330"/>
      <c r="H161" s="330"/>
      <c r="I161" s="330"/>
      <c r="J161" s="330"/>
      <c r="K161" s="330"/>
      <c r="L161" s="330"/>
      <c r="M161" s="330"/>
      <c r="N161" s="330"/>
      <c r="O161" s="330"/>
      <c r="P161" s="330"/>
      <c r="Q161" s="330"/>
      <c r="R161" s="330"/>
      <c r="S161" s="330"/>
      <c r="T161" s="330"/>
      <c r="U161" s="330"/>
      <c r="V161" s="330"/>
      <c r="W161" s="330"/>
      <c r="X161" s="330"/>
      <c r="Y161" s="330"/>
      <c r="Z161" s="330"/>
      <c r="AA161" s="330"/>
      <c r="AB161" s="330"/>
    </row>
    <row r="162" spans="1:28" hidden="1" x14ac:dyDescent="0.25">
      <c r="A162" s="210"/>
      <c r="B162" s="8" t="s">
        <v>1309</v>
      </c>
      <c r="D162" s="686">
        <f>IF(5&gt;D74,0,-1/((0.184*ABS(SUM(D79:D85))^3-0.525*(SUM(D79:D85))^2+1.038*ABS(SUM(D79:D85))+1.001)))</f>
        <v>0</v>
      </c>
      <c r="E162" s="8"/>
      <c r="F162" s="220"/>
      <c r="G162" s="330"/>
      <c r="H162" s="330"/>
      <c r="I162" s="330"/>
      <c r="J162" s="330"/>
      <c r="K162" s="330"/>
      <c r="L162" s="330"/>
      <c r="M162" s="330"/>
      <c r="N162" s="330"/>
      <c r="O162" s="330"/>
      <c r="P162" s="330"/>
      <c r="Q162" s="330"/>
      <c r="R162" s="330"/>
      <c r="S162" s="330"/>
      <c r="T162" s="330"/>
      <c r="U162" s="330"/>
      <c r="V162" s="330"/>
      <c r="W162" s="330"/>
      <c r="X162" s="330"/>
      <c r="Y162" s="330"/>
      <c r="Z162" s="330"/>
      <c r="AA162" s="330"/>
      <c r="AB162" s="330"/>
    </row>
    <row r="163" spans="1:28" hidden="1" x14ac:dyDescent="0.25">
      <c r="A163" s="210"/>
      <c r="B163" s="8" t="s">
        <v>1310</v>
      </c>
      <c r="D163" s="685">
        <f>IF(5&gt;D74,0,-1/((0.184*ABS(SUM(D79:D86))^3-0.525*(SUM(D79:D86))^2+1.038*ABS(SUM(D79:D86))+1.001)))</f>
        <v>0</v>
      </c>
      <c r="E163" s="8"/>
      <c r="F163" s="220"/>
      <c r="G163" s="330"/>
      <c r="H163" s="330"/>
      <c r="I163" s="330"/>
      <c r="J163" s="330"/>
      <c r="K163" s="330"/>
      <c r="L163" s="330"/>
      <c r="M163" s="330"/>
      <c r="N163" s="330"/>
      <c r="O163" s="330"/>
      <c r="P163" s="330"/>
      <c r="Q163" s="330"/>
      <c r="R163" s="330"/>
      <c r="S163" s="330"/>
      <c r="T163" s="330"/>
      <c r="U163" s="330"/>
      <c r="V163" s="330"/>
      <c r="W163" s="330"/>
      <c r="X163" s="330"/>
      <c r="Y163" s="330"/>
      <c r="Z163" s="330"/>
      <c r="AA163" s="330"/>
      <c r="AB163" s="330"/>
    </row>
    <row r="164" spans="1:28" hidden="1" x14ac:dyDescent="0.25">
      <c r="A164" s="210"/>
      <c r="B164" s="8" t="s">
        <v>1311</v>
      </c>
      <c r="D164" s="685">
        <f>IF(5&gt;D74,0,-1/((0.184*ABS(SUM(D79:D87))^3-0.525*(SUM(D79:D87))^2+1.038*ABS(SUM(D79:D87))+1.001)))</f>
        <v>0</v>
      </c>
      <c r="E164" s="8"/>
      <c r="F164" s="220"/>
      <c r="G164" s="330"/>
      <c r="H164" s="330"/>
      <c r="I164" s="330"/>
      <c r="J164" s="330"/>
      <c r="K164" s="330"/>
      <c r="L164" s="330"/>
      <c r="M164" s="330"/>
      <c r="N164" s="330"/>
      <c r="O164" s="330"/>
      <c r="P164" s="330"/>
      <c r="Q164" s="330"/>
      <c r="R164" s="330"/>
      <c r="S164" s="330"/>
      <c r="T164" s="330"/>
      <c r="U164" s="330"/>
      <c r="V164" s="330"/>
      <c r="W164" s="330"/>
      <c r="X164" s="330"/>
      <c r="Y164" s="330"/>
      <c r="Z164" s="330"/>
      <c r="AA164" s="330"/>
      <c r="AB164" s="330"/>
    </row>
    <row r="165" spans="1:28" hidden="1" x14ac:dyDescent="0.25">
      <c r="A165" s="210"/>
      <c r="B165" s="8" t="s">
        <v>1312</v>
      </c>
      <c r="D165" s="685">
        <f>IF(6&gt;D74,0,-1/((0.184*ABS(SUM(D79:D88))^3-0.525*(SUM(D79:D88))^2+1.038*ABS(SUM(D79:D88))+1.001)))</f>
        <v>0</v>
      </c>
      <c r="E165" s="8"/>
      <c r="F165" s="220"/>
      <c r="G165" s="330"/>
      <c r="H165" s="330"/>
      <c r="I165" s="330"/>
      <c r="J165" s="330"/>
      <c r="K165" s="330"/>
      <c r="L165" s="330"/>
      <c r="M165" s="330"/>
      <c r="N165" s="330"/>
      <c r="O165" s="330"/>
      <c r="P165" s="330"/>
      <c r="Q165" s="330"/>
      <c r="R165" s="330"/>
      <c r="S165" s="330"/>
      <c r="T165" s="330"/>
      <c r="U165" s="330"/>
      <c r="V165" s="330"/>
      <c r="W165" s="330"/>
      <c r="X165" s="330"/>
      <c r="Y165" s="330"/>
      <c r="Z165" s="330"/>
      <c r="AA165" s="330"/>
      <c r="AB165" s="330"/>
    </row>
    <row r="166" spans="1:28" hidden="1" x14ac:dyDescent="0.25">
      <c r="A166" s="210"/>
      <c r="B166" s="8" t="s">
        <v>1313</v>
      </c>
      <c r="D166" s="685">
        <f>IF(7&gt;D74,0,-1/((0.184*ABS(SUM(D79:D89))^3-0.525*(SUM(D79:D89))^2+1.038*ABS(SUM(D79:D89))+1.001)))</f>
        <v>0</v>
      </c>
      <c r="E166" s="8"/>
      <c r="F166" s="220"/>
      <c r="G166" s="330"/>
      <c r="H166" s="330"/>
      <c r="I166" s="330"/>
      <c r="J166" s="330"/>
      <c r="K166" s="330"/>
      <c r="L166" s="330"/>
      <c r="M166" s="330"/>
      <c r="N166" s="330"/>
      <c r="O166" s="330"/>
      <c r="P166" s="330"/>
      <c r="Q166" s="330"/>
      <c r="R166" s="330"/>
      <c r="S166" s="330"/>
      <c r="T166" s="330"/>
      <c r="U166" s="330"/>
      <c r="V166" s="330"/>
      <c r="W166" s="330"/>
      <c r="X166" s="330"/>
      <c r="Y166" s="330"/>
      <c r="Z166" s="330"/>
      <c r="AA166" s="330"/>
      <c r="AB166" s="330"/>
    </row>
    <row r="167" spans="1:28" hidden="1" x14ac:dyDescent="0.25">
      <c r="A167" s="210"/>
      <c r="B167" s="8" t="s">
        <v>1314</v>
      </c>
      <c r="D167" s="685">
        <f>IF(8&gt;D74,0,-1/((0.184*ABS(SUM(D79:D90))^3-0.525*(SUM(D79:D90))^2+1.038*ABS(SUM(D79:D90))+1.001)))</f>
        <v>0</v>
      </c>
      <c r="E167" s="8"/>
      <c r="F167" s="220"/>
      <c r="G167" s="330"/>
      <c r="H167" s="330"/>
      <c r="I167" s="330"/>
      <c r="J167" s="330"/>
      <c r="K167" s="330"/>
      <c r="L167" s="330"/>
      <c r="M167" s="330"/>
      <c r="N167" s="330"/>
      <c r="O167" s="330"/>
      <c r="P167" s="330"/>
      <c r="Q167" s="330"/>
      <c r="R167" s="330"/>
      <c r="S167" s="330"/>
      <c r="T167" s="330"/>
      <c r="U167" s="330"/>
      <c r="V167" s="330"/>
      <c r="W167" s="330"/>
      <c r="X167" s="330"/>
      <c r="Y167" s="330"/>
      <c r="Z167" s="330"/>
      <c r="AA167" s="330"/>
      <c r="AB167" s="330"/>
    </row>
    <row r="168" spans="1:28" hidden="1" x14ac:dyDescent="0.25">
      <c r="A168" s="210"/>
      <c r="B168" s="8" t="s">
        <v>1315</v>
      </c>
      <c r="D168" s="685">
        <f>IF(6&gt;D74,0,-1/((0.184*ABS(SUM(D78:D83))^3-0.525*(SUM(D78:D83))^2+1.038*ABS(SUM(D78:D83))+1.001)))</f>
        <v>0</v>
      </c>
      <c r="E168" s="8"/>
      <c r="F168" s="220"/>
      <c r="G168" s="330"/>
      <c r="H168" s="330"/>
      <c r="I168" s="330"/>
      <c r="J168" s="330"/>
      <c r="K168" s="330"/>
      <c r="L168" s="330"/>
      <c r="M168" s="330"/>
      <c r="N168" s="330"/>
      <c r="O168" s="330"/>
      <c r="P168" s="330"/>
      <c r="Q168" s="330"/>
      <c r="R168" s="330"/>
      <c r="S168" s="330"/>
      <c r="T168" s="330"/>
      <c r="U168" s="330"/>
      <c r="V168" s="330"/>
      <c r="W168" s="330"/>
      <c r="X168" s="330"/>
      <c r="Y168" s="330"/>
      <c r="Z168" s="330"/>
      <c r="AA168" s="330"/>
      <c r="AB168" s="330"/>
    </row>
    <row r="169" spans="1:28" hidden="1" x14ac:dyDescent="0.25">
      <c r="A169" s="210"/>
      <c r="B169" s="8" t="s">
        <v>1316</v>
      </c>
      <c r="D169" s="685">
        <f>IF(6&gt;D74,0,-1/((0.184*ABS(SUM(D78:D84))^3-0.525*(SUM(D78:D84))^2+1.038*ABS(SUM(D78:D84))+1.001)))</f>
        <v>0</v>
      </c>
      <c r="E169" s="8"/>
      <c r="F169" s="220"/>
      <c r="G169" s="330"/>
      <c r="H169" s="330"/>
      <c r="I169" s="330"/>
      <c r="J169" s="330"/>
      <c r="K169" s="330"/>
      <c r="L169" s="330"/>
      <c r="M169" s="330"/>
      <c r="N169" s="330"/>
      <c r="O169" s="330"/>
      <c r="P169" s="330"/>
      <c r="Q169" s="330"/>
      <c r="R169" s="330"/>
      <c r="S169" s="330"/>
      <c r="T169" s="330"/>
      <c r="U169" s="330"/>
      <c r="V169" s="330"/>
      <c r="W169" s="330"/>
      <c r="X169" s="330"/>
      <c r="Y169" s="330"/>
      <c r="Z169" s="330"/>
      <c r="AA169" s="330"/>
      <c r="AB169" s="330"/>
    </row>
    <row r="170" spans="1:28" hidden="1" x14ac:dyDescent="0.25">
      <c r="A170" s="210"/>
      <c r="B170" s="8" t="s">
        <v>1317</v>
      </c>
      <c r="D170" s="685">
        <f>IF(6&gt;D74,0,-1/((0.184*ABS(SUM(D78:D85))^3-0.525*(SUM(D78:D85))^2+1.038*ABS(SUM(D78:D85))+1.001)))</f>
        <v>0</v>
      </c>
      <c r="E170" s="8"/>
      <c r="F170" s="220"/>
      <c r="G170" s="330"/>
      <c r="H170" s="330"/>
      <c r="I170" s="330"/>
      <c r="J170" s="330"/>
      <c r="K170" s="330"/>
      <c r="L170" s="330"/>
      <c r="M170" s="330"/>
      <c r="N170" s="330"/>
      <c r="O170" s="330"/>
      <c r="P170" s="330"/>
      <c r="Q170" s="330"/>
      <c r="R170" s="330"/>
      <c r="S170" s="330"/>
      <c r="T170" s="330"/>
      <c r="U170" s="330"/>
      <c r="V170" s="330"/>
      <c r="W170" s="330"/>
      <c r="X170" s="330"/>
      <c r="Y170" s="330"/>
      <c r="Z170" s="330"/>
      <c r="AA170" s="330"/>
      <c r="AB170" s="330"/>
    </row>
    <row r="171" spans="1:28" hidden="1" x14ac:dyDescent="0.25">
      <c r="A171" s="210"/>
      <c r="B171" s="8" t="s">
        <v>1318</v>
      </c>
      <c r="D171" s="685">
        <f>IF(6&gt;D74,0,-1/((0.184*ABS(SUM(D78:D86))^3-0.525*(SUM(D78:D86))^2+1.038*ABS(SUM(D78:D86))+1.001)))</f>
        <v>0</v>
      </c>
      <c r="E171" s="8"/>
      <c r="F171" s="220"/>
      <c r="G171" s="330"/>
      <c r="H171" s="330"/>
      <c r="I171" s="330"/>
      <c r="J171" s="330"/>
      <c r="K171" s="330"/>
      <c r="L171" s="330"/>
      <c r="M171" s="330"/>
      <c r="N171" s="330"/>
      <c r="O171" s="330"/>
      <c r="P171" s="330"/>
      <c r="Q171" s="330"/>
      <c r="R171" s="330"/>
      <c r="S171" s="330"/>
      <c r="T171" s="330"/>
      <c r="U171" s="330"/>
      <c r="V171" s="330"/>
      <c r="W171" s="330"/>
      <c r="X171" s="330"/>
      <c r="Y171" s="330"/>
      <c r="Z171" s="330"/>
      <c r="AA171" s="330"/>
      <c r="AB171" s="330"/>
    </row>
    <row r="172" spans="1:28" hidden="1" x14ac:dyDescent="0.25">
      <c r="A172" s="210"/>
      <c r="B172" s="8" t="s">
        <v>1319</v>
      </c>
      <c r="D172" s="685">
        <f>IF(6&gt;D74,0,-1/((0.184*ABS(SUM(D78:D87))^3-0.525*(SUM(D78:D87))^2+1.038*ABS(SUM(D78:D87))+1.001)))</f>
        <v>0</v>
      </c>
      <c r="E172" s="8"/>
      <c r="F172" s="220"/>
      <c r="G172" s="330"/>
      <c r="H172" s="330"/>
      <c r="I172" s="330"/>
      <c r="J172" s="330"/>
      <c r="K172" s="330"/>
      <c r="L172" s="330"/>
      <c r="M172" s="330"/>
      <c r="N172" s="330"/>
      <c r="O172" s="330"/>
      <c r="P172" s="330"/>
      <c r="Q172" s="330"/>
      <c r="R172" s="330"/>
      <c r="S172" s="330"/>
      <c r="T172" s="330"/>
      <c r="U172" s="330"/>
      <c r="V172" s="330"/>
      <c r="W172" s="330"/>
      <c r="X172" s="330"/>
      <c r="Y172" s="330"/>
      <c r="Z172" s="330"/>
      <c r="AA172" s="330"/>
      <c r="AB172" s="330"/>
    </row>
    <row r="173" spans="1:28" hidden="1" x14ac:dyDescent="0.25">
      <c r="A173" s="210"/>
      <c r="B173" s="8" t="s">
        <v>1320</v>
      </c>
      <c r="D173" s="685">
        <f>IF(6&gt;D74,0,-1/((0.184*ABS(SUM(D78:D88))^3-0.525*(SUM(D78:D88))^2+1.038*ABS(SUM(D78:D88))+1.001)))</f>
        <v>0</v>
      </c>
      <c r="E173" s="8"/>
      <c r="F173" s="220"/>
      <c r="G173" s="330"/>
      <c r="H173" s="330"/>
      <c r="I173" s="330"/>
      <c r="J173" s="330"/>
      <c r="K173" s="330"/>
      <c r="L173" s="330"/>
      <c r="M173" s="330"/>
      <c r="N173" s="330"/>
      <c r="O173" s="330"/>
      <c r="P173" s="330"/>
      <c r="Q173" s="330"/>
      <c r="R173" s="330"/>
      <c r="S173" s="330"/>
      <c r="T173" s="330"/>
      <c r="U173" s="330"/>
      <c r="V173" s="330"/>
      <c r="W173" s="330"/>
      <c r="X173" s="330"/>
      <c r="Y173" s="330"/>
      <c r="Z173" s="330"/>
      <c r="AA173" s="330"/>
      <c r="AB173" s="330"/>
    </row>
    <row r="174" spans="1:28" hidden="1" x14ac:dyDescent="0.25">
      <c r="A174" s="210"/>
      <c r="B174" s="8" t="s">
        <v>1321</v>
      </c>
      <c r="D174" s="685">
        <f>IF(7&gt;D74,0,-1/((0.184*ABS(SUM(D78:D89))^3-0.525*(SUM(D78:D89))^2+1.038*ABS(SUM(D78:D89))+1.001)))</f>
        <v>0</v>
      </c>
      <c r="E174" s="8"/>
      <c r="F174" s="220"/>
      <c r="G174" s="330"/>
      <c r="H174" s="330"/>
      <c r="I174" s="330"/>
      <c r="J174" s="330"/>
      <c r="K174" s="330"/>
      <c r="L174" s="330"/>
      <c r="M174" s="330"/>
      <c r="N174" s="330"/>
      <c r="O174" s="330"/>
      <c r="P174" s="330"/>
      <c r="Q174" s="330"/>
      <c r="R174" s="330"/>
      <c r="S174" s="330"/>
      <c r="T174" s="330"/>
      <c r="U174" s="330"/>
      <c r="V174" s="330"/>
      <c r="W174" s="330"/>
      <c r="X174" s="330"/>
      <c r="Y174" s="330"/>
      <c r="Z174" s="330"/>
      <c r="AA174" s="330"/>
      <c r="AB174" s="330"/>
    </row>
    <row r="175" spans="1:28" hidden="1" x14ac:dyDescent="0.25">
      <c r="A175" s="210"/>
      <c r="B175" s="8" t="s">
        <v>1322</v>
      </c>
      <c r="D175" s="685">
        <f>IF(8&gt;D74,0,-1/((0.184*ABS(SUM(D78:D90))^3-0.525*(SUM(D78:D90))^2+1.038*ABS(SUM(D78:D90))+1.001)))</f>
        <v>0</v>
      </c>
      <c r="E175" s="8"/>
      <c r="F175" s="220"/>
      <c r="G175" s="330"/>
      <c r="H175" s="330"/>
      <c r="I175" s="330"/>
      <c r="J175" s="330"/>
      <c r="K175" s="330"/>
      <c r="L175" s="330"/>
      <c r="M175" s="330"/>
      <c r="N175" s="330"/>
      <c r="O175" s="330"/>
      <c r="P175" s="330"/>
      <c r="Q175" s="330"/>
      <c r="R175" s="330"/>
      <c r="S175" s="330"/>
      <c r="T175" s="330"/>
      <c r="U175" s="330"/>
      <c r="V175" s="330"/>
      <c r="W175" s="330"/>
      <c r="X175" s="330"/>
      <c r="Y175" s="330"/>
      <c r="Z175" s="330"/>
      <c r="AA175" s="330"/>
      <c r="AB175" s="330"/>
    </row>
    <row r="176" spans="1:28" hidden="1" x14ac:dyDescent="0.25">
      <c r="A176" s="210"/>
      <c r="B176" s="8" t="s">
        <v>1323</v>
      </c>
      <c r="D176" s="685">
        <f>IF(7&gt;D74,0,-1/((0.184*ABS(SUM(D77:D83))^3-0.525*(SUM(D77:D83))^2+1.038*ABS(SUM(D77:D83))+1.001)))</f>
        <v>0</v>
      </c>
      <c r="E176" s="8"/>
      <c r="F176" s="220"/>
      <c r="G176" s="330"/>
      <c r="H176" s="330"/>
      <c r="I176" s="330"/>
      <c r="J176" s="330"/>
      <c r="K176" s="330"/>
      <c r="L176" s="330"/>
      <c r="M176" s="330"/>
      <c r="N176" s="330"/>
      <c r="O176" s="330"/>
      <c r="P176" s="330"/>
      <c r="Q176" s="330"/>
      <c r="R176" s="330"/>
      <c r="S176" s="330"/>
      <c r="T176" s="330"/>
      <c r="U176" s="330"/>
      <c r="V176" s="330"/>
      <c r="W176" s="330"/>
      <c r="X176" s="330"/>
      <c r="Y176" s="330"/>
      <c r="Z176" s="330"/>
      <c r="AA176" s="330"/>
      <c r="AB176" s="330"/>
    </row>
    <row r="177" spans="1:28" hidden="1" x14ac:dyDescent="0.25">
      <c r="A177" s="210"/>
      <c r="B177" s="8" t="s">
        <v>1324</v>
      </c>
      <c r="D177" s="685">
        <f>IF(7&gt;D74,0,-1/((0.184*ABS(SUM(D77:D84))^3-0.525*(SUM(D77:D84))^2+1.038*ABS(SUM(D77:D84))+1.001)))</f>
        <v>0</v>
      </c>
      <c r="E177" s="8"/>
      <c r="F177" s="220"/>
      <c r="G177" s="330"/>
      <c r="H177" s="330"/>
      <c r="I177" s="330"/>
      <c r="J177" s="330"/>
      <c r="K177" s="330"/>
      <c r="L177" s="330"/>
      <c r="M177" s="330"/>
      <c r="N177" s="330"/>
      <c r="O177" s="330"/>
      <c r="P177" s="330"/>
      <c r="Q177" s="330"/>
      <c r="R177" s="330"/>
      <c r="S177" s="330"/>
      <c r="T177" s="330"/>
      <c r="U177" s="330"/>
      <c r="V177" s="330"/>
      <c r="W177" s="330"/>
      <c r="X177" s="330"/>
      <c r="Y177" s="330"/>
      <c r="Z177" s="330"/>
      <c r="AA177" s="330"/>
      <c r="AB177" s="330"/>
    </row>
    <row r="178" spans="1:28" hidden="1" x14ac:dyDescent="0.25">
      <c r="A178" s="210"/>
      <c r="B178" s="8" t="s">
        <v>1325</v>
      </c>
      <c r="D178" s="685">
        <f>IF(7&gt;D74,0,-1/((0.184*ABS(SUM(D77:D85))^3-0.525*(SUM(D77:D85))^2+1.038*ABS(SUM(D77:D85))+1.001)))</f>
        <v>0</v>
      </c>
      <c r="E178" s="8"/>
      <c r="F178" s="220"/>
      <c r="G178" s="330"/>
      <c r="H178" s="330"/>
      <c r="I178" s="330"/>
      <c r="J178" s="330"/>
      <c r="K178" s="330"/>
      <c r="L178" s="330"/>
      <c r="M178" s="330"/>
      <c r="N178" s="330"/>
      <c r="O178" s="330"/>
      <c r="P178" s="330"/>
      <c r="Q178" s="330"/>
      <c r="R178" s="330"/>
      <c r="S178" s="330"/>
      <c r="T178" s="330"/>
      <c r="U178" s="330"/>
      <c r="V178" s="330"/>
      <c r="W178" s="330"/>
      <c r="X178" s="330"/>
      <c r="Y178" s="330"/>
      <c r="Z178" s="330"/>
      <c r="AA178" s="330"/>
      <c r="AB178" s="330"/>
    </row>
    <row r="179" spans="1:28" hidden="1" x14ac:dyDescent="0.25">
      <c r="A179" s="210"/>
      <c r="B179" s="8" t="s">
        <v>1326</v>
      </c>
      <c r="D179" s="685">
        <f>IF(7&gt;D74,0,-1/((0.184*ABS(SUM(D77:D86))^3-0.525*(SUM(D77:D86))^2+1.038*ABS(SUM(D77:D86))+1.001)))</f>
        <v>0</v>
      </c>
      <c r="E179" s="8"/>
      <c r="F179" s="220"/>
      <c r="G179" s="330"/>
      <c r="H179" s="330"/>
      <c r="I179" s="330"/>
      <c r="J179" s="330"/>
      <c r="K179" s="330"/>
      <c r="L179" s="330"/>
      <c r="M179" s="330"/>
      <c r="N179" s="330"/>
      <c r="O179" s="330"/>
      <c r="P179" s="330"/>
      <c r="Q179" s="330"/>
      <c r="R179" s="330"/>
      <c r="S179" s="330"/>
      <c r="T179" s="330"/>
      <c r="U179" s="330"/>
      <c r="V179" s="330"/>
      <c r="W179" s="330"/>
      <c r="X179" s="330"/>
      <c r="Y179" s="330"/>
      <c r="Z179" s="330"/>
      <c r="AA179" s="330"/>
      <c r="AB179" s="330"/>
    </row>
    <row r="180" spans="1:28" hidden="1" x14ac:dyDescent="0.25">
      <c r="A180" s="210"/>
      <c r="B180" s="8" t="s">
        <v>1327</v>
      </c>
      <c r="D180" s="685">
        <f>IF(7&gt;D74,0,-1/((0.184*ABS(SUM(D77:D87))^3-0.525*(SUM(D77:D87))^2+1.038*ABS(SUM(D77:D87))+1.001)))</f>
        <v>0</v>
      </c>
      <c r="E180" s="8"/>
      <c r="F180" s="220"/>
      <c r="G180" s="330"/>
      <c r="H180" s="330"/>
      <c r="I180" s="330"/>
      <c r="J180" s="330"/>
      <c r="K180" s="330"/>
      <c r="L180" s="330"/>
      <c r="M180" s="330"/>
      <c r="N180" s="330"/>
      <c r="O180" s="330"/>
      <c r="P180" s="330"/>
      <c r="Q180" s="330"/>
      <c r="R180" s="330"/>
      <c r="S180" s="330"/>
      <c r="T180" s="330"/>
      <c r="U180" s="330"/>
      <c r="V180" s="330"/>
      <c r="W180" s="330"/>
      <c r="X180" s="330"/>
      <c r="Y180" s="330"/>
      <c r="Z180" s="330"/>
      <c r="AA180" s="330"/>
      <c r="AB180" s="330"/>
    </row>
    <row r="181" spans="1:28" hidden="1" x14ac:dyDescent="0.25">
      <c r="A181" s="210"/>
      <c r="B181" s="8" t="s">
        <v>1328</v>
      </c>
      <c r="D181" s="685">
        <f>IF(7&gt;D74,0,-1/((0.184*ABS(SUM(D77:D88))^3-0.525*(SUM(D77:D88))^2+1.038*ABS(SUM(D77:D88))+1.001)))</f>
        <v>0</v>
      </c>
      <c r="E181" s="8"/>
      <c r="F181" s="220"/>
      <c r="G181" s="330"/>
      <c r="H181" s="330"/>
      <c r="I181" s="330"/>
      <c r="J181" s="330"/>
      <c r="K181" s="330"/>
      <c r="L181" s="330"/>
      <c r="M181" s="330"/>
      <c r="N181" s="330"/>
      <c r="O181" s="330"/>
      <c r="P181" s="330"/>
      <c r="Q181" s="330"/>
      <c r="R181" s="330"/>
      <c r="S181" s="330"/>
      <c r="T181" s="330"/>
      <c r="U181" s="330"/>
      <c r="V181" s="330"/>
      <c r="W181" s="330"/>
      <c r="X181" s="330"/>
      <c r="Y181" s="330"/>
      <c r="Z181" s="330"/>
      <c r="AA181" s="330"/>
      <c r="AB181" s="330"/>
    </row>
    <row r="182" spans="1:28" hidden="1" x14ac:dyDescent="0.25">
      <c r="A182" s="210"/>
      <c r="B182" s="8" t="s">
        <v>1329</v>
      </c>
      <c r="D182" s="685">
        <f>IF(7&gt;D74,0,-1/((0.184*ABS(SUM(D77:D89))^3-0.525*(SUM(D77:D89))^2+1.038*ABS(SUM(D77:D89))+1.001)))</f>
        <v>0</v>
      </c>
      <c r="E182" s="8"/>
      <c r="F182" s="220"/>
      <c r="G182" s="330"/>
      <c r="H182" s="330"/>
      <c r="I182" s="330"/>
      <c r="J182" s="330"/>
      <c r="K182" s="330"/>
      <c r="L182" s="330"/>
      <c r="M182" s="330"/>
      <c r="N182" s="330"/>
      <c r="O182" s="330"/>
      <c r="P182" s="330"/>
      <c r="Q182" s="330"/>
      <c r="R182" s="330"/>
      <c r="S182" s="330"/>
      <c r="T182" s="330"/>
      <c r="U182" s="330"/>
      <c r="V182" s="330"/>
      <c r="W182" s="330"/>
      <c r="X182" s="330"/>
      <c r="Y182" s="330"/>
      <c r="Z182" s="330"/>
      <c r="AA182" s="330"/>
      <c r="AB182" s="330"/>
    </row>
    <row r="183" spans="1:28" hidden="1" x14ac:dyDescent="0.25">
      <c r="A183" s="210"/>
      <c r="B183" s="8" t="s">
        <v>1330</v>
      </c>
      <c r="D183" s="685">
        <f>IF(8&gt;D74,0,-1/((0.184*ABS(SUM(D77:D90))^3-0.525*(SUM(D77:D90))^2+1.038*ABS(SUM(D77:D90))+1.001)))</f>
        <v>0</v>
      </c>
      <c r="E183" s="8"/>
      <c r="F183" s="220"/>
      <c r="G183" s="330"/>
      <c r="H183" s="330"/>
      <c r="I183" s="330"/>
      <c r="J183" s="330"/>
      <c r="K183" s="330"/>
      <c r="L183" s="330"/>
      <c r="M183" s="330"/>
      <c r="N183" s="330"/>
      <c r="O183" s="330"/>
      <c r="P183" s="330"/>
      <c r="Q183" s="330"/>
      <c r="R183" s="330"/>
      <c r="S183" s="330"/>
      <c r="T183" s="330"/>
      <c r="U183" s="330"/>
      <c r="V183" s="330"/>
      <c r="W183" s="330"/>
      <c r="X183" s="330"/>
      <c r="Y183" s="330"/>
      <c r="Z183" s="330"/>
      <c r="AA183" s="330"/>
      <c r="AB183" s="330"/>
    </row>
    <row r="184" spans="1:28" hidden="1" x14ac:dyDescent="0.25">
      <c r="A184" s="210"/>
      <c r="B184" s="8" t="s">
        <v>1331</v>
      </c>
      <c r="D184" s="685">
        <f>IF(8&gt;D74,0,-1/((0.184*ABS(SUM(D76:D84))^3-0.525*(SUM(D76:D84))^2+1.038*ABS(SUM(D76:D84))+1.001)))</f>
        <v>0</v>
      </c>
      <c r="E184" s="8"/>
      <c r="F184" s="220"/>
      <c r="G184" s="330"/>
      <c r="H184" s="330"/>
      <c r="I184" s="330"/>
      <c r="J184" s="330"/>
      <c r="K184" s="330"/>
      <c r="L184" s="330"/>
      <c r="M184" s="330"/>
      <c r="N184" s="330"/>
      <c r="O184" s="330"/>
      <c r="P184" s="330"/>
      <c r="Q184" s="330"/>
      <c r="R184" s="330"/>
      <c r="S184" s="330"/>
      <c r="T184" s="330"/>
      <c r="U184" s="330"/>
      <c r="V184" s="330"/>
      <c r="W184" s="330"/>
      <c r="X184" s="330"/>
      <c r="Y184" s="330"/>
      <c r="Z184" s="330"/>
      <c r="AA184" s="330"/>
      <c r="AB184" s="330"/>
    </row>
    <row r="185" spans="1:28" hidden="1" x14ac:dyDescent="0.25">
      <c r="A185" s="210"/>
      <c r="B185" s="8" t="s">
        <v>1332</v>
      </c>
      <c r="D185" s="685">
        <f>IF(8&gt;D74,0,-1/((0.184*ABS(SUM(D76:D85))^3-0.525*(SUM(D76:D85))^2+1.038*ABS(SUM(D76:D85))+1.001)))</f>
        <v>0</v>
      </c>
      <c r="E185" s="8"/>
      <c r="F185" s="220"/>
      <c r="G185" s="330"/>
      <c r="H185" s="330"/>
      <c r="I185" s="330"/>
      <c r="J185" s="330"/>
      <c r="K185" s="330"/>
      <c r="L185" s="330"/>
      <c r="M185" s="330"/>
      <c r="N185" s="330"/>
      <c r="O185" s="330"/>
      <c r="P185" s="330"/>
      <c r="Q185" s="330"/>
      <c r="R185" s="330"/>
      <c r="S185" s="330"/>
      <c r="T185" s="330"/>
      <c r="U185" s="330"/>
      <c r="V185" s="330"/>
      <c r="W185" s="330"/>
      <c r="X185" s="330"/>
      <c r="Y185" s="330"/>
      <c r="Z185" s="330"/>
      <c r="AA185" s="330"/>
      <c r="AB185" s="330"/>
    </row>
    <row r="186" spans="1:28" hidden="1" x14ac:dyDescent="0.25">
      <c r="A186" s="210"/>
      <c r="B186" s="8" t="s">
        <v>1333</v>
      </c>
      <c r="D186" s="685">
        <f>IF(8&gt;D74,0,-1/((0.184*ABS(SUM(D76:D86))^3-0.525*(SUM(D76:D86))^2+1.038*ABS(SUM(D76:D86))+1.001)))</f>
        <v>0</v>
      </c>
      <c r="E186" s="8"/>
      <c r="F186" s="220"/>
      <c r="G186" s="330"/>
      <c r="H186" s="330"/>
      <c r="I186" s="330"/>
      <c r="J186" s="330"/>
      <c r="K186" s="330"/>
      <c r="L186" s="330"/>
      <c r="M186" s="330"/>
      <c r="N186" s="330"/>
      <c r="O186" s="330"/>
      <c r="P186" s="330"/>
      <c r="Q186" s="330"/>
      <c r="R186" s="330"/>
      <c r="S186" s="330"/>
      <c r="T186" s="330"/>
      <c r="U186" s="330"/>
      <c r="V186" s="330"/>
      <c r="W186" s="330"/>
      <c r="X186" s="330"/>
      <c r="Y186" s="330"/>
      <c r="Z186" s="330"/>
      <c r="AA186" s="330"/>
      <c r="AB186" s="330"/>
    </row>
    <row r="187" spans="1:28" hidden="1" x14ac:dyDescent="0.25">
      <c r="A187" s="210"/>
      <c r="B187" s="8" t="s">
        <v>1334</v>
      </c>
      <c r="D187" s="685">
        <f>IF(8&gt;D74,0,-1/((0.184*ABS(SUM(D76:D87))^3-0.525*(SUM(D76:D87))^2+1.038*ABS(SUM(D76:D87))+1.001)))</f>
        <v>0</v>
      </c>
      <c r="E187" s="8"/>
      <c r="F187" s="220"/>
      <c r="G187" s="330"/>
      <c r="H187" s="330"/>
      <c r="I187" s="330"/>
      <c r="J187" s="330"/>
      <c r="K187" s="330"/>
      <c r="L187" s="330"/>
      <c r="M187" s="330"/>
      <c r="N187" s="330"/>
      <c r="O187" s="330"/>
      <c r="P187" s="330"/>
      <c r="Q187" s="330"/>
      <c r="R187" s="330"/>
      <c r="S187" s="330"/>
      <c r="T187" s="330"/>
      <c r="U187" s="330"/>
      <c r="V187" s="330"/>
      <c r="W187" s="330"/>
      <c r="X187" s="330"/>
      <c r="Y187" s="330"/>
      <c r="Z187" s="330"/>
      <c r="AA187" s="330"/>
      <c r="AB187" s="330"/>
    </row>
    <row r="188" spans="1:28" hidden="1" x14ac:dyDescent="0.25">
      <c r="A188" s="210"/>
      <c r="B188" s="8" t="s">
        <v>1335</v>
      </c>
      <c r="D188" s="685">
        <f>IF(8&gt;D74,0,-1/((0.184*ABS(SUM(D76:D88))^3-0.525*(SUM(D76:D88))^2+1.038*ABS(SUM(D76:D88))+1.001)))</f>
        <v>0</v>
      </c>
      <c r="E188" s="8"/>
      <c r="F188" s="220"/>
      <c r="G188" s="330"/>
      <c r="H188" s="330"/>
      <c r="I188" s="330"/>
      <c r="J188" s="330"/>
      <c r="K188" s="330"/>
      <c r="L188" s="330"/>
      <c r="M188" s="330"/>
      <c r="N188" s="330"/>
      <c r="O188" s="330"/>
      <c r="P188" s="330"/>
      <c r="Q188" s="330"/>
      <c r="R188" s="330"/>
      <c r="S188" s="330"/>
      <c r="T188" s="330"/>
      <c r="U188" s="330"/>
      <c r="V188" s="330"/>
      <c r="W188" s="330"/>
      <c r="X188" s="330"/>
      <c r="Y188" s="330"/>
      <c r="Z188" s="330"/>
      <c r="AA188" s="330"/>
      <c r="AB188" s="330"/>
    </row>
    <row r="189" spans="1:28" hidden="1" x14ac:dyDescent="0.25">
      <c r="A189" s="210"/>
      <c r="B189" s="8" t="s">
        <v>1336</v>
      </c>
      <c r="D189" s="685">
        <f>IF(8&gt;D74,0,-1/((0.184*ABS(SUM(D76:D89))^3-0.525*(SUM(D76:D89))^2+1.038*ABS(SUM(D76:D89))+1.001)))</f>
        <v>0</v>
      </c>
      <c r="E189" s="8"/>
      <c r="F189" s="220"/>
      <c r="G189" s="330"/>
      <c r="H189" s="330"/>
      <c r="I189" s="330"/>
      <c r="J189" s="330"/>
      <c r="K189" s="330"/>
      <c r="L189" s="330"/>
      <c r="M189" s="330"/>
      <c r="N189" s="330"/>
      <c r="O189" s="330"/>
      <c r="P189" s="330"/>
      <c r="Q189" s="330"/>
      <c r="R189" s="330"/>
      <c r="S189" s="330"/>
      <c r="T189" s="330"/>
      <c r="U189" s="330"/>
      <c r="V189" s="330"/>
      <c r="W189" s="330"/>
      <c r="X189" s="330"/>
      <c r="Y189" s="330"/>
      <c r="Z189" s="330"/>
      <c r="AA189" s="330"/>
      <c r="AB189" s="330"/>
    </row>
    <row r="190" spans="1:28" hidden="1" x14ac:dyDescent="0.25">
      <c r="A190" s="210"/>
      <c r="B190" s="8" t="s">
        <v>1337</v>
      </c>
      <c r="D190" s="685">
        <f>IF(8&gt;D74,0,-1/((0.184*ABS(SUM(D76:D90))^3-0.525*(SUM(D76:D90))^2+1.038*ABS(SUM(D76:D90))+1.001)))</f>
        <v>0</v>
      </c>
      <c r="E190" s="8"/>
      <c r="F190" s="220"/>
      <c r="G190" s="330"/>
      <c r="H190" s="330"/>
      <c r="I190" s="330"/>
      <c r="J190" s="330"/>
      <c r="K190" s="330"/>
      <c r="L190" s="330"/>
      <c r="M190" s="330"/>
      <c r="N190" s="330"/>
      <c r="O190" s="330"/>
      <c r="P190" s="330"/>
      <c r="Q190" s="330"/>
      <c r="R190" s="330"/>
      <c r="S190" s="330"/>
      <c r="T190" s="330"/>
      <c r="U190" s="330"/>
      <c r="V190" s="330"/>
      <c r="W190" s="330"/>
      <c r="X190" s="330"/>
      <c r="Y190" s="330"/>
      <c r="Z190" s="330"/>
      <c r="AA190" s="330"/>
      <c r="AB190" s="330"/>
    </row>
    <row r="191" spans="1:28" hidden="1" x14ac:dyDescent="0.25">
      <c r="A191" s="210"/>
      <c r="B191" s="93"/>
      <c r="D191" s="652"/>
      <c r="E191" s="663"/>
      <c r="F191" s="220"/>
      <c r="G191" s="330"/>
      <c r="H191" s="330"/>
      <c r="I191" s="330"/>
      <c r="J191" s="330"/>
      <c r="K191" s="330"/>
      <c r="L191" s="330"/>
      <c r="M191" s="330"/>
      <c r="N191" s="330"/>
      <c r="O191" s="330"/>
      <c r="P191" s="330"/>
      <c r="Q191" s="330"/>
      <c r="R191" s="330"/>
      <c r="S191" s="330"/>
      <c r="T191" s="330"/>
      <c r="U191" s="330"/>
      <c r="V191" s="330"/>
      <c r="W191" s="330"/>
      <c r="X191" s="330"/>
      <c r="Y191" s="330"/>
      <c r="Z191" s="330"/>
      <c r="AA191" s="330"/>
      <c r="AB191" s="330"/>
    </row>
    <row r="192" spans="1:28" hidden="1" x14ac:dyDescent="0.25">
      <c r="A192" s="210"/>
      <c r="B192" s="93" t="s">
        <v>1124</v>
      </c>
      <c r="D192" s="652">
        <f>D195</f>
        <v>3.3035546728338345</v>
      </c>
      <c r="E192" s="659" t="s">
        <v>1175</v>
      </c>
      <c r="F192" s="220"/>
      <c r="G192" s="330"/>
      <c r="H192" s="330"/>
      <c r="I192" s="330"/>
      <c r="J192" s="330"/>
      <c r="K192" s="330"/>
      <c r="L192" s="330"/>
      <c r="M192" s="330"/>
      <c r="N192" s="330"/>
      <c r="O192" s="330"/>
      <c r="P192" s="330"/>
      <c r="Q192" s="330"/>
      <c r="R192" s="330"/>
      <c r="S192" s="330"/>
      <c r="T192" s="330"/>
      <c r="U192" s="330"/>
      <c r="V192" s="330"/>
      <c r="W192" s="330"/>
      <c r="X192" s="330"/>
      <c r="Y192" s="330"/>
      <c r="Z192" s="330"/>
      <c r="AA192" s="330"/>
      <c r="AB192" s="330"/>
    </row>
    <row r="193" spans="1:28" hidden="1" x14ac:dyDescent="0.25">
      <c r="A193" s="210"/>
      <c r="B193" s="93" t="s">
        <v>1125</v>
      </c>
      <c r="D193" s="652">
        <f>D97</f>
        <v>3.2812909903289613</v>
      </c>
      <c r="E193" s="659" t="s">
        <v>1175</v>
      </c>
      <c r="F193" s="220"/>
      <c r="G193" s="330"/>
      <c r="H193" s="330"/>
      <c r="I193" s="330"/>
      <c r="J193" s="330"/>
      <c r="K193" s="330"/>
      <c r="L193" s="330"/>
      <c r="M193" s="330"/>
      <c r="N193" s="330"/>
      <c r="O193" s="330"/>
      <c r="P193" s="330"/>
      <c r="Q193" s="330"/>
      <c r="R193" s="330"/>
      <c r="S193" s="330"/>
      <c r="T193" s="330"/>
      <c r="U193" s="330"/>
      <c r="V193" s="330"/>
      <c r="W193" s="330"/>
      <c r="X193" s="330"/>
      <c r="Y193" s="330"/>
      <c r="Z193" s="330"/>
      <c r="AA193" s="330"/>
      <c r="AB193" s="330"/>
    </row>
    <row r="194" spans="1:28" x14ac:dyDescent="0.25">
      <c r="A194" s="210"/>
      <c r="B194" s="211"/>
      <c r="C194" s="212"/>
      <c r="D194" s="219"/>
      <c r="E194" s="201"/>
      <c r="F194" s="220"/>
      <c r="G194" s="330"/>
      <c r="H194" s="330"/>
      <c r="I194" s="330"/>
      <c r="J194" s="330"/>
      <c r="K194" s="330"/>
      <c r="L194" s="330"/>
      <c r="M194" s="330"/>
      <c r="N194" s="330"/>
      <c r="O194" s="330"/>
      <c r="P194" s="330"/>
      <c r="Q194" s="330"/>
      <c r="R194" s="330"/>
      <c r="S194" s="330"/>
      <c r="T194" s="330"/>
      <c r="U194" s="330"/>
      <c r="V194" s="330"/>
      <c r="W194" s="330"/>
      <c r="X194" s="330"/>
      <c r="Y194" s="330"/>
      <c r="Z194" s="330"/>
      <c r="AA194" s="330"/>
      <c r="AB194" s="330"/>
    </row>
    <row r="195" spans="1:28" ht="19.5" x14ac:dyDescent="0.35">
      <c r="A195" s="210"/>
      <c r="B195" s="221" t="s">
        <v>492</v>
      </c>
      <c r="C195" s="212" t="s">
        <v>471</v>
      </c>
      <c r="D195" s="222">
        <f>D94</f>
        <v>3.3035546728338345</v>
      </c>
      <c r="E195" s="223" t="s">
        <v>472</v>
      </c>
      <c r="F195" s="333" t="str">
        <f>IF(D195="Error","Too many turns or outer diameter too small!","")</f>
        <v/>
      </c>
      <c r="G195" s="330"/>
      <c r="H195" s="330"/>
      <c r="I195" s="330"/>
      <c r="J195" s="330"/>
      <c r="K195" s="330"/>
      <c r="L195" s="330"/>
      <c r="M195" s="330"/>
      <c r="N195" s="330"/>
      <c r="O195" s="330"/>
      <c r="P195" s="330"/>
      <c r="Q195" s="330"/>
      <c r="R195" s="330"/>
      <c r="S195" s="330"/>
      <c r="T195" s="330"/>
      <c r="U195" s="330"/>
      <c r="V195" s="330"/>
      <c r="W195" s="330"/>
      <c r="X195" s="330"/>
      <c r="Y195" s="330"/>
      <c r="Z195" s="330"/>
      <c r="AA195" s="330"/>
      <c r="AB195" s="330"/>
    </row>
    <row r="196" spans="1:28" ht="15.75" hidden="1" x14ac:dyDescent="0.25">
      <c r="A196" s="210"/>
      <c r="B196" s="221" t="s">
        <v>71</v>
      </c>
      <c r="C196" s="212"/>
      <c r="D196" s="329">
        <f>IF(D20="LDC0851",SQRT(2)/(2*PI()*SQRT(D195*0.000001*(D22+D52)*0.000000000001)),1/(2*PI()*SQRT(D195*0.000001*(D22+D52)*0.000000000001)))</f>
        <v>4411449.0875347974</v>
      </c>
      <c r="E196" s="223" t="s">
        <v>1</v>
      </c>
      <c r="F196" s="224"/>
      <c r="G196" s="330"/>
      <c r="H196" s="330"/>
      <c r="I196" s="330"/>
      <c r="J196" s="330"/>
      <c r="K196" s="330"/>
      <c r="L196" s="330"/>
      <c r="M196" s="330"/>
      <c r="N196" s="330"/>
      <c r="O196" s="330"/>
      <c r="P196" s="330"/>
      <c r="Q196" s="330"/>
      <c r="R196" s="330"/>
      <c r="S196" s="330"/>
      <c r="T196" s="330"/>
      <c r="U196" s="330"/>
      <c r="V196" s="330"/>
      <c r="W196" s="330"/>
      <c r="X196" s="330"/>
      <c r="Y196" s="330"/>
      <c r="Z196" s="330"/>
      <c r="AA196" s="330"/>
      <c r="AB196" s="330"/>
    </row>
    <row r="197" spans="1:28" ht="19.5" x14ac:dyDescent="0.35">
      <c r="A197" s="210"/>
      <c r="B197" s="221" t="s">
        <v>491</v>
      </c>
      <c r="C197" s="212" t="s">
        <v>583</v>
      </c>
      <c r="D197" s="222">
        <f>IF(D196&gt;300000,D196/1000000,D196/1000)</f>
        <v>4.4114490875347974</v>
      </c>
      <c r="E197" s="225" t="str">
        <f>IF(D196&gt;300000,"MHz","kHz")</f>
        <v>MHz</v>
      </c>
      <c r="F197" s="224" t="str">
        <f>IF(ISERROR(D197),"",IF(D197&gt;(D205*1000),"Sensor Frequency is too high, reduce C",""))</f>
        <v/>
      </c>
      <c r="G197" s="330"/>
      <c r="H197" s="330"/>
      <c r="I197" s="330"/>
      <c r="J197" s="330"/>
      <c r="K197" s="330"/>
      <c r="L197" s="330"/>
      <c r="M197" s="330"/>
      <c r="N197" s="330"/>
      <c r="O197" s="330"/>
      <c r="P197" s="330"/>
      <c r="Q197" s="330"/>
      <c r="R197" s="330"/>
      <c r="S197" s="330"/>
      <c r="T197" s="330"/>
      <c r="U197" s="330"/>
      <c r="V197" s="330"/>
      <c r="W197" s="330"/>
      <c r="X197" s="330"/>
      <c r="Y197" s="330"/>
      <c r="Z197" s="330"/>
      <c r="AA197" s="330"/>
      <c r="AB197" s="330"/>
    </row>
    <row r="198" spans="1:28" hidden="1" x14ac:dyDescent="0.25">
      <c r="A198" s="210"/>
      <c r="B198" s="226" t="s">
        <v>73</v>
      </c>
      <c r="C198" s="227" t="s">
        <v>74</v>
      </c>
      <c r="D198" s="322">
        <f>D24*(D31-1)*2*D27+PI()*D24*(D27+D57)/2</f>
        <v>218.90617610213678</v>
      </c>
      <c r="E198" s="228" t="s">
        <v>34</v>
      </c>
      <c r="F198" s="209"/>
      <c r="G198" s="330"/>
      <c r="H198" s="330"/>
      <c r="I198" s="330"/>
      <c r="J198" s="330"/>
      <c r="K198" s="330"/>
      <c r="L198" s="330"/>
      <c r="M198" s="330"/>
      <c r="N198" s="330"/>
      <c r="O198" s="330"/>
      <c r="P198" s="330"/>
      <c r="Q198" s="330"/>
      <c r="R198" s="330"/>
      <c r="S198" s="330"/>
      <c r="T198" s="330"/>
      <c r="U198" s="330"/>
      <c r="V198" s="330"/>
      <c r="W198" s="330"/>
      <c r="X198" s="330"/>
      <c r="Y198" s="330"/>
      <c r="Z198" s="330"/>
      <c r="AA198" s="330"/>
      <c r="AB198" s="330"/>
    </row>
    <row r="199" spans="1:28" hidden="1" x14ac:dyDescent="0.25">
      <c r="A199" s="210"/>
      <c r="B199" s="229" t="s">
        <v>75</v>
      </c>
      <c r="C199" s="230" t="s">
        <v>76</v>
      </c>
      <c r="D199" s="323">
        <f>D53*D198*0.001*D23/(D38*0.001*D48*0.001)</f>
        <v>2.1272828209005965</v>
      </c>
      <c r="E199" s="231" t="s">
        <v>77</v>
      </c>
      <c r="F199" s="209"/>
      <c r="G199" s="330"/>
      <c r="H199" s="330"/>
      <c r="I199" s="330"/>
      <c r="J199" s="330"/>
      <c r="K199" s="330"/>
      <c r="L199" s="330"/>
      <c r="M199" s="330"/>
      <c r="N199" s="330"/>
      <c r="O199" s="330"/>
      <c r="P199" s="330"/>
      <c r="Q199" s="330"/>
      <c r="R199" s="330"/>
      <c r="S199" s="330"/>
      <c r="T199" s="330"/>
      <c r="U199" s="330"/>
      <c r="V199" s="330"/>
      <c r="W199" s="330"/>
      <c r="X199" s="330"/>
      <c r="Y199" s="330"/>
      <c r="Z199" s="330"/>
      <c r="AA199" s="330"/>
      <c r="AB199" s="330"/>
    </row>
    <row r="200" spans="1:28" hidden="1" x14ac:dyDescent="0.25">
      <c r="A200" s="210"/>
      <c r="B200" s="229" t="s">
        <v>78</v>
      </c>
      <c r="C200" s="230" t="s">
        <v>79</v>
      </c>
      <c r="D200" s="324">
        <f>SQRT(D49/(4*PI()*PI()*0.0000001*D51*D196))*1000</f>
        <v>3.1058761714718365E-2</v>
      </c>
      <c r="E200" s="232" t="s">
        <v>34</v>
      </c>
      <c r="F200" s="209"/>
      <c r="G200" s="330"/>
      <c r="H200" s="330"/>
      <c r="I200" s="330"/>
      <c r="J200" s="330"/>
      <c r="K200" s="330"/>
      <c r="L200" s="330"/>
      <c r="M200" s="330"/>
      <c r="N200" s="330"/>
      <c r="O200" s="330"/>
      <c r="P200" s="330"/>
      <c r="Q200" s="330"/>
      <c r="R200" s="330"/>
      <c r="S200" s="330"/>
      <c r="T200" s="330"/>
      <c r="U200" s="330"/>
      <c r="V200" s="330"/>
      <c r="W200" s="330"/>
      <c r="X200" s="330"/>
      <c r="Y200" s="330"/>
      <c r="Z200" s="330"/>
      <c r="AA200" s="330"/>
      <c r="AB200" s="330"/>
    </row>
    <row r="201" spans="1:28" hidden="1" x14ac:dyDescent="0.25">
      <c r="A201" s="210"/>
      <c r="B201" s="169" t="s">
        <v>80</v>
      </c>
      <c r="C201" s="230" t="s">
        <v>388</v>
      </c>
      <c r="D201" s="325">
        <f>D199*D48/(D200*(1-EXP(-D48/D200)))</f>
        <v>3.5324279342663352</v>
      </c>
      <c r="E201" s="233" t="s">
        <v>77</v>
      </c>
      <c r="F201" s="209"/>
      <c r="G201" s="330"/>
      <c r="H201" s="330"/>
      <c r="I201" s="330"/>
      <c r="J201" s="330"/>
      <c r="K201" s="330"/>
      <c r="L201" s="330"/>
      <c r="M201" s="330"/>
      <c r="N201" s="330"/>
      <c r="O201" s="330"/>
      <c r="P201" s="330"/>
      <c r="Q201" s="330"/>
      <c r="R201" s="330"/>
      <c r="S201" s="330"/>
      <c r="T201" s="330"/>
      <c r="U201" s="330"/>
      <c r="V201" s="330"/>
      <c r="W201" s="330"/>
      <c r="X201" s="330"/>
      <c r="Y201" s="330"/>
      <c r="Z201" s="330"/>
      <c r="AA201" s="330"/>
      <c r="AB201" s="330"/>
    </row>
    <row r="202" spans="1:28" hidden="1" x14ac:dyDescent="0.25">
      <c r="A202" s="210"/>
      <c r="B202" s="234" t="s">
        <v>276</v>
      </c>
      <c r="C202" s="235" t="s">
        <v>81</v>
      </c>
      <c r="D202" s="326">
        <f>(1/D201)*(D195*0.000001/(D22*0.000000000001))</f>
        <v>2397.9690923335279</v>
      </c>
      <c r="E202" s="236" t="s">
        <v>77</v>
      </c>
      <c r="F202" s="209"/>
      <c r="G202" s="330"/>
      <c r="H202" s="330"/>
      <c r="I202" s="330"/>
      <c r="J202" s="330"/>
      <c r="K202" s="330"/>
      <c r="L202" s="330"/>
      <c r="M202" s="330"/>
      <c r="N202" s="330"/>
      <c r="O202" s="330"/>
      <c r="P202" s="330"/>
      <c r="Q202" s="330"/>
      <c r="R202" s="330"/>
      <c r="S202" s="330"/>
      <c r="T202" s="330"/>
      <c r="U202" s="330"/>
      <c r="V202" s="330"/>
      <c r="W202" s="330"/>
      <c r="X202" s="330"/>
      <c r="Y202" s="330"/>
      <c r="Z202" s="330"/>
      <c r="AA202" s="330"/>
      <c r="AB202" s="330"/>
    </row>
    <row r="203" spans="1:28" ht="18" x14ac:dyDescent="0.35">
      <c r="A203" s="210"/>
      <c r="B203" s="299" t="s">
        <v>473</v>
      </c>
      <c r="C203" s="235" t="s">
        <v>585</v>
      </c>
      <c r="D203" s="237">
        <f>D202/1000</f>
        <v>2.3979690923335277</v>
      </c>
      <c r="E203" s="305" t="s">
        <v>243</v>
      </c>
      <c r="F203" s="209"/>
      <c r="G203" s="330"/>
      <c r="H203" s="330"/>
      <c r="I203" s="330"/>
      <c r="J203" s="330"/>
      <c r="K203" s="330"/>
      <c r="L203" s="330"/>
      <c r="M203" s="330"/>
      <c r="N203" s="330"/>
      <c r="O203" s="330"/>
      <c r="P203" s="330"/>
      <c r="Q203" s="330"/>
      <c r="R203" s="330"/>
      <c r="S203" s="330"/>
      <c r="T203" s="330"/>
      <c r="U203" s="330"/>
      <c r="V203" s="330"/>
      <c r="W203" s="330"/>
      <c r="X203" s="330"/>
      <c r="Y203" s="330"/>
      <c r="Z203" s="330"/>
      <c r="AA203" s="330"/>
      <c r="AB203" s="330"/>
    </row>
    <row r="204" spans="1:28" ht="15.75" x14ac:dyDescent="0.25">
      <c r="A204" s="210"/>
      <c r="B204" s="221" t="s">
        <v>82</v>
      </c>
      <c r="C204" s="212" t="s">
        <v>83</v>
      </c>
      <c r="D204" s="237">
        <f>(1/D201)*SQRT(D195*0.000001/((D22+D52)*0.000000000001))</f>
        <v>25.92204904185304</v>
      </c>
      <c r="E204" s="201"/>
      <c r="F204" s="209"/>
      <c r="G204" s="330"/>
      <c r="H204" s="330"/>
      <c r="I204" s="330"/>
      <c r="J204" s="330"/>
      <c r="K204" s="330"/>
      <c r="L204" s="330"/>
      <c r="M204" s="330"/>
      <c r="N204" s="330"/>
      <c r="O204" s="330"/>
      <c r="P204" s="330"/>
      <c r="Q204" s="330"/>
      <c r="R204" s="330"/>
      <c r="S204" s="330"/>
      <c r="T204" s="330"/>
      <c r="U204" s="330"/>
      <c r="V204" s="330"/>
      <c r="W204" s="330"/>
      <c r="X204" s="330"/>
      <c r="Y204" s="330"/>
      <c r="Z204" s="330"/>
      <c r="AA204" s="330"/>
      <c r="AB204" s="330"/>
    </row>
    <row r="205" spans="1:28" x14ac:dyDescent="0.25">
      <c r="A205" s="210"/>
      <c r="B205" s="234" t="s">
        <v>581</v>
      </c>
      <c r="C205" s="212" t="s">
        <v>84</v>
      </c>
      <c r="D205" s="219">
        <f>1/(2*PI()*SQRT(D195*0.000001*D52*0.000000000001))/1000000</f>
        <v>43.782382080162023</v>
      </c>
      <c r="E205" s="201" t="s">
        <v>0</v>
      </c>
      <c r="F205" s="209" t="s">
        <v>1645</v>
      </c>
      <c r="G205" s="330"/>
      <c r="H205" s="330"/>
      <c r="I205" s="330"/>
      <c r="J205" s="330"/>
      <c r="K205" s="330"/>
      <c r="L205" s="330"/>
      <c r="M205" s="330"/>
      <c r="N205" s="330"/>
      <c r="O205" s="330"/>
      <c r="P205" s="330"/>
      <c r="Q205" s="330"/>
      <c r="R205" s="330"/>
      <c r="S205" s="330"/>
      <c r="T205" s="330"/>
      <c r="U205" s="330"/>
      <c r="V205" s="330"/>
      <c r="W205" s="330"/>
      <c r="X205" s="330"/>
      <c r="Y205" s="330"/>
      <c r="Z205" s="330"/>
      <c r="AA205" s="330"/>
      <c r="AB205" s="330"/>
    </row>
    <row r="206" spans="1:28" ht="18.75" x14ac:dyDescent="0.3">
      <c r="A206" s="210"/>
      <c r="B206" s="300" t="s">
        <v>389</v>
      </c>
      <c r="C206" s="238" t="s">
        <v>390</v>
      </c>
      <c r="D206" s="182">
        <v>5</v>
      </c>
      <c r="E206" s="765" t="s">
        <v>34</v>
      </c>
      <c r="F206" s="202" t="s">
        <v>401</v>
      </c>
      <c r="G206" s="330"/>
      <c r="H206" s="330"/>
      <c r="I206" s="330"/>
      <c r="J206" s="330"/>
      <c r="K206" s="330"/>
      <c r="L206" s="330"/>
      <c r="M206" s="330"/>
      <c r="N206" s="330"/>
      <c r="O206" s="330"/>
      <c r="P206" s="330"/>
      <c r="Q206" s="330"/>
      <c r="R206" s="330"/>
      <c r="S206" s="330"/>
      <c r="T206" s="330"/>
      <c r="U206" s="330"/>
      <c r="V206" s="330"/>
      <c r="W206" s="330"/>
      <c r="X206" s="330"/>
      <c r="Y206" s="330"/>
      <c r="Z206" s="330"/>
      <c r="AA206" s="330"/>
      <c r="AB206" s="330"/>
    </row>
    <row r="207" spans="1:28" ht="15.75" hidden="1" x14ac:dyDescent="0.25">
      <c r="A207" s="210"/>
      <c r="B207" s="300"/>
      <c r="C207" s="766" t="str">
        <f>E206</f>
        <v>mm</v>
      </c>
      <c r="D207" s="656" t="str">
        <f>C207</f>
        <v>mm</v>
      </c>
      <c r="E207" s="239"/>
      <c r="F207" s="202"/>
      <c r="G207" s="330"/>
      <c r="H207" s="330"/>
      <c r="I207" s="330"/>
      <c r="J207" s="330"/>
      <c r="K207" s="330"/>
      <c r="L207" s="330"/>
      <c r="M207" s="330"/>
      <c r="N207" s="330"/>
      <c r="O207" s="330"/>
      <c r="P207" s="330"/>
      <c r="Q207" s="330"/>
      <c r="R207" s="330"/>
      <c r="S207" s="330"/>
      <c r="T207" s="330"/>
      <c r="U207" s="330"/>
      <c r="V207" s="330"/>
      <c r="W207" s="330"/>
      <c r="X207" s="330"/>
      <c r="Y207" s="330"/>
      <c r="Z207" s="330"/>
      <c r="AA207" s="330"/>
      <c r="AB207" s="330"/>
    </row>
    <row r="208" spans="1:28" hidden="1" x14ac:dyDescent="0.25">
      <c r="A208" s="210"/>
      <c r="B208" s="167" t="s">
        <v>1529</v>
      </c>
      <c r="C208" s="238"/>
      <c r="D208" s="657">
        <f>IF(D207="mm",D206,D206*0.0254)</f>
        <v>5</v>
      </c>
      <c r="E208" s="239" t="s">
        <v>34</v>
      </c>
      <c r="F208" s="202"/>
      <c r="G208" s="330"/>
      <c r="H208" s="330"/>
      <c r="I208" s="330"/>
      <c r="J208" s="330"/>
      <c r="K208" s="330"/>
      <c r="L208" s="330"/>
      <c r="M208" s="330"/>
      <c r="N208" s="330"/>
      <c r="O208" s="330"/>
      <c r="P208" s="330"/>
      <c r="Q208" s="330"/>
      <c r="R208" s="330"/>
      <c r="S208" s="330"/>
      <c r="T208" s="330"/>
      <c r="U208" s="330"/>
      <c r="V208" s="330"/>
      <c r="W208" s="330"/>
      <c r="X208" s="330"/>
      <c r="Y208" s="330"/>
      <c r="Z208" s="330"/>
      <c r="AA208" s="330"/>
      <c r="AB208" s="330"/>
    </row>
    <row r="209" spans="1:28" hidden="1" x14ac:dyDescent="0.25">
      <c r="A209" s="210"/>
      <c r="B209" s="159" t="s">
        <v>391</v>
      </c>
      <c r="C209" s="200"/>
      <c r="D209" s="316">
        <f>D208/D27</f>
        <v>0.55555555555555558</v>
      </c>
      <c r="E209" s="240"/>
      <c r="F209" s="202"/>
      <c r="G209" s="330"/>
      <c r="H209" s="330"/>
      <c r="I209" s="330"/>
      <c r="J209" s="330"/>
      <c r="K209" s="330"/>
      <c r="L209" s="330"/>
      <c r="M209" s="330"/>
      <c r="N209" s="330"/>
      <c r="O209" s="330"/>
      <c r="P209" s="330"/>
      <c r="Q209" s="330"/>
      <c r="R209" s="330"/>
      <c r="S209" s="330"/>
      <c r="T209" s="330"/>
      <c r="U209" s="330"/>
      <c r="V209" s="330"/>
      <c r="W209" s="330"/>
      <c r="X209" s="330"/>
      <c r="Y209" s="330"/>
      <c r="Z209" s="330"/>
      <c r="AA209" s="330"/>
      <c r="AB209" s="330"/>
    </row>
    <row r="210" spans="1:28" hidden="1" x14ac:dyDescent="0.25">
      <c r="A210" s="210"/>
      <c r="B210" s="159" t="s">
        <v>392</v>
      </c>
      <c r="C210" s="200"/>
      <c r="D210" s="752">
        <f xml:space="preserve"> 12.413*D209^4 - 11.107*D209^3 - 1.1159*D209^2 + 3.6107*D209+ 0.0669</f>
        <v>1.006399161713154</v>
      </c>
      <c r="E210" s="240"/>
      <c r="F210" s="202"/>
      <c r="G210" s="330"/>
      <c r="H210" s="330"/>
      <c r="I210" s="330"/>
      <c r="J210" s="330"/>
      <c r="K210" s="330"/>
      <c r="L210" s="330"/>
      <c r="M210" s="330"/>
      <c r="N210" s="330"/>
      <c r="O210" s="330"/>
      <c r="P210" s="330"/>
      <c r="Q210" s="330"/>
      <c r="R210" s="330"/>
      <c r="S210" s="330"/>
      <c r="T210" s="330"/>
      <c r="U210" s="330"/>
      <c r="V210" s="330"/>
      <c r="W210" s="330"/>
      <c r="X210" s="330"/>
      <c r="Y210" s="330"/>
      <c r="Z210" s="330"/>
      <c r="AA210" s="330"/>
      <c r="AB210" s="330"/>
    </row>
    <row r="211" spans="1:28" hidden="1" x14ac:dyDescent="0.25">
      <c r="A211" s="210"/>
      <c r="B211" s="159" t="s">
        <v>393</v>
      </c>
      <c r="C211" s="200"/>
      <c r="D211" s="316">
        <f>MIN(D210,1)</f>
        <v>1</v>
      </c>
      <c r="E211" s="240"/>
      <c r="F211" s="202"/>
      <c r="G211" s="330"/>
      <c r="H211" s="330"/>
      <c r="I211" s="330"/>
      <c r="J211" s="330"/>
      <c r="K211" s="330"/>
      <c r="L211" s="330"/>
      <c r="M211" s="330"/>
      <c r="N211" s="330"/>
      <c r="O211" s="330"/>
      <c r="P211" s="330"/>
      <c r="Q211" s="330"/>
      <c r="R211" s="330"/>
      <c r="S211" s="330"/>
      <c r="T211" s="330"/>
      <c r="U211" s="330"/>
      <c r="V211" s="330"/>
      <c r="W211" s="330"/>
      <c r="X211" s="330"/>
      <c r="Y211" s="330"/>
      <c r="Z211" s="330"/>
      <c r="AA211" s="330"/>
      <c r="AB211" s="330"/>
    </row>
    <row r="212" spans="1:28" hidden="1" x14ac:dyDescent="0.25">
      <c r="A212" s="210"/>
      <c r="B212" s="158" t="s">
        <v>394</v>
      </c>
      <c r="C212" s="249"/>
      <c r="D212" s="319">
        <v>1</v>
      </c>
      <c r="E212" s="241"/>
      <c r="F212" s="202"/>
      <c r="G212" s="330"/>
      <c r="H212" s="330"/>
      <c r="I212" s="330"/>
      <c r="J212" s="330"/>
      <c r="K212" s="330"/>
      <c r="L212" s="330"/>
      <c r="M212" s="330"/>
      <c r="N212" s="330"/>
      <c r="O212" s="330"/>
      <c r="P212" s="330"/>
      <c r="Q212" s="330"/>
      <c r="R212" s="330"/>
      <c r="S212" s="330"/>
      <c r="T212" s="330"/>
      <c r="U212" s="330"/>
      <c r="V212" s="330"/>
      <c r="W212" s="330"/>
      <c r="X212" s="330"/>
      <c r="Y212" s="330"/>
      <c r="Z212" s="330"/>
      <c r="AA212" s="330"/>
      <c r="AB212" s="330"/>
    </row>
    <row r="213" spans="1:28" hidden="1" x14ac:dyDescent="0.25">
      <c r="A213" s="210"/>
      <c r="B213" s="158"/>
      <c r="C213" s="249"/>
      <c r="D213" s="320"/>
      <c r="E213" s="223"/>
      <c r="F213" s="353"/>
      <c r="G213" s="330"/>
      <c r="H213" s="330"/>
      <c r="I213" s="330"/>
      <c r="J213" s="330"/>
      <c r="K213" s="330"/>
      <c r="L213" s="330"/>
      <c r="M213" s="330"/>
      <c r="N213" s="330"/>
      <c r="O213" s="330"/>
      <c r="P213" s="330"/>
      <c r="Q213" s="330"/>
      <c r="R213" s="330"/>
      <c r="S213" s="330"/>
      <c r="T213" s="330"/>
      <c r="U213" s="330"/>
      <c r="V213" s="330"/>
      <c r="W213" s="330"/>
      <c r="X213" s="330"/>
      <c r="Y213" s="330"/>
      <c r="Z213" s="330"/>
      <c r="AA213" s="330"/>
      <c r="AB213" s="330"/>
    </row>
    <row r="214" spans="1:28" hidden="1" x14ac:dyDescent="0.25">
      <c r="A214" s="210"/>
      <c r="B214" s="158" t="s">
        <v>1530</v>
      </c>
      <c r="C214" s="249"/>
      <c r="D214" s="321">
        <f>D193</f>
        <v>3.2812909903289613</v>
      </c>
      <c r="E214" s="223" t="s">
        <v>472</v>
      </c>
      <c r="F214" s="352"/>
      <c r="G214" s="330"/>
      <c r="H214" s="330"/>
      <c r="I214" s="330"/>
      <c r="J214" s="330"/>
      <c r="K214" s="330"/>
      <c r="L214" s="330"/>
      <c r="M214" s="330"/>
      <c r="N214" s="330"/>
      <c r="O214" s="330"/>
      <c r="P214" s="330"/>
      <c r="Q214" s="330"/>
      <c r="R214" s="330"/>
      <c r="S214" s="330"/>
      <c r="T214" s="330"/>
      <c r="U214" s="330"/>
      <c r="V214" s="330"/>
      <c r="W214" s="330"/>
      <c r="X214" s="330"/>
      <c r="Y214" s="330"/>
      <c r="Z214" s="330"/>
      <c r="AA214" s="330"/>
      <c r="AB214" s="330"/>
    </row>
    <row r="215" spans="1:28" hidden="1" x14ac:dyDescent="0.25">
      <c r="A215" s="210"/>
      <c r="B215" s="158" t="s">
        <v>474</v>
      </c>
      <c r="C215" s="249" t="s">
        <v>475</v>
      </c>
      <c r="D215" s="321">
        <f>SQRT(D49/(4*PI()*PI()*0.1*D51*D225))*1000</f>
        <v>3.1006300281228201E-2</v>
      </c>
      <c r="E215" s="301" t="s">
        <v>34</v>
      </c>
      <c r="F215" s="202"/>
      <c r="G215" s="330"/>
      <c r="H215" s="330"/>
      <c r="I215" s="330"/>
      <c r="J215" s="330"/>
      <c r="K215" s="330"/>
      <c r="L215" s="330"/>
      <c r="M215" s="330"/>
      <c r="N215" s="330"/>
      <c r="O215" s="330"/>
      <c r="P215" s="330"/>
      <c r="Q215" s="330"/>
      <c r="R215" s="330"/>
      <c r="S215" s="330"/>
      <c r="T215" s="330"/>
      <c r="U215" s="330"/>
      <c r="V215" s="330"/>
      <c r="W215" s="330"/>
      <c r="X215" s="330"/>
      <c r="Y215" s="330"/>
      <c r="Z215" s="330"/>
      <c r="AA215" s="330"/>
      <c r="AB215" s="330"/>
    </row>
    <row r="216" spans="1:28" hidden="1" x14ac:dyDescent="0.25">
      <c r="A216" s="210"/>
      <c r="B216" s="158" t="s">
        <v>476</v>
      </c>
      <c r="C216" s="249" t="s">
        <v>388</v>
      </c>
      <c r="D216" s="174">
        <f>D199*D48/(D215*(1-EXP(-D48/D215)))</f>
        <v>3.5351580773353186</v>
      </c>
      <c r="E216" s="304" t="s">
        <v>77</v>
      </c>
      <c r="F216" s="202"/>
      <c r="G216" s="330"/>
      <c r="H216" s="330"/>
      <c r="I216" s="330"/>
      <c r="J216" s="330"/>
      <c r="K216" s="330"/>
      <c r="L216" s="330"/>
      <c r="M216" s="330"/>
      <c r="N216" s="330"/>
      <c r="O216" s="330"/>
      <c r="P216" s="330"/>
      <c r="Q216" s="330"/>
      <c r="R216" s="330"/>
      <c r="S216" s="330"/>
      <c r="T216" s="330"/>
      <c r="U216" s="330"/>
      <c r="V216" s="330"/>
      <c r="W216" s="330"/>
      <c r="X216" s="330"/>
      <c r="Y216" s="330"/>
      <c r="Z216" s="330"/>
      <c r="AA216" s="330"/>
      <c r="AB216" s="330"/>
    </row>
    <row r="217" spans="1:28" hidden="1" x14ac:dyDescent="0.25">
      <c r="A217" s="210"/>
      <c r="B217" s="158" t="s">
        <v>477</v>
      </c>
      <c r="C217" s="249" t="s">
        <v>81</v>
      </c>
      <c r="D217" s="160">
        <f>(1/D216)*(D224*0.000001/(D22*0.000000000001))</f>
        <v>2379.9690021813649</v>
      </c>
      <c r="E217" s="236" t="s">
        <v>77</v>
      </c>
      <c r="F217" s="202"/>
      <c r="G217" s="330"/>
      <c r="H217" s="330"/>
      <c r="I217" s="330"/>
      <c r="J217" s="330"/>
      <c r="K217" s="330"/>
      <c r="L217" s="330"/>
      <c r="M217" s="330"/>
      <c r="N217" s="330"/>
      <c r="O217" s="330"/>
      <c r="P217" s="330"/>
      <c r="Q217" s="330"/>
      <c r="R217" s="330"/>
      <c r="S217" s="330"/>
      <c r="T217" s="330"/>
      <c r="U217" s="330"/>
      <c r="V217" s="330"/>
      <c r="W217" s="330"/>
      <c r="X217" s="330"/>
      <c r="Y217" s="330"/>
      <c r="Z217" s="330"/>
      <c r="AA217" s="330"/>
      <c r="AB217" s="330"/>
    </row>
    <row r="218" spans="1:28" hidden="1" x14ac:dyDescent="0.25">
      <c r="A218" s="210"/>
      <c r="B218" s="158" t="s">
        <v>478</v>
      </c>
      <c r="C218" s="249"/>
      <c r="D218" s="160">
        <f>INDEX(G245:G251,MATCH(D20,B245:B251,0))</f>
        <v>5</v>
      </c>
      <c r="E218" s="236" t="s">
        <v>0</v>
      </c>
      <c r="F218" s="202"/>
      <c r="G218" s="330"/>
      <c r="H218" s="330"/>
      <c r="I218" s="330"/>
      <c r="J218" s="330"/>
      <c r="K218" s="330"/>
      <c r="L218" s="330"/>
      <c r="M218" s="330"/>
      <c r="N218" s="330"/>
      <c r="O218" s="330"/>
      <c r="P218" s="330"/>
      <c r="Q218" s="330"/>
      <c r="R218" s="330"/>
      <c r="S218" s="330"/>
      <c r="T218" s="330"/>
      <c r="U218" s="330"/>
      <c r="V218" s="330"/>
      <c r="W218" s="330"/>
      <c r="X218" s="330"/>
      <c r="Y218" s="330"/>
      <c r="Z218" s="330"/>
      <c r="AA218" s="330"/>
      <c r="AB218" s="330"/>
    </row>
    <row r="219" spans="1:28" hidden="1" x14ac:dyDescent="0.25">
      <c r="A219" s="210"/>
      <c r="B219" s="158" t="s">
        <v>479</v>
      </c>
      <c r="C219" s="249"/>
      <c r="D219" s="160">
        <f>INDEX(H245:H251,MATCH(D20,B245:B251,0))</f>
        <v>30</v>
      </c>
      <c r="E219" s="236" t="s">
        <v>0</v>
      </c>
      <c r="F219" s="202"/>
      <c r="G219" s="330"/>
      <c r="H219" s="330"/>
      <c r="I219" s="330"/>
      <c r="J219" s="330"/>
      <c r="K219" s="330"/>
      <c r="L219" s="330"/>
      <c r="M219" s="330"/>
      <c r="N219" s="330"/>
      <c r="O219" s="330"/>
      <c r="P219" s="330"/>
      <c r="Q219" s="330"/>
      <c r="R219" s="330"/>
      <c r="S219" s="330"/>
      <c r="T219" s="330"/>
      <c r="U219" s="330"/>
      <c r="V219" s="330"/>
      <c r="W219" s="330"/>
      <c r="X219" s="330"/>
      <c r="Y219" s="330"/>
      <c r="Z219" s="330"/>
      <c r="AA219" s="330"/>
      <c r="AB219" s="330"/>
    </row>
    <row r="220" spans="1:28" hidden="1" x14ac:dyDescent="0.25">
      <c r="A220" s="210"/>
      <c r="B220" s="158" t="s">
        <v>480</v>
      </c>
      <c r="C220" s="249"/>
      <c r="D220" s="160">
        <f>INDEX(C245:C251,MATCH(D20,B245:B251,0))</f>
        <v>0.35</v>
      </c>
      <c r="E220" s="236" t="s">
        <v>243</v>
      </c>
      <c r="F220" s="202"/>
      <c r="G220" s="330"/>
      <c r="H220" s="330"/>
      <c r="I220" s="330"/>
      <c r="J220" s="330"/>
      <c r="K220" s="330"/>
      <c r="L220" s="330"/>
      <c r="M220" s="330"/>
      <c r="N220" s="330"/>
      <c r="O220" s="330"/>
      <c r="P220" s="330"/>
      <c r="Q220" s="330"/>
      <c r="R220" s="330"/>
      <c r="S220" s="330"/>
      <c r="T220" s="330"/>
      <c r="U220" s="330"/>
      <c r="V220" s="330"/>
      <c r="W220" s="330"/>
      <c r="X220" s="330"/>
      <c r="Y220" s="330"/>
      <c r="Z220" s="330"/>
      <c r="AA220" s="330"/>
      <c r="AB220" s="330"/>
    </row>
    <row r="221" spans="1:28" hidden="1" x14ac:dyDescent="0.25">
      <c r="A221" s="210"/>
      <c r="B221" s="158" t="s">
        <v>481</v>
      </c>
      <c r="C221" s="249"/>
      <c r="D221" s="160">
        <f>INDEX(D245:D251,MATCH(D20,B245:B251,0))</f>
        <v>10</v>
      </c>
      <c r="E221" s="236" t="s">
        <v>243</v>
      </c>
      <c r="F221" s="202"/>
      <c r="G221" s="330"/>
      <c r="H221" s="330"/>
      <c r="I221" s="330"/>
      <c r="J221" s="330"/>
      <c r="K221" s="330"/>
      <c r="L221" s="330"/>
      <c r="M221" s="330"/>
      <c r="N221" s="330"/>
      <c r="O221" s="330"/>
      <c r="P221" s="330"/>
      <c r="Q221" s="330"/>
      <c r="R221" s="330"/>
      <c r="S221" s="330"/>
      <c r="T221" s="330"/>
      <c r="U221" s="330"/>
      <c r="V221" s="330"/>
      <c r="W221" s="330"/>
      <c r="X221" s="330"/>
      <c r="Y221" s="330"/>
      <c r="Z221" s="330"/>
      <c r="AA221" s="330"/>
      <c r="AB221" s="330"/>
    </row>
    <row r="222" spans="1:28" hidden="1" x14ac:dyDescent="0.25">
      <c r="A222" s="210"/>
      <c r="B222" s="158" t="s">
        <v>482</v>
      </c>
      <c r="C222" s="249"/>
      <c r="D222" s="160">
        <f>INDEX(E245:E251,MATCH(D20,B245:B251,0))</f>
        <v>5</v>
      </c>
      <c r="E222" s="236"/>
      <c r="F222" s="202"/>
      <c r="G222" s="330"/>
      <c r="H222" s="330"/>
      <c r="I222" s="330"/>
      <c r="J222" s="330"/>
      <c r="K222" s="330"/>
      <c r="L222" s="330"/>
      <c r="M222" s="330"/>
      <c r="N222" s="330"/>
      <c r="O222" s="330"/>
      <c r="P222" s="330"/>
      <c r="Q222" s="330"/>
      <c r="R222" s="330"/>
      <c r="S222" s="330"/>
      <c r="T222" s="330"/>
      <c r="U222" s="330"/>
      <c r="V222" s="330"/>
      <c r="W222" s="330"/>
      <c r="X222" s="330"/>
      <c r="Y222" s="330"/>
      <c r="Z222" s="330"/>
      <c r="AA222" s="330"/>
      <c r="AB222" s="330"/>
    </row>
    <row r="223" spans="1:28" hidden="1" x14ac:dyDescent="0.25">
      <c r="A223" s="210"/>
      <c r="B223" s="158" t="s">
        <v>483</v>
      </c>
      <c r="C223" s="249"/>
      <c r="D223" s="160">
        <f>INDEX(F245:F251,MATCH(D20,B245:B251,0))</f>
        <v>30</v>
      </c>
      <c r="E223" s="236"/>
      <c r="F223" s="202"/>
      <c r="G223" s="330"/>
      <c r="H223" s="330"/>
      <c r="I223" s="330"/>
      <c r="J223" s="330"/>
      <c r="K223" s="330"/>
      <c r="L223" s="330"/>
      <c r="M223" s="330"/>
      <c r="N223" s="330"/>
      <c r="O223" s="330"/>
      <c r="P223" s="330"/>
      <c r="Q223" s="330"/>
      <c r="R223" s="330"/>
      <c r="S223" s="330"/>
      <c r="T223" s="330"/>
      <c r="U223" s="330"/>
      <c r="V223" s="330"/>
      <c r="W223" s="330"/>
      <c r="X223" s="330"/>
      <c r="Y223" s="330"/>
      <c r="Z223" s="330"/>
      <c r="AA223" s="330"/>
      <c r="AB223" s="330"/>
    </row>
    <row r="224" spans="1:28" ht="18.75" x14ac:dyDescent="0.3">
      <c r="A224" s="210"/>
      <c r="B224" s="242" t="s">
        <v>395</v>
      </c>
      <c r="C224" s="243" t="s">
        <v>396</v>
      </c>
      <c r="D224" s="244">
        <f>D214</f>
        <v>3.2812909903289613</v>
      </c>
      <c r="E224" s="223" t="s">
        <v>472</v>
      </c>
      <c r="F224" s="202"/>
      <c r="G224" s="330"/>
      <c r="H224" s="330"/>
      <c r="I224" s="330"/>
      <c r="J224" s="330"/>
      <c r="K224" s="330"/>
      <c r="L224" s="330"/>
      <c r="M224" s="330"/>
      <c r="N224" s="330"/>
      <c r="O224" s="330"/>
      <c r="P224" s="330"/>
      <c r="Q224" s="330"/>
      <c r="R224" s="330"/>
      <c r="S224" s="330"/>
      <c r="T224" s="330"/>
      <c r="U224" s="330"/>
      <c r="V224" s="330"/>
      <c r="W224" s="330"/>
      <c r="X224" s="330"/>
      <c r="Y224" s="330"/>
      <c r="Z224" s="330"/>
      <c r="AA224" s="330"/>
      <c r="AB224" s="330"/>
    </row>
    <row r="225" spans="1:28" ht="19.5" x14ac:dyDescent="0.35">
      <c r="A225" s="210"/>
      <c r="B225" s="242" t="s">
        <v>397</v>
      </c>
      <c r="C225" s="212" t="s">
        <v>584</v>
      </c>
      <c r="D225" s="244">
        <f>IF(D20="LDC0851",1000/(PI()*SQRT(2*D22*D224)),1000/(2*PI()*SQRT((D22+D52)*D224)))</f>
        <v>4.4263897110081016</v>
      </c>
      <c r="E225" s="245" t="s">
        <v>0</v>
      </c>
      <c r="F225" s="302" t="str">
        <f>IF(ISERROR(D225),"",IF(D225&lt;D218,"Fsensor is too low",IF(D225&gt;D219,"Fsensor is too high - increase L or C","")))</f>
        <v>Fsensor is too low</v>
      </c>
      <c r="G225" s="330"/>
      <c r="H225" s="330"/>
      <c r="I225" s="330"/>
      <c r="J225" s="330"/>
      <c r="K225" s="330"/>
      <c r="L225" s="330"/>
      <c r="M225" s="330"/>
      <c r="N225" s="330"/>
      <c r="O225" s="330"/>
      <c r="P225" s="330"/>
      <c r="Q225" s="330"/>
      <c r="R225" s="330"/>
      <c r="S225" s="330"/>
      <c r="T225" s="330"/>
      <c r="U225" s="330"/>
      <c r="V225" s="330"/>
      <c r="W225" s="330"/>
      <c r="X225" s="330"/>
      <c r="Y225" s="330"/>
      <c r="Z225" s="330"/>
      <c r="AA225" s="330"/>
      <c r="AB225" s="330"/>
    </row>
    <row r="226" spans="1:28" ht="19.5" x14ac:dyDescent="0.35">
      <c r="A226" s="210"/>
      <c r="B226" s="246" t="s">
        <v>398</v>
      </c>
      <c r="C226" s="243" t="s">
        <v>586</v>
      </c>
      <c r="D226" s="247">
        <f>D217/1000</f>
        <v>2.3799690021813649</v>
      </c>
      <c r="E226" s="248" t="s">
        <v>243</v>
      </c>
      <c r="F226" s="302" t="str">
        <f>IF(ISERROR(D226),"",IF(D226&lt;D220,"Sensor Rp is too low - try a lower C or higher L",IF(D226&gt;D221,"Sensor Rp too high","")))</f>
        <v/>
      </c>
      <c r="G226" s="330"/>
      <c r="H226" s="330"/>
      <c r="I226" s="330"/>
      <c r="J226" s="330"/>
      <c r="K226" s="330"/>
      <c r="L226" s="330"/>
      <c r="M226" s="330"/>
      <c r="N226" s="330"/>
      <c r="O226" s="330"/>
      <c r="P226" s="330"/>
      <c r="Q226" s="330"/>
      <c r="R226" s="330"/>
      <c r="S226" s="330"/>
      <c r="T226" s="330"/>
      <c r="U226" s="330"/>
      <c r="V226" s="330"/>
      <c r="W226" s="330"/>
      <c r="X226" s="330"/>
      <c r="Y226" s="330"/>
      <c r="Z226" s="330"/>
      <c r="AA226" s="330"/>
      <c r="AB226" s="330"/>
    </row>
    <row r="227" spans="1:28" ht="18.75" x14ac:dyDescent="0.3">
      <c r="B227" s="242" t="s">
        <v>399</v>
      </c>
      <c r="C227" s="243" t="s">
        <v>400</v>
      </c>
      <c r="D227" s="303">
        <f>(D226)*SQRT(D22/D224)</f>
        <v>25.946646269272954</v>
      </c>
      <c r="E227" s="241"/>
      <c r="F227" s="302" t="str">
        <f>IF(ISERROR(D227),"",IF(D227&lt;D222,"Sensor Q is too low",IF(D227&gt;D223,"Sensor Q too high","")))</f>
        <v/>
      </c>
      <c r="G227" s="330"/>
      <c r="H227" s="330"/>
      <c r="I227" s="330"/>
      <c r="J227" s="330"/>
      <c r="K227" s="330"/>
      <c r="L227" s="330"/>
      <c r="M227" s="330"/>
      <c r="N227" s="330"/>
      <c r="O227" s="330"/>
      <c r="P227" s="330"/>
      <c r="Q227" s="330"/>
      <c r="R227" s="330"/>
      <c r="S227" s="330"/>
      <c r="T227" s="330"/>
      <c r="U227" s="330"/>
      <c r="V227" s="330"/>
      <c r="W227" s="330"/>
      <c r="X227" s="330"/>
      <c r="Y227" s="330"/>
      <c r="Z227" s="330"/>
      <c r="AA227" s="330"/>
      <c r="AB227" s="330"/>
    </row>
    <row r="228" spans="1:28" ht="18.75" hidden="1" x14ac:dyDescent="0.3">
      <c r="B228" s="328" t="s">
        <v>569</v>
      </c>
      <c r="C228" s="243" t="s">
        <v>567</v>
      </c>
      <c r="D228" s="327">
        <f>0.001*ROUND((100*D22/D227),-2)</f>
        <v>1.5</v>
      </c>
      <c r="E228" s="314" t="s">
        <v>578</v>
      </c>
      <c r="F228" s="302"/>
      <c r="G228" s="330"/>
      <c r="H228" s="330"/>
      <c r="I228" s="330"/>
      <c r="J228" s="330"/>
      <c r="K228" s="330"/>
      <c r="L228" s="330"/>
      <c r="M228" s="330"/>
      <c r="N228" s="330"/>
      <c r="O228" s="330"/>
      <c r="P228" s="330"/>
      <c r="Q228" s="330"/>
      <c r="R228" s="330"/>
      <c r="S228" s="330"/>
      <c r="T228" s="330"/>
      <c r="U228" s="330"/>
      <c r="V228" s="330"/>
      <c r="W228" s="330"/>
      <c r="X228" s="330"/>
      <c r="Y228" s="330"/>
      <c r="Z228" s="330"/>
      <c r="AA228" s="330"/>
      <c r="AB228" s="330"/>
    </row>
    <row r="229" spans="1:28" ht="18.75" hidden="1" x14ac:dyDescent="0.3">
      <c r="B229" s="328" t="s">
        <v>570</v>
      </c>
      <c r="C229" s="243" t="s">
        <v>568</v>
      </c>
      <c r="D229" s="327">
        <f>0.001*ROUND((1250*D22/D227),-1)</f>
        <v>18.79</v>
      </c>
      <c r="E229" s="314" t="s">
        <v>578</v>
      </c>
      <c r="F229" s="302"/>
      <c r="G229" s="330"/>
      <c r="H229" s="330"/>
      <c r="I229" s="330"/>
      <c r="J229" s="330"/>
      <c r="K229" s="330"/>
      <c r="L229" s="330"/>
      <c r="M229" s="330"/>
      <c r="N229" s="330"/>
      <c r="O229" s="330"/>
      <c r="P229" s="330"/>
      <c r="Q229" s="330"/>
      <c r="R229" s="330"/>
      <c r="S229" s="330"/>
      <c r="T229" s="330"/>
      <c r="U229" s="330"/>
      <c r="V229" s="330"/>
      <c r="W229" s="330"/>
      <c r="X229" s="330"/>
      <c r="Y229" s="330"/>
      <c r="Z229" s="330"/>
      <c r="AA229" s="330"/>
      <c r="AB229" s="330"/>
    </row>
    <row r="230" spans="1:28" ht="18.75" x14ac:dyDescent="0.3">
      <c r="B230" s="313" t="str">
        <f>IF(D20=B250,B253,"")</f>
        <v/>
      </c>
      <c r="C230" s="158" t="str">
        <f>IF(D20=B250,C253,"")</f>
        <v/>
      </c>
      <c r="D230" s="317" t="str">
        <f>IF(D20=B250,TEXT(D228,"##0.0#")&amp;"&lt; C &lt;"&amp;TEXT(D229,"###.0"),"")</f>
        <v/>
      </c>
      <c r="E230" s="318" t="str">
        <f>IF(D20=B250,"nF","")</f>
        <v/>
      </c>
      <c r="F230" s="315"/>
      <c r="G230" s="330"/>
      <c r="H230" s="330"/>
      <c r="I230" s="330"/>
      <c r="J230" s="330"/>
      <c r="K230" s="330"/>
      <c r="L230" s="330"/>
      <c r="M230" s="330"/>
      <c r="N230" s="330"/>
      <c r="O230" s="330"/>
      <c r="P230" s="330"/>
      <c r="Q230" s="330"/>
      <c r="R230" s="330"/>
      <c r="S230" s="330"/>
      <c r="T230" s="330"/>
      <c r="U230" s="330"/>
      <c r="V230" s="330"/>
      <c r="W230" s="330"/>
      <c r="X230" s="330"/>
      <c r="Y230" s="330"/>
      <c r="Z230" s="330"/>
      <c r="AA230" s="330"/>
      <c r="AB230" s="330"/>
    </row>
    <row r="231" spans="1:28" x14ac:dyDescent="0.25">
      <c r="A231" s="330"/>
      <c r="B231" s="330"/>
      <c r="C231" s="330"/>
      <c r="D231" s="331"/>
      <c r="E231" s="331"/>
      <c r="F231" s="332"/>
      <c r="G231" s="330"/>
      <c r="H231" s="330"/>
      <c r="I231" s="330"/>
      <c r="J231" s="330"/>
      <c r="K231" s="330"/>
      <c r="L231" s="330"/>
      <c r="M231" s="330"/>
      <c r="N231" s="330"/>
      <c r="O231" s="330"/>
      <c r="P231" s="330"/>
      <c r="Q231" s="330"/>
      <c r="R231" s="330"/>
      <c r="S231" s="330"/>
      <c r="T231" s="330"/>
      <c r="U231" s="330"/>
      <c r="V231" s="330"/>
      <c r="W231" s="330"/>
      <c r="X231" s="330"/>
      <c r="Y231" s="330"/>
      <c r="Z231" s="330"/>
      <c r="AA231" s="330"/>
      <c r="AB231" s="330"/>
    </row>
    <row r="232" spans="1:28" ht="15.75" x14ac:dyDescent="0.25">
      <c r="A232" s="330"/>
      <c r="B232" s="507"/>
      <c r="C232" s="508"/>
      <c r="D232" s="508"/>
      <c r="E232" s="508"/>
      <c r="F232" s="510"/>
      <c r="G232" s="330"/>
      <c r="H232" s="330"/>
      <c r="I232" s="330"/>
      <c r="J232" s="330"/>
      <c r="K232" s="330"/>
      <c r="L232" s="330"/>
      <c r="M232" s="330"/>
      <c r="N232" s="330"/>
      <c r="O232" s="330"/>
      <c r="P232" s="330"/>
      <c r="Q232" s="330"/>
      <c r="R232" s="330"/>
      <c r="S232" s="330"/>
      <c r="T232" s="330"/>
      <c r="U232" s="330"/>
      <c r="V232" s="330"/>
      <c r="W232" s="330"/>
      <c r="X232" s="330"/>
      <c r="Y232" s="330"/>
      <c r="Z232" s="330"/>
      <c r="AA232" s="330"/>
      <c r="AB232" s="330"/>
    </row>
    <row r="233" spans="1:28" x14ac:dyDescent="0.25">
      <c r="A233" s="330"/>
      <c r="B233" s="511"/>
      <c r="C233" s="511"/>
      <c r="D233" s="509"/>
      <c r="E233" s="509"/>
      <c r="F233" s="510"/>
      <c r="G233" s="330"/>
      <c r="H233" s="330"/>
      <c r="I233" s="330"/>
      <c r="J233" s="330"/>
      <c r="K233" s="330"/>
      <c r="L233" s="330"/>
      <c r="M233" s="330"/>
      <c r="N233" s="330"/>
      <c r="O233" s="330"/>
      <c r="P233" s="330"/>
      <c r="Q233" s="330"/>
      <c r="R233" s="330"/>
      <c r="S233" s="330"/>
      <c r="T233" s="330"/>
      <c r="U233" s="330"/>
      <c r="V233" s="330"/>
      <c r="W233" s="330"/>
      <c r="X233" s="330"/>
      <c r="Y233" s="330"/>
      <c r="Z233" s="330"/>
      <c r="AA233" s="330"/>
      <c r="AB233" s="330"/>
    </row>
    <row r="234" spans="1:28" x14ac:dyDescent="0.25">
      <c r="A234" s="330"/>
      <c r="B234" s="511"/>
      <c r="C234" s="511"/>
      <c r="D234" s="512"/>
      <c r="E234" s="509"/>
      <c r="F234" s="510"/>
      <c r="G234" s="330"/>
      <c r="H234" s="330"/>
      <c r="I234" s="330"/>
      <c r="J234" s="330"/>
      <c r="K234" s="330"/>
      <c r="L234" s="330"/>
      <c r="M234" s="330"/>
      <c r="N234" s="330"/>
      <c r="O234" s="330"/>
      <c r="P234" s="330"/>
      <c r="Q234" s="330"/>
      <c r="R234" s="330"/>
      <c r="S234" s="330"/>
      <c r="T234" s="330"/>
      <c r="U234" s="330"/>
      <c r="V234" s="330"/>
      <c r="W234" s="330"/>
      <c r="X234" s="330"/>
      <c r="Y234" s="330"/>
      <c r="Z234" s="330"/>
      <c r="AA234" s="330"/>
      <c r="AB234" s="330"/>
    </row>
    <row r="235" spans="1:28" x14ac:dyDescent="0.25">
      <c r="A235" s="330"/>
      <c r="B235" s="511"/>
      <c r="C235" s="511"/>
      <c r="D235" s="512"/>
      <c r="E235" s="509"/>
      <c r="F235" s="510"/>
      <c r="G235" s="330"/>
      <c r="H235" s="330"/>
      <c r="I235" s="330"/>
      <c r="J235" s="330"/>
      <c r="K235" s="330"/>
      <c r="L235" s="330"/>
      <c r="M235" s="330"/>
      <c r="N235" s="330"/>
      <c r="O235" s="330"/>
      <c r="P235" s="330"/>
      <c r="Q235" s="330"/>
      <c r="R235" s="330"/>
      <c r="S235" s="330"/>
      <c r="T235" s="330"/>
      <c r="U235" s="330"/>
      <c r="V235" s="330"/>
      <c r="W235" s="330"/>
      <c r="X235" s="330"/>
      <c r="Y235" s="330"/>
      <c r="Z235" s="330"/>
      <c r="AA235" s="330"/>
      <c r="AB235" s="330"/>
    </row>
    <row r="236" spans="1:28" hidden="1" x14ac:dyDescent="0.25">
      <c r="A236" s="330"/>
      <c r="B236" s="511"/>
      <c r="C236" s="511"/>
      <c r="D236" s="512"/>
      <c r="E236" s="509"/>
      <c r="F236" s="510"/>
      <c r="G236" s="330"/>
      <c r="H236" s="330"/>
      <c r="I236" s="330"/>
      <c r="J236" s="330"/>
      <c r="K236" s="330"/>
      <c r="L236" s="330"/>
      <c r="M236" s="330"/>
      <c r="N236" s="330"/>
      <c r="O236" s="330"/>
      <c r="P236" s="330"/>
      <c r="Q236" s="330"/>
      <c r="R236" s="330"/>
      <c r="S236" s="330"/>
      <c r="T236" s="330"/>
      <c r="U236" s="330"/>
      <c r="V236" s="330"/>
      <c r="W236" s="330"/>
      <c r="X236" s="330"/>
      <c r="Y236" s="330"/>
      <c r="Z236" s="330"/>
      <c r="AA236" s="330"/>
      <c r="AB236" s="330"/>
    </row>
    <row r="237" spans="1:28" s="185" customFormat="1" hidden="1" x14ac:dyDescent="0.25">
      <c r="A237" s="331"/>
      <c r="B237" s="511"/>
      <c r="C237" s="511"/>
      <c r="D237" s="512"/>
      <c r="E237" s="509"/>
      <c r="F237" s="510"/>
      <c r="G237" s="330"/>
      <c r="H237" s="330"/>
      <c r="I237" s="331"/>
      <c r="J237" s="331"/>
      <c r="K237" s="331"/>
      <c r="L237" s="331"/>
      <c r="M237" s="331"/>
      <c r="N237" s="331"/>
      <c r="O237" s="331"/>
      <c r="P237" s="331"/>
      <c r="Q237" s="331"/>
      <c r="R237" s="331"/>
      <c r="S237" s="331"/>
      <c r="T237" s="331"/>
      <c r="U237" s="331"/>
      <c r="V237" s="331"/>
      <c r="W237" s="331"/>
      <c r="X237" s="331"/>
      <c r="Y237" s="331"/>
      <c r="Z237" s="331"/>
      <c r="AA237" s="331"/>
      <c r="AB237" s="331"/>
    </row>
    <row r="238" spans="1:28" s="185" customFormat="1" hidden="1" x14ac:dyDescent="0.25">
      <c r="A238" s="331"/>
      <c r="B238" s="511"/>
      <c r="C238" s="511"/>
      <c r="D238" s="512"/>
      <c r="E238" s="509"/>
      <c r="F238" s="510"/>
      <c r="G238" s="330"/>
      <c r="H238" s="330"/>
      <c r="I238" s="331"/>
      <c r="J238" s="331"/>
      <c r="K238" s="331"/>
      <c r="L238" s="331"/>
      <c r="M238" s="331"/>
      <c r="N238" s="331"/>
      <c r="O238" s="331"/>
      <c r="P238" s="331"/>
      <c r="Q238" s="331"/>
      <c r="R238" s="331"/>
      <c r="S238" s="331"/>
      <c r="T238" s="331"/>
      <c r="U238" s="331"/>
      <c r="V238" s="331"/>
      <c r="W238" s="331"/>
      <c r="X238" s="331"/>
      <c r="Y238" s="331"/>
      <c r="Z238" s="331"/>
      <c r="AA238" s="331"/>
      <c r="AB238" s="331"/>
    </row>
    <row r="239" spans="1:28" s="185" customFormat="1" hidden="1" x14ac:dyDescent="0.25">
      <c r="A239" s="331"/>
      <c r="B239" s="511"/>
      <c r="C239" s="511"/>
      <c r="D239" s="512"/>
      <c r="E239" s="509"/>
      <c r="F239" s="510"/>
      <c r="G239" s="330"/>
      <c r="H239" s="330"/>
      <c r="I239" s="331"/>
      <c r="J239" s="331"/>
      <c r="K239" s="331"/>
      <c r="L239" s="331"/>
      <c r="M239" s="331"/>
      <c r="N239" s="331"/>
      <c r="O239" s="331"/>
      <c r="P239" s="331"/>
      <c r="Q239" s="331"/>
      <c r="R239" s="331"/>
      <c r="S239" s="331"/>
      <c r="T239" s="331"/>
      <c r="U239" s="331"/>
      <c r="V239" s="331"/>
      <c r="W239" s="331"/>
      <c r="X239" s="331"/>
      <c r="Y239" s="331"/>
      <c r="Z239" s="331"/>
      <c r="AA239" s="331"/>
      <c r="AB239" s="331"/>
    </row>
    <row r="240" spans="1:28" hidden="1" x14ac:dyDescent="0.25">
      <c r="A240" s="330"/>
      <c r="B240" s="511"/>
      <c r="C240" s="511"/>
      <c r="D240" s="509"/>
      <c r="E240" s="509"/>
      <c r="F240" s="510"/>
      <c r="G240" s="330"/>
      <c r="H240" s="330"/>
      <c r="I240" s="330"/>
      <c r="J240" s="330"/>
      <c r="K240" s="330"/>
      <c r="L240" s="330"/>
      <c r="M240" s="330"/>
      <c r="N240" s="330"/>
      <c r="O240" s="330"/>
      <c r="P240" s="330"/>
      <c r="Q240" s="330"/>
      <c r="R240" s="330"/>
      <c r="S240" s="330"/>
      <c r="T240" s="330"/>
      <c r="U240" s="330"/>
      <c r="V240" s="330"/>
      <c r="W240" s="330"/>
      <c r="X240" s="330"/>
      <c r="Y240" s="330"/>
      <c r="Z240" s="330"/>
      <c r="AA240" s="330"/>
      <c r="AB240" s="330"/>
    </row>
    <row r="241" spans="1:28" hidden="1" x14ac:dyDescent="0.25">
      <c r="A241" s="330"/>
      <c r="B241" s="511"/>
      <c r="C241" s="511"/>
      <c r="D241" s="509"/>
      <c r="E241" s="509"/>
      <c r="F241" s="510"/>
      <c r="G241" s="330"/>
      <c r="H241" s="330"/>
      <c r="I241" s="330"/>
      <c r="J241" s="330"/>
      <c r="K241" s="330"/>
      <c r="L241" s="330"/>
      <c r="M241" s="330"/>
      <c r="N241" s="330"/>
      <c r="O241" s="330"/>
      <c r="P241" s="330"/>
      <c r="Q241" s="330"/>
      <c r="R241" s="330"/>
      <c r="S241" s="330"/>
      <c r="T241" s="330"/>
      <c r="U241" s="330"/>
      <c r="V241" s="330"/>
      <c r="W241" s="330"/>
      <c r="X241" s="330"/>
      <c r="Y241" s="330"/>
      <c r="Z241" s="330"/>
      <c r="AA241" s="330"/>
      <c r="AB241" s="330"/>
    </row>
    <row r="242" spans="1:28" hidden="1" x14ac:dyDescent="0.25">
      <c r="A242" s="330"/>
      <c r="B242" s="511"/>
      <c r="C242" s="511"/>
      <c r="D242" s="509"/>
      <c r="E242" s="509"/>
      <c r="F242" s="510"/>
      <c r="G242" s="330"/>
      <c r="H242" s="330"/>
      <c r="I242" s="330"/>
      <c r="J242" s="330"/>
      <c r="K242" s="330"/>
      <c r="L242" s="330"/>
      <c r="M242" s="330"/>
      <c r="N242" s="330"/>
      <c r="O242" s="330"/>
      <c r="P242" s="330"/>
      <c r="Q242" s="330"/>
      <c r="R242" s="330"/>
      <c r="S242" s="330"/>
      <c r="T242" s="330"/>
      <c r="U242" s="330"/>
      <c r="V242" s="330"/>
      <c r="W242" s="330"/>
      <c r="X242" s="330"/>
      <c r="Y242" s="330"/>
      <c r="Z242" s="330"/>
      <c r="AA242" s="330"/>
      <c r="AB242" s="330"/>
    </row>
    <row r="243" spans="1:28" hidden="1" x14ac:dyDescent="0.25">
      <c r="A243" s="330"/>
      <c r="B243" s="511"/>
      <c r="C243" s="511"/>
      <c r="D243" s="509"/>
      <c r="E243" s="509"/>
      <c r="F243" s="510"/>
      <c r="G243" s="330"/>
      <c r="H243" s="330"/>
      <c r="I243" s="330"/>
      <c r="J243" s="330"/>
      <c r="K243" s="330"/>
      <c r="L243" s="330"/>
      <c r="M243" s="330"/>
      <c r="N243" s="330"/>
      <c r="O243" s="330"/>
      <c r="P243" s="330"/>
      <c r="Q243" s="330"/>
      <c r="R243" s="330"/>
      <c r="S243" s="330"/>
      <c r="T243" s="330"/>
      <c r="U243" s="330"/>
      <c r="V243" s="330"/>
      <c r="W243" s="330"/>
      <c r="X243" s="330"/>
      <c r="Y243" s="330"/>
      <c r="Z243" s="330"/>
      <c r="AA243" s="330"/>
      <c r="AB243" s="330"/>
    </row>
    <row r="244" spans="1:28" hidden="1" x14ac:dyDescent="0.25">
      <c r="A244" s="330"/>
      <c r="B244" s="513" t="s">
        <v>15</v>
      </c>
      <c r="C244" s="513" t="s">
        <v>485</v>
      </c>
      <c r="D244" s="514" t="s">
        <v>486</v>
      </c>
      <c r="E244" s="514" t="s">
        <v>487</v>
      </c>
      <c r="F244" s="514" t="s">
        <v>488</v>
      </c>
      <c r="G244" s="773" t="s">
        <v>489</v>
      </c>
      <c r="H244" s="774" t="s">
        <v>490</v>
      </c>
      <c r="I244" s="330"/>
      <c r="J244" s="330"/>
      <c r="K244" s="330"/>
      <c r="L244" s="330"/>
      <c r="M244" s="330"/>
      <c r="N244" s="330"/>
      <c r="O244" s="330"/>
      <c r="P244" s="330"/>
      <c r="Q244" s="330"/>
      <c r="R244" s="330"/>
      <c r="S244" s="330"/>
      <c r="T244" s="330"/>
      <c r="U244" s="330"/>
      <c r="V244" s="330"/>
      <c r="W244" s="330"/>
      <c r="X244" s="330"/>
      <c r="Y244" s="330"/>
      <c r="Z244" s="330"/>
      <c r="AA244" s="330"/>
      <c r="AB244" s="330"/>
    </row>
    <row r="245" spans="1:28" hidden="1" x14ac:dyDescent="0.25">
      <c r="A245" s="330"/>
      <c r="B245" s="515" t="s">
        <v>332</v>
      </c>
      <c r="C245" s="515">
        <v>1</v>
      </c>
      <c r="D245" s="516">
        <v>60</v>
      </c>
      <c r="E245" s="516">
        <v>2.5</v>
      </c>
      <c r="F245" s="517">
        <v>100</v>
      </c>
      <c r="G245" s="775">
        <v>0.5</v>
      </c>
      <c r="H245" s="151">
        <v>10</v>
      </c>
      <c r="I245" s="330"/>
      <c r="J245" s="330"/>
      <c r="K245" s="330"/>
      <c r="L245" s="330"/>
      <c r="M245" s="330"/>
      <c r="N245" s="330"/>
      <c r="O245" s="330"/>
      <c r="P245" s="330"/>
      <c r="Q245" s="330"/>
      <c r="R245" s="330"/>
      <c r="S245" s="330"/>
      <c r="T245" s="330"/>
      <c r="U245" s="330"/>
      <c r="V245" s="330"/>
      <c r="W245" s="330"/>
      <c r="X245" s="330"/>
      <c r="Y245" s="330"/>
      <c r="Z245" s="330"/>
      <c r="AA245" s="330"/>
      <c r="AB245" s="330"/>
    </row>
    <row r="246" spans="1:28" hidden="1" x14ac:dyDescent="0.25">
      <c r="A246" s="330"/>
      <c r="B246" s="515" t="s">
        <v>10</v>
      </c>
      <c r="C246" s="515">
        <v>1</v>
      </c>
      <c r="D246" s="516">
        <v>1000</v>
      </c>
      <c r="E246" s="516">
        <v>2.5</v>
      </c>
      <c r="F246" s="517">
        <v>1000</v>
      </c>
      <c r="G246" s="775">
        <v>5.0000000000000001E-3</v>
      </c>
      <c r="H246" s="151">
        <v>5</v>
      </c>
      <c r="I246" s="330"/>
      <c r="J246" s="330"/>
      <c r="K246" s="330"/>
      <c r="L246" s="330"/>
      <c r="M246" s="330"/>
      <c r="N246" s="330"/>
      <c r="O246" s="330"/>
      <c r="P246" s="330"/>
      <c r="Q246" s="330"/>
      <c r="R246" s="330"/>
      <c r="S246" s="330"/>
      <c r="T246" s="330"/>
      <c r="U246" s="330"/>
      <c r="V246" s="330"/>
      <c r="W246" s="330"/>
      <c r="X246" s="330"/>
      <c r="Y246" s="330"/>
      <c r="Z246" s="330"/>
      <c r="AA246" s="330"/>
      <c r="AB246" s="330"/>
    </row>
    <row r="247" spans="1:28" hidden="1" x14ac:dyDescent="0.25">
      <c r="A247" s="330"/>
      <c r="B247" s="515" t="s">
        <v>214</v>
      </c>
      <c r="C247" s="515">
        <v>0.25</v>
      </c>
      <c r="D247" s="516">
        <v>500</v>
      </c>
      <c r="E247" s="516">
        <v>2.5</v>
      </c>
      <c r="F247" s="517">
        <v>1000</v>
      </c>
      <c r="G247" s="775">
        <v>1E-3</v>
      </c>
      <c r="H247" s="151">
        <v>10</v>
      </c>
      <c r="I247" s="330"/>
      <c r="J247" s="330"/>
      <c r="K247" s="330"/>
      <c r="L247" s="330"/>
      <c r="M247" s="330"/>
      <c r="N247" s="330"/>
      <c r="O247" s="330"/>
      <c r="P247" s="330"/>
      <c r="Q247" s="330"/>
      <c r="R247" s="330"/>
      <c r="S247" s="330"/>
      <c r="T247" s="330"/>
      <c r="U247" s="330"/>
      <c r="V247" s="330"/>
      <c r="W247" s="330"/>
      <c r="X247" s="330"/>
      <c r="Y247" s="330"/>
      <c r="Z247" s="330"/>
      <c r="AA247" s="330"/>
      <c r="AB247" s="330"/>
    </row>
    <row r="248" spans="1:28" hidden="1" x14ac:dyDescent="0.25">
      <c r="A248" s="330"/>
      <c r="B248" s="515" t="s">
        <v>215</v>
      </c>
      <c r="C248" s="515">
        <v>0.25</v>
      </c>
      <c r="D248" s="516">
        <v>500</v>
      </c>
      <c r="E248" s="516">
        <v>2.5</v>
      </c>
      <c r="F248" s="517">
        <v>1000</v>
      </c>
      <c r="G248" s="775">
        <v>1E-3</v>
      </c>
      <c r="H248" s="151">
        <v>10</v>
      </c>
      <c r="I248" s="330"/>
      <c r="J248" s="330"/>
      <c r="K248" s="330"/>
      <c r="L248" s="330"/>
      <c r="M248" s="330"/>
      <c r="N248" s="330"/>
      <c r="O248" s="330"/>
      <c r="P248" s="330"/>
      <c r="Q248" s="330"/>
      <c r="R248" s="330"/>
      <c r="S248" s="330"/>
      <c r="T248" s="330"/>
      <c r="U248" s="330"/>
      <c r="V248" s="330"/>
      <c r="W248" s="330"/>
      <c r="X248" s="330"/>
      <c r="Y248" s="330"/>
      <c r="Z248" s="330"/>
      <c r="AA248" s="330"/>
      <c r="AB248" s="330"/>
    </row>
    <row r="249" spans="1:28" hidden="1" x14ac:dyDescent="0.25">
      <c r="A249" s="330"/>
      <c r="B249" s="515" t="s">
        <v>587</v>
      </c>
      <c r="C249" s="515">
        <v>0.01</v>
      </c>
      <c r="D249" s="516">
        <v>500</v>
      </c>
      <c r="E249" s="516">
        <v>1</v>
      </c>
      <c r="F249" s="517">
        <v>1000</v>
      </c>
      <c r="G249" s="775">
        <v>0.3</v>
      </c>
      <c r="H249" s="151">
        <v>19</v>
      </c>
      <c r="I249" s="330"/>
      <c r="J249" s="330"/>
      <c r="K249" s="330"/>
      <c r="L249" s="330"/>
      <c r="M249" s="330"/>
      <c r="N249" s="330"/>
      <c r="O249" s="330"/>
      <c r="P249" s="330"/>
      <c r="Q249" s="330"/>
      <c r="R249" s="330"/>
      <c r="S249" s="330"/>
      <c r="T249" s="330"/>
      <c r="U249" s="330"/>
      <c r="V249" s="330"/>
      <c r="W249" s="330"/>
      <c r="X249" s="330"/>
      <c r="Y249" s="330"/>
      <c r="Z249" s="330"/>
      <c r="AA249" s="330"/>
      <c r="AB249" s="330"/>
    </row>
    <row r="250" spans="1:28" hidden="1" x14ac:dyDescent="0.25">
      <c r="A250" s="330"/>
      <c r="B250" s="515" t="s">
        <v>1043</v>
      </c>
      <c r="C250" s="515">
        <v>0.35</v>
      </c>
      <c r="D250" s="516">
        <v>10</v>
      </c>
      <c r="E250" s="516">
        <v>5</v>
      </c>
      <c r="F250" s="517">
        <v>30</v>
      </c>
      <c r="G250" s="775">
        <v>1</v>
      </c>
      <c r="H250" s="151">
        <v>30</v>
      </c>
      <c r="I250" s="330"/>
      <c r="J250" s="330"/>
      <c r="K250" s="330"/>
      <c r="L250" s="330"/>
      <c r="M250" s="330"/>
      <c r="N250" s="330"/>
      <c r="O250" s="330"/>
      <c r="P250" s="330"/>
      <c r="Q250" s="330"/>
      <c r="R250" s="330"/>
      <c r="S250" s="330"/>
      <c r="T250" s="330"/>
      <c r="U250" s="330"/>
      <c r="V250" s="330"/>
      <c r="W250" s="330"/>
      <c r="X250" s="330"/>
      <c r="Y250" s="330"/>
      <c r="Z250" s="330"/>
      <c r="AA250" s="330"/>
      <c r="AB250" s="330"/>
    </row>
    <row r="251" spans="1:28" hidden="1" x14ac:dyDescent="0.25">
      <c r="A251" s="330"/>
      <c r="B251" s="515" t="s">
        <v>1648</v>
      </c>
      <c r="C251" s="515">
        <v>0.35</v>
      </c>
      <c r="D251" s="516">
        <v>10</v>
      </c>
      <c r="E251" s="516">
        <v>5</v>
      </c>
      <c r="F251" s="517">
        <v>30</v>
      </c>
      <c r="G251" s="775">
        <v>5</v>
      </c>
      <c r="H251" s="151">
        <v>30</v>
      </c>
      <c r="I251" s="330"/>
      <c r="J251" s="330"/>
      <c r="K251" s="330"/>
      <c r="L251" s="330"/>
      <c r="M251" s="330"/>
      <c r="N251" s="330"/>
      <c r="O251" s="330"/>
      <c r="P251" s="330"/>
      <c r="Q251" s="330"/>
      <c r="R251" s="330"/>
      <c r="S251" s="330"/>
      <c r="T251" s="330"/>
      <c r="U251" s="330"/>
      <c r="V251" s="330"/>
      <c r="W251" s="330"/>
      <c r="X251" s="330"/>
      <c r="Y251" s="330"/>
      <c r="Z251" s="330"/>
      <c r="AA251" s="330"/>
      <c r="AB251" s="330"/>
    </row>
    <row r="252" spans="1:28" hidden="1" x14ac:dyDescent="0.25">
      <c r="A252" s="330"/>
      <c r="B252" s="511"/>
      <c r="C252" s="511"/>
      <c r="D252" s="509"/>
      <c r="E252" s="509"/>
      <c r="F252" s="510"/>
      <c r="G252" s="330"/>
      <c r="H252" s="330"/>
      <c r="I252" s="330"/>
      <c r="J252" s="330"/>
      <c r="K252" s="330"/>
      <c r="L252" s="330"/>
      <c r="M252" s="330"/>
      <c r="N252" s="330"/>
      <c r="O252" s="330"/>
      <c r="P252" s="330"/>
      <c r="Q252" s="330"/>
      <c r="R252" s="330"/>
      <c r="S252" s="330"/>
      <c r="T252" s="330"/>
      <c r="U252" s="330"/>
      <c r="V252" s="330"/>
      <c r="W252" s="330"/>
      <c r="X252" s="330"/>
      <c r="Y252" s="330"/>
      <c r="Z252" s="330"/>
      <c r="AA252" s="330"/>
      <c r="AB252" s="330"/>
    </row>
    <row r="253" spans="1:28" ht="18" hidden="1" x14ac:dyDescent="0.35">
      <c r="A253" s="330"/>
      <c r="B253" s="515" t="s">
        <v>573</v>
      </c>
      <c r="C253" s="511" t="s">
        <v>571</v>
      </c>
      <c r="D253" s="509"/>
      <c r="E253" s="509"/>
      <c r="F253" s="510"/>
      <c r="G253" s="330"/>
      <c r="H253" s="330"/>
      <c r="I253" s="330"/>
      <c r="J253" s="330"/>
      <c r="K253" s="330"/>
      <c r="L253" s="330"/>
      <c r="M253" s="330"/>
      <c r="N253" s="330"/>
      <c r="O253" s="330"/>
      <c r="P253" s="330"/>
      <c r="Q253" s="330"/>
      <c r="R253" s="330"/>
      <c r="S253" s="330"/>
      <c r="T253" s="330"/>
      <c r="U253" s="330"/>
      <c r="V253" s="330"/>
      <c r="W253" s="330"/>
      <c r="X253" s="330"/>
      <c r="Y253" s="330"/>
      <c r="Z253" s="330"/>
      <c r="AA253" s="330"/>
      <c r="AB253" s="330"/>
    </row>
    <row r="254" spans="1:28" hidden="1" x14ac:dyDescent="0.25">
      <c r="A254" s="330"/>
      <c r="B254" s="511"/>
      <c r="C254" s="511"/>
      <c r="D254" s="509"/>
      <c r="E254" s="509"/>
      <c r="F254" s="510"/>
      <c r="G254" s="330"/>
      <c r="H254" s="330"/>
      <c r="I254" s="330"/>
      <c r="J254" s="330"/>
      <c r="K254" s="330"/>
      <c r="L254" s="330"/>
      <c r="M254" s="330"/>
      <c r="N254" s="330"/>
      <c r="O254" s="330"/>
      <c r="P254" s="330"/>
      <c r="Q254" s="330"/>
      <c r="R254" s="330"/>
      <c r="S254" s="330"/>
      <c r="T254" s="330"/>
      <c r="U254" s="330"/>
      <c r="V254" s="330"/>
      <c r="W254" s="330"/>
      <c r="X254" s="330"/>
      <c r="Y254" s="330"/>
      <c r="Z254" s="330"/>
      <c r="AA254" s="330"/>
      <c r="AB254" s="330"/>
    </row>
    <row r="255" spans="1:28" hidden="1" x14ac:dyDescent="0.25">
      <c r="A255" s="330"/>
      <c r="B255" s="511"/>
      <c r="C255" s="511"/>
      <c r="D255" s="509"/>
      <c r="E255" s="509"/>
      <c r="F255" s="510"/>
      <c r="G255" s="330"/>
      <c r="H255" s="330"/>
      <c r="I255" s="330"/>
      <c r="J255" s="330"/>
      <c r="K255" s="330"/>
      <c r="L255" s="330"/>
      <c r="M255" s="330"/>
      <c r="N255" s="330"/>
      <c r="O255" s="330"/>
      <c r="P255" s="330"/>
      <c r="Q255" s="330"/>
      <c r="R255" s="330"/>
      <c r="S255" s="330"/>
      <c r="T255" s="330"/>
      <c r="U255" s="330"/>
      <c r="V255" s="330"/>
      <c r="W255" s="330"/>
      <c r="X255" s="330"/>
      <c r="Y255" s="330"/>
      <c r="Z255" s="330"/>
      <c r="AA255" s="330"/>
      <c r="AB255" s="330"/>
    </row>
    <row r="256" spans="1:28" hidden="1" x14ac:dyDescent="0.25">
      <c r="A256" s="330"/>
      <c r="B256" s="330"/>
      <c r="C256" s="330"/>
      <c r="D256" s="331"/>
      <c r="E256" s="331"/>
      <c r="F256" s="332"/>
      <c r="G256" s="330"/>
      <c r="H256" s="330"/>
      <c r="I256" s="330"/>
      <c r="J256" s="330"/>
      <c r="K256" s="330"/>
      <c r="L256" s="330"/>
      <c r="M256" s="330"/>
      <c r="N256" s="330"/>
      <c r="O256" s="330"/>
      <c r="P256" s="330"/>
      <c r="Q256" s="330"/>
      <c r="R256" s="330"/>
      <c r="S256" s="330"/>
      <c r="T256" s="330"/>
      <c r="U256" s="330"/>
      <c r="V256" s="330"/>
      <c r="W256" s="330"/>
      <c r="X256" s="330"/>
      <c r="Y256" s="330"/>
      <c r="Z256" s="330"/>
      <c r="AA256" s="330"/>
      <c r="AB256" s="330"/>
    </row>
    <row r="257" spans="1:28" hidden="1" x14ac:dyDescent="0.25">
      <c r="A257" s="330"/>
      <c r="B257" s="330"/>
      <c r="C257" s="330"/>
      <c r="D257" s="331"/>
      <c r="E257" s="331"/>
      <c r="F257" s="332"/>
      <c r="G257" s="330"/>
      <c r="H257" s="330"/>
      <c r="I257" s="330"/>
      <c r="J257" s="330"/>
      <c r="K257" s="330"/>
      <c r="L257" s="330"/>
      <c r="M257" s="330"/>
      <c r="N257" s="330"/>
      <c r="O257" s="330"/>
      <c r="P257" s="330"/>
      <c r="Q257" s="330"/>
      <c r="R257" s="330"/>
      <c r="S257" s="330"/>
      <c r="T257" s="330"/>
      <c r="U257" s="330"/>
      <c r="V257" s="330"/>
      <c r="W257" s="330"/>
      <c r="X257" s="330"/>
      <c r="Y257" s="330"/>
      <c r="Z257" s="330"/>
      <c r="AA257" s="330"/>
      <c r="AB257" s="330"/>
    </row>
    <row r="258" spans="1:28" x14ac:dyDescent="0.25">
      <c r="A258" s="330"/>
      <c r="B258" s="330"/>
      <c r="C258" s="330"/>
      <c r="D258" s="331"/>
      <c r="E258" s="331"/>
      <c r="F258" s="332"/>
      <c r="G258" s="330"/>
      <c r="H258" s="330"/>
      <c r="I258" s="330"/>
      <c r="J258" s="330"/>
      <c r="K258" s="330"/>
      <c r="L258" s="330"/>
      <c r="M258" s="330"/>
      <c r="N258" s="330"/>
      <c r="O258" s="330"/>
      <c r="P258" s="330"/>
      <c r="Q258" s="330"/>
      <c r="R258" s="330"/>
      <c r="S258" s="330"/>
      <c r="T258" s="330"/>
      <c r="U258" s="330"/>
      <c r="V258" s="330"/>
      <c r="W258" s="330"/>
      <c r="X258" s="330"/>
      <c r="Y258" s="330"/>
      <c r="Z258" s="330"/>
      <c r="AA258" s="330"/>
      <c r="AB258" s="330"/>
    </row>
    <row r="259" spans="1:28" x14ac:dyDescent="0.25">
      <c r="A259" s="330"/>
      <c r="B259" s="330"/>
      <c r="C259" s="330"/>
      <c r="D259" s="331"/>
      <c r="E259" s="331"/>
      <c r="F259" s="332"/>
      <c r="G259" s="330"/>
      <c r="H259" s="330"/>
      <c r="I259" s="330"/>
      <c r="J259" s="330"/>
      <c r="K259" s="330"/>
      <c r="L259" s="330"/>
      <c r="M259" s="330"/>
      <c r="N259" s="330"/>
      <c r="O259" s="330"/>
      <c r="P259" s="330"/>
      <c r="Q259" s="330"/>
      <c r="R259" s="330"/>
      <c r="S259" s="330"/>
      <c r="T259" s="330"/>
      <c r="U259" s="330"/>
      <c r="V259" s="330"/>
      <c r="W259" s="330"/>
      <c r="X259" s="330"/>
      <c r="Y259" s="330"/>
      <c r="Z259" s="330"/>
      <c r="AA259" s="330"/>
      <c r="AB259" s="330"/>
    </row>
    <row r="260" spans="1:28" x14ac:dyDescent="0.25">
      <c r="A260" s="330"/>
      <c r="B260" s="330"/>
      <c r="C260" s="330"/>
      <c r="D260" s="331"/>
      <c r="E260" s="331"/>
      <c r="F260" s="332"/>
      <c r="G260" s="330"/>
      <c r="H260" s="330"/>
      <c r="I260" s="330"/>
      <c r="J260" s="330"/>
      <c r="K260" s="330"/>
      <c r="L260" s="330"/>
      <c r="M260" s="330"/>
      <c r="N260" s="330"/>
      <c r="O260" s="330"/>
      <c r="P260" s="330"/>
      <c r="Q260" s="330"/>
      <c r="R260" s="330"/>
      <c r="S260" s="330"/>
      <c r="T260" s="330"/>
      <c r="U260" s="330"/>
      <c r="V260" s="330"/>
      <c r="W260" s="330"/>
      <c r="X260" s="330"/>
      <c r="Y260" s="330"/>
      <c r="Z260" s="330"/>
      <c r="AA260" s="330"/>
      <c r="AB260" s="330"/>
    </row>
    <row r="261" spans="1:28" x14ac:dyDescent="0.25">
      <c r="A261" s="330"/>
      <c r="B261" s="330"/>
      <c r="C261" s="330"/>
      <c r="D261" s="331"/>
      <c r="E261" s="331"/>
      <c r="F261" s="332"/>
      <c r="G261" s="330"/>
      <c r="H261" s="330"/>
      <c r="I261" s="330"/>
      <c r="J261" s="330"/>
      <c r="K261" s="330"/>
      <c r="L261" s="330"/>
      <c r="M261" s="330"/>
      <c r="N261" s="330"/>
      <c r="O261" s="330"/>
      <c r="P261" s="330"/>
      <c r="Q261" s="330"/>
      <c r="R261" s="330"/>
      <c r="S261" s="330"/>
      <c r="T261" s="330"/>
      <c r="U261" s="330"/>
      <c r="V261" s="330"/>
      <c r="W261" s="330"/>
      <c r="X261" s="330"/>
      <c r="Y261" s="330"/>
      <c r="Z261" s="330"/>
      <c r="AA261" s="330"/>
      <c r="AB261" s="330"/>
    </row>
    <row r="262" spans="1:28" x14ac:dyDescent="0.25">
      <c r="A262" s="330"/>
      <c r="B262" s="330"/>
      <c r="C262" s="330"/>
      <c r="D262" s="331"/>
      <c r="E262" s="331"/>
      <c r="F262" s="332"/>
      <c r="G262" s="330"/>
      <c r="H262" s="330"/>
      <c r="I262" s="330"/>
      <c r="J262" s="330"/>
      <c r="K262" s="330"/>
      <c r="L262" s="330"/>
      <c r="M262" s="330"/>
      <c r="N262" s="330"/>
      <c r="O262" s="330"/>
      <c r="P262" s="330"/>
      <c r="Q262" s="330"/>
      <c r="R262" s="330"/>
      <c r="S262" s="330"/>
      <c r="T262" s="330"/>
      <c r="U262" s="330"/>
      <c r="V262" s="330"/>
      <c r="W262" s="330"/>
      <c r="X262" s="330"/>
      <c r="Y262" s="330"/>
      <c r="Z262" s="330"/>
      <c r="AA262" s="330"/>
      <c r="AB262" s="330"/>
    </row>
    <row r="263" spans="1:28" x14ac:dyDescent="0.25">
      <c r="A263" s="330"/>
      <c r="B263" s="330"/>
      <c r="C263" s="330"/>
      <c r="D263" s="331"/>
      <c r="E263" s="331"/>
      <c r="F263" s="332"/>
      <c r="G263" s="330"/>
      <c r="H263" s="330"/>
      <c r="I263" s="330"/>
      <c r="J263" s="330"/>
      <c r="K263" s="330"/>
      <c r="L263" s="330"/>
      <c r="M263" s="330"/>
      <c r="N263" s="330"/>
      <c r="O263" s="330"/>
      <c r="P263" s="330"/>
      <c r="Q263" s="330"/>
      <c r="R263" s="330"/>
      <c r="S263" s="330"/>
      <c r="T263" s="330"/>
      <c r="U263" s="330"/>
      <c r="V263" s="330"/>
      <c r="W263" s="330"/>
      <c r="X263" s="330"/>
      <c r="Y263" s="330"/>
      <c r="Z263" s="330"/>
      <c r="AA263" s="330"/>
      <c r="AB263" s="330"/>
    </row>
    <row r="264" spans="1:28" x14ac:dyDescent="0.25">
      <c r="A264" s="330"/>
      <c r="B264" s="330"/>
      <c r="C264" s="330"/>
      <c r="D264" s="331"/>
      <c r="E264" s="331"/>
      <c r="F264" s="332"/>
      <c r="G264" s="330"/>
      <c r="H264" s="330"/>
      <c r="I264" s="330"/>
      <c r="J264" s="330"/>
      <c r="K264" s="330"/>
      <c r="L264" s="330"/>
      <c r="M264" s="330"/>
      <c r="N264" s="330"/>
      <c r="O264" s="330"/>
      <c r="P264" s="330"/>
      <c r="Q264" s="330"/>
      <c r="R264" s="330"/>
      <c r="S264" s="330"/>
      <c r="T264" s="330"/>
      <c r="U264" s="330"/>
      <c r="V264" s="330"/>
      <c r="W264" s="330"/>
      <c r="X264" s="330"/>
      <c r="Y264" s="330"/>
      <c r="Z264" s="330"/>
      <c r="AA264" s="330"/>
      <c r="AB264" s="330"/>
    </row>
    <row r="265" spans="1:28" x14ac:dyDescent="0.25">
      <c r="A265" s="330"/>
      <c r="B265" s="330"/>
      <c r="C265" s="330"/>
      <c r="D265" s="331"/>
      <c r="E265" s="331"/>
      <c r="F265" s="332"/>
      <c r="G265" s="330"/>
      <c r="H265" s="330"/>
      <c r="I265" s="330"/>
      <c r="J265" s="330"/>
      <c r="K265" s="330"/>
      <c r="L265" s="330"/>
      <c r="M265" s="330"/>
      <c r="N265" s="330"/>
      <c r="O265" s="330"/>
      <c r="P265" s="330"/>
      <c r="Q265" s="330"/>
      <c r="R265" s="330"/>
      <c r="S265" s="330"/>
      <c r="T265" s="330"/>
      <c r="U265" s="330"/>
      <c r="V265" s="330"/>
      <c r="W265" s="330"/>
      <c r="X265" s="330"/>
      <c r="Y265" s="330"/>
      <c r="Z265" s="330"/>
      <c r="AA265" s="330"/>
      <c r="AB265" s="330"/>
    </row>
    <row r="266" spans="1:28" x14ac:dyDescent="0.25">
      <c r="A266" s="330"/>
      <c r="B266" s="330"/>
      <c r="C266" s="330"/>
      <c r="D266" s="331"/>
      <c r="E266" s="331"/>
      <c r="F266" s="332"/>
      <c r="G266" s="330"/>
      <c r="H266" s="330"/>
      <c r="I266" s="330"/>
      <c r="J266" s="330"/>
      <c r="K266" s="330"/>
      <c r="L266" s="330"/>
      <c r="M266" s="330"/>
      <c r="N266" s="330"/>
      <c r="O266" s="330"/>
      <c r="P266" s="330"/>
      <c r="Q266" s="330"/>
      <c r="R266" s="330"/>
      <c r="S266" s="330"/>
      <c r="T266" s="330"/>
      <c r="U266" s="330"/>
      <c r="V266" s="330"/>
      <c r="W266" s="330"/>
      <c r="X266" s="330"/>
      <c r="Y266" s="330"/>
      <c r="Z266" s="330"/>
      <c r="AA266" s="330"/>
      <c r="AB266" s="330"/>
    </row>
    <row r="267" spans="1:28" x14ac:dyDescent="0.25">
      <c r="A267" s="330"/>
      <c r="B267" s="330"/>
      <c r="C267" s="330"/>
      <c r="D267" s="331"/>
      <c r="E267" s="331"/>
      <c r="F267" s="332"/>
      <c r="G267" s="330"/>
      <c r="H267" s="330"/>
      <c r="I267" s="330"/>
      <c r="J267" s="330"/>
      <c r="K267" s="330"/>
      <c r="L267" s="330"/>
      <c r="M267" s="330"/>
      <c r="N267" s="330"/>
      <c r="O267" s="330"/>
      <c r="P267" s="330"/>
      <c r="Q267" s="330"/>
      <c r="R267" s="330"/>
      <c r="S267" s="330"/>
      <c r="T267" s="330"/>
      <c r="U267" s="330"/>
      <c r="V267" s="330"/>
      <c r="W267" s="330"/>
      <c r="X267" s="330"/>
      <c r="Y267" s="330"/>
      <c r="Z267" s="330"/>
      <c r="AA267" s="330"/>
      <c r="AB267" s="330"/>
    </row>
    <row r="268" spans="1:28" x14ac:dyDescent="0.25">
      <c r="A268" s="330"/>
      <c r="B268" s="330"/>
      <c r="C268" s="330"/>
      <c r="D268" s="331"/>
      <c r="E268" s="331"/>
      <c r="F268" s="332"/>
      <c r="G268" s="330"/>
      <c r="H268" s="330"/>
      <c r="I268" s="330"/>
      <c r="J268" s="330"/>
      <c r="K268" s="330"/>
      <c r="L268" s="330"/>
      <c r="M268" s="330"/>
      <c r="N268" s="330"/>
      <c r="O268" s="330"/>
      <c r="P268" s="330"/>
      <c r="Q268" s="330"/>
      <c r="R268" s="330"/>
      <c r="S268" s="330"/>
      <c r="T268" s="330"/>
      <c r="U268" s="330"/>
      <c r="V268" s="330"/>
      <c r="W268" s="330"/>
      <c r="X268" s="330"/>
      <c r="Y268" s="330"/>
      <c r="Z268" s="330"/>
      <c r="AA268" s="330"/>
      <c r="AB268" s="330"/>
    </row>
    <row r="269" spans="1:28" x14ac:dyDescent="0.25">
      <c r="A269" s="330"/>
      <c r="B269" s="330"/>
      <c r="C269" s="330"/>
      <c r="D269" s="331"/>
      <c r="E269" s="331"/>
      <c r="F269" s="332"/>
      <c r="G269" s="330"/>
      <c r="H269" s="330"/>
      <c r="I269" s="330"/>
      <c r="J269" s="330"/>
      <c r="K269" s="330"/>
      <c r="L269" s="330"/>
      <c r="M269" s="330"/>
      <c r="N269" s="330"/>
      <c r="O269" s="330"/>
      <c r="P269" s="330"/>
      <c r="Q269" s="330"/>
      <c r="R269" s="330"/>
      <c r="S269" s="330"/>
      <c r="T269" s="330"/>
      <c r="U269" s="330"/>
      <c r="V269" s="330"/>
      <c r="W269" s="330"/>
      <c r="X269" s="330"/>
      <c r="Y269" s="330"/>
      <c r="Z269" s="330"/>
      <c r="AA269" s="330"/>
      <c r="AB269" s="330"/>
    </row>
    <row r="270" spans="1:28" x14ac:dyDescent="0.25">
      <c r="A270" s="330"/>
      <c r="B270" s="330"/>
      <c r="C270" s="330"/>
      <c r="D270" s="331"/>
      <c r="E270" s="331"/>
      <c r="F270" s="332"/>
      <c r="G270" s="330"/>
      <c r="H270" s="330"/>
      <c r="I270" s="330"/>
      <c r="J270" s="330"/>
      <c r="K270" s="330"/>
      <c r="L270" s="330"/>
      <c r="M270" s="330"/>
      <c r="N270" s="330"/>
      <c r="O270" s="330"/>
      <c r="P270" s="330"/>
      <c r="Q270" s="330"/>
      <c r="R270" s="330"/>
      <c r="S270" s="330"/>
      <c r="T270" s="330"/>
      <c r="U270" s="330"/>
      <c r="V270" s="330"/>
      <c r="W270" s="330"/>
      <c r="X270" s="330"/>
      <c r="Y270" s="330"/>
      <c r="Z270" s="330"/>
      <c r="AA270" s="330"/>
      <c r="AB270" s="330"/>
    </row>
    <row r="271" spans="1:28" x14ac:dyDescent="0.25">
      <c r="A271" s="330"/>
      <c r="B271" s="330"/>
      <c r="C271" s="330"/>
      <c r="D271" s="331"/>
      <c r="E271" s="331"/>
      <c r="F271" s="332"/>
      <c r="G271" s="330"/>
      <c r="H271" s="330"/>
      <c r="I271" s="330"/>
      <c r="J271" s="330"/>
      <c r="K271" s="330"/>
      <c r="L271" s="330"/>
      <c r="M271" s="330"/>
      <c r="N271" s="330"/>
      <c r="O271" s="330"/>
      <c r="P271" s="330"/>
      <c r="Q271" s="330"/>
      <c r="R271" s="330"/>
      <c r="S271" s="330"/>
      <c r="T271" s="330"/>
      <c r="U271" s="330"/>
      <c r="V271" s="330"/>
      <c r="W271" s="330"/>
      <c r="X271" s="330"/>
      <c r="Y271" s="330"/>
      <c r="Z271" s="330"/>
      <c r="AA271" s="330"/>
      <c r="AB271" s="330"/>
    </row>
    <row r="272" spans="1:28" x14ac:dyDescent="0.25">
      <c r="A272" s="330"/>
      <c r="B272" s="330"/>
      <c r="C272" s="330"/>
      <c r="D272" s="331"/>
      <c r="E272" s="331"/>
      <c r="F272" s="332"/>
      <c r="G272" s="330"/>
      <c r="H272" s="330"/>
      <c r="I272" s="330"/>
      <c r="J272" s="330"/>
      <c r="K272" s="330"/>
      <c r="L272" s="330"/>
      <c r="M272" s="330"/>
      <c r="N272" s="330"/>
      <c r="O272" s="330"/>
      <c r="P272" s="330"/>
      <c r="Q272" s="330"/>
      <c r="R272" s="330"/>
      <c r="S272" s="330"/>
      <c r="T272" s="330"/>
      <c r="U272" s="330"/>
      <c r="V272" s="330"/>
      <c r="W272" s="330"/>
      <c r="X272" s="330"/>
      <c r="Y272" s="330"/>
      <c r="Z272" s="330"/>
      <c r="AA272" s="330"/>
      <c r="AB272" s="330"/>
    </row>
    <row r="273" spans="1:28" x14ac:dyDescent="0.25">
      <c r="A273" s="330"/>
      <c r="B273" s="330"/>
      <c r="C273" s="330"/>
      <c r="D273" s="331"/>
      <c r="E273" s="331"/>
      <c r="F273" s="332"/>
      <c r="G273" s="330"/>
      <c r="H273" s="330"/>
      <c r="I273" s="330"/>
      <c r="J273" s="330"/>
      <c r="K273" s="330"/>
      <c r="L273" s="330"/>
      <c r="M273" s="330"/>
      <c r="N273" s="330"/>
      <c r="O273" s="330"/>
      <c r="P273" s="330"/>
      <c r="Q273" s="330"/>
      <c r="R273" s="330"/>
      <c r="S273" s="330"/>
      <c r="T273" s="330"/>
      <c r="U273" s="330"/>
      <c r="V273" s="330"/>
      <c r="W273" s="330"/>
      <c r="X273" s="330"/>
      <c r="Y273" s="330"/>
      <c r="Z273" s="330"/>
      <c r="AA273" s="330"/>
      <c r="AB273" s="330"/>
    </row>
    <row r="274" spans="1:28" x14ac:dyDescent="0.25">
      <c r="A274" s="330"/>
      <c r="B274" s="330"/>
      <c r="C274" s="330"/>
      <c r="D274" s="331"/>
      <c r="E274" s="331"/>
      <c r="F274" s="332"/>
      <c r="G274" s="330"/>
      <c r="H274" s="330"/>
      <c r="I274" s="330"/>
      <c r="J274" s="330"/>
      <c r="K274" s="330"/>
      <c r="L274" s="330"/>
      <c r="M274" s="330"/>
      <c r="N274" s="330"/>
      <c r="O274" s="330"/>
      <c r="P274" s="330"/>
      <c r="Q274" s="330"/>
      <c r="R274" s="330"/>
      <c r="S274" s="330"/>
      <c r="T274" s="330"/>
      <c r="U274" s="330"/>
      <c r="V274" s="330"/>
      <c r="W274" s="330"/>
      <c r="X274" s="330"/>
      <c r="Y274" s="330"/>
      <c r="Z274" s="330"/>
      <c r="AA274" s="330"/>
      <c r="AB274" s="330"/>
    </row>
    <row r="275" spans="1:28" x14ac:dyDescent="0.25">
      <c r="A275" s="330"/>
      <c r="B275" s="330"/>
      <c r="C275" s="330"/>
      <c r="D275" s="331"/>
      <c r="E275" s="331"/>
      <c r="F275" s="332"/>
      <c r="G275" s="330"/>
      <c r="H275" s="330"/>
      <c r="I275" s="330"/>
      <c r="J275" s="330"/>
      <c r="K275" s="330"/>
      <c r="L275" s="330"/>
      <c r="M275" s="330"/>
      <c r="N275" s="330"/>
      <c r="O275" s="330"/>
      <c r="P275" s="330"/>
      <c r="Q275" s="330"/>
      <c r="R275" s="330"/>
      <c r="S275" s="330"/>
      <c r="T275" s="330"/>
      <c r="U275" s="330"/>
      <c r="V275" s="330"/>
      <c r="W275" s="330"/>
      <c r="X275" s="330"/>
      <c r="Y275" s="330"/>
      <c r="Z275" s="330"/>
      <c r="AA275" s="330"/>
      <c r="AB275" s="330"/>
    </row>
    <row r="276" spans="1:28" x14ac:dyDescent="0.25">
      <c r="A276" s="330"/>
      <c r="B276" s="330"/>
      <c r="C276" s="330"/>
      <c r="D276" s="331"/>
      <c r="E276" s="331"/>
      <c r="F276" s="332"/>
      <c r="G276" s="330"/>
      <c r="H276" s="330"/>
      <c r="I276" s="330"/>
      <c r="J276" s="330"/>
      <c r="K276" s="330"/>
      <c r="L276" s="330"/>
      <c r="M276" s="330"/>
      <c r="N276" s="330"/>
      <c r="O276" s="330"/>
      <c r="P276" s="330"/>
      <c r="Q276" s="330"/>
      <c r="R276" s="330"/>
      <c r="S276" s="330"/>
      <c r="T276" s="330"/>
      <c r="U276" s="330"/>
      <c r="V276" s="330"/>
      <c r="W276" s="330"/>
      <c r="X276" s="330"/>
      <c r="Y276" s="330"/>
      <c r="Z276" s="330"/>
      <c r="AA276" s="330"/>
      <c r="AB276" s="330"/>
    </row>
    <row r="277" spans="1:28" x14ac:dyDescent="0.25">
      <c r="A277" s="330"/>
      <c r="B277" s="330"/>
      <c r="C277" s="330"/>
      <c r="D277" s="331"/>
      <c r="E277" s="331"/>
      <c r="F277" s="332"/>
      <c r="G277" s="330"/>
      <c r="H277" s="330"/>
      <c r="I277" s="330"/>
      <c r="J277" s="330"/>
      <c r="K277" s="330"/>
      <c r="L277" s="330"/>
      <c r="M277" s="330"/>
      <c r="N277" s="330"/>
      <c r="O277" s="330"/>
      <c r="P277" s="330"/>
      <c r="Q277" s="330"/>
      <c r="R277" s="330"/>
      <c r="S277" s="330"/>
      <c r="T277" s="330"/>
      <c r="U277" s="330"/>
      <c r="V277" s="330"/>
      <c r="W277" s="330"/>
      <c r="X277" s="330"/>
      <c r="Y277" s="330"/>
      <c r="Z277" s="330"/>
      <c r="AA277" s="330"/>
      <c r="AB277" s="330"/>
    </row>
    <row r="278" spans="1:28" x14ac:dyDescent="0.25">
      <c r="A278" s="330"/>
      <c r="B278" s="330"/>
      <c r="C278" s="330"/>
      <c r="D278" s="331"/>
      <c r="E278" s="331"/>
      <c r="F278" s="332"/>
      <c r="G278" s="330"/>
      <c r="H278" s="330"/>
      <c r="I278" s="330"/>
      <c r="J278" s="330"/>
      <c r="K278" s="330"/>
      <c r="L278" s="330"/>
      <c r="M278" s="330"/>
      <c r="N278" s="330"/>
      <c r="O278" s="330"/>
      <c r="P278" s="330"/>
      <c r="Q278" s="330"/>
      <c r="R278" s="330"/>
      <c r="S278" s="330"/>
      <c r="T278" s="330"/>
      <c r="U278" s="330"/>
      <c r="V278" s="330"/>
      <c r="W278" s="330"/>
      <c r="X278" s="330"/>
      <c r="Y278" s="330"/>
      <c r="Z278" s="330"/>
      <c r="AA278" s="330"/>
      <c r="AB278" s="330"/>
    </row>
    <row r="279" spans="1:28" x14ac:dyDescent="0.25">
      <c r="A279" s="330"/>
      <c r="B279" s="330"/>
      <c r="C279" s="330"/>
      <c r="D279" s="331"/>
      <c r="E279" s="331"/>
      <c r="F279" s="332"/>
      <c r="G279" s="330"/>
      <c r="H279" s="330"/>
      <c r="I279" s="330"/>
      <c r="J279" s="330"/>
      <c r="K279" s="330"/>
      <c r="L279" s="330"/>
      <c r="M279" s="330"/>
      <c r="N279" s="330"/>
      <c r="O279" s="330"/>
      <c r="P279" s="330"/>
      <c r="Q279" s="330"/>
      <c r="R279" s="330"/>
      <c r="S279" s="330"/>
      <c r="T279" s="330"/>
      <c r="U279" s="330"/>
      <c r="V279" s="330"/>
      <c r="W279" s="330"/>
      <c r="X279" s="330"/>
      <c r="Y279" s="330"/>
      <c r="Z279" s="330"/>
      <c r="AA279" s="330"/>
      <c r="AB279" s="330"/>
    </row>
    <row r="280" spans="1:28" x14ac:dyDescent="0.25">
      <c r="A280" s="330"/>
      <c r="B280" s="330"/>
      <c r="C280" s="330"/>
      <c r="D280" s="331"/>
      <c r="E280" s="331"/>
      <c r="F280" s="332"/>
      <c r="G280" s="330"/>
      <c r="H280" s="330"/>
      <c r="I280" s="330"/>
      <c r="J280" s="330"/>
      <c r="K280" s="330"/>
      <c r="L280" s="330"/>
      <c r="M280" s="330"/>
      <c r="N280" s="330"/>
      <c r="O280" s="330"/>
      <c r="P280" s="330"/>
      <c r="Q280" s="330"/>
      <c r="R280" s="330"/>
      <c r="S280" s="330"/>
      <c r="T280" s="330"/>
      <c r="U280" s="330"/>
      <c r="V280" s="330"/>
      <c r="W280" s="330"/>
      <c r="X280" s="330"/>
      <c r="Y280" s="330"/>
      <c r="Z280" s="330"/>
      <c r="AA280" s="330"/>
      <c r="AB280" s="330"/>
    </row>
    <row r="281" spans="1:28" x14ac:dyDescent="0.25">
      <c r="A281" s="330"/>
      <c r="B281" s="330"/>
      <c r="C281" s="330"/>
      <c r="D281" s="331"/>
      <c r="E281" s="331"/>
      <c r="F281" s="332"/>
      <c r="G281" s="330"/>
      <c r="H281" s="330"/>
      <c r="I281" s="330"/>
      <c r="J281" s="330"/>
      <c r="K281" s="330"/>
      <c r="L281" s="330"/>
      <c r="M281" s="330"/>
      <c r="N281" s="330"/>
      <c r="O281" s="330"/>
      <c r="P281" s="330"/>
      <c r="Q281" s="330"/>
      <c r="R281" s="330"/>
      <c r="S281" s="330"/>
      <c r="T281" s="330"/>
      <c r="U281" s="330"/>
      <c r="V281" s="330"/>
      <c r="W281" s="330"/>
      <c r="X281" s="330"/>
      <c r="Y281" s="330"/>
      <c r="Z281" s="330"/>
      <c r="AA281" s="330"/>
      <c r="AB281" s="330"/>
    </row>
    <row r="282" spans="1:28" x14ac:dyDescent="0.25">
      <c r="A282" s="330"/>
      <c r="B282" s="330"/>
      <c r="C282" s="330"/>
      <c r="D282" s="331"/>
      <c r="E282" s="331"/>
      <c r="F282" s="332"/>
      <c r="G282" s="330"/>
      <c r="H282" s="330"/>
      <c r="I282" s="330"/>
      <c r="J282" s="330"/>
      <c r="K282" s="330"/>
      <c r="L282" s="330"/>
      <c r="M282" s="330"/>
      <c r="N282" s="330"/>
      <c r="O282" s="330"/>
      <c r="P282" s="330"/>
      <c r="Q282" s="330"/>
      <c r="R282" s="330"/>
      <c r="S282" s="330"/>
      <c r="T282" s="330"/>
      <c r="U282" s="330"/>
      <c r="V282" s="330"/>
      <c r="W282" s="330"/>
      <c r="X282" s="330"/>
      <c r="Y282" s="330"/>
      <c r="Z282" s="330"/>
      <c r="AA282" s="330"/>
      <c r="AB282" s="330"/>
    </row>
    <row r="283" spans="1:28" x14ac:dyDescent="0.25">
      <c r="A283" s="330"/>
      <c r="B283" s="330"/>
      <c r="C283" s="330"/>
      <c r="D283" s="331"/>
      <c r="E283" s="331"/>
      <c r="F283" s="332"/>
      <c r="G283" s="330"/>
      <c r="H283" s="330"/>
      <c r="I283" s="330"/>
      <c r="J283" s="330"/>
      <c r="K283" s="330"/>
      <c r="L283" s="330"/>
      <c r="M283" s="330"/>
      <c r="N283" s="330"/>
      <c r="O283" s="330"/>
      <c r="P283" s="330"/>
      <c r="Q283" s="330"/>
      <c r="R283" s="330"/>
      <c r="S283" s="330"/>
      <c r="T283" s="330"/>
      <c r="U283" s="330"/>
      <c r="V283" s="330"/>
      <c r="W283" s="330"/>
      <c r="X283" s="330"/>
      <c r="Y283" s="330"/>
      <c r="Z283" s="330"/>
      <c r="AA283" s="330"/>
      <c r="AB283" s="330"/>
    </row>
    <row r="284" spans="1:28" x14ac:dyDescent="0.25">
      <c r="A284" s="330"/>
      <c r="B284" s="330"/>
      <c r="C284" s="330"/>
      <c r="D284" s="331"/>
      <c r="E284" s="331"/>
      <c r="F284" s="332"/>
      <c r="G284" s="330"/>
      <c r="H284" s="330"/>
      <c r="I284" s="330"/>
      <c r="J284" s="330"/>
      <c r="K284" s="330"/>
      <c r="L284" s="330"/>
      <c r="M284" s="330"/>
      <c r="N284" s="330"/>
      <c r="O284" s="330"/>
      <c r="P284" s="330"/>
      <c r="Q284" s="330"/>
      <c r="R284" s="330"/>
      <c r="S284" s="330"/>
      <c r="T284" s="330"/>
      <c r="U284" s="330"/>
      <c r="V284" s="330"/>
      <c r="W284" s="330"/>
      <c r="X284" s="330"/>
      <c r="Y284" s="330"/>
      <c r="Z284" s="330"/>
      <c r="AA284" s="330"/>
      <c r="AB284" s="330"/>
    </row>
    <row r="285" spans="1:28" x14ac:dyDescent="0.25">
      <c r="A285" s="330"/>
      <c r="B285" s="330"/>
      <c r="C285" s="330"/>
      <c r="D285" s="331"/>
      <c r="E285" s="331"/>
      <c r="F285" s="332"/>
      <c r="G285" s="330"/>
      <c r="H285" s="330"/>
      <c r="I285" s="330"/>
      <c r="J285" s="330"/>
      <c r="K285" s="330"/>
      <c r="L285" s="330"/>
      <c r="M285" s="330"/>
      <c r="N285" s="330"/>
      <c r="O285" s="330"/>
      <c r="P285" s="330"/>
      <c r="Q285" s="330"/>
      <c r="R285" s="330"/>
      <c r="S285" s="330"/>
      <c r="T285" s="330"/>
      <c r="U285" s="330"/>
      <c r="V285" s="330"/>
      <c r="W285" s="330"/>
      <c r="X285" s="330"/>
      <c r="Y285" s="330"/>
      <c r="Z285" s="330"/>
      <c r="AA285" s="330"/>
      <c r="AB285" s="330"/>
    </row>
    <row r="286" spans="1:28" x14ac:dyDescent="0.25">
      <c r="A286" s="330"/>
      <c r="B286" s="330"/>
      <c r="C286" s="330"/>
      <c r="D286" s="331"/>
      <c r="E286" s="331"/>
      <c r="F286" s="332"/>
      <c r="G286" s="330"/>
      <c r="H286" s="330"/>
      <c r="I286" s="330"/>
      <c r="J286" s="330"/>
      <c r="K286" s="330"/>
      <c r="L286" s="330"/>
      <c r="M286" s="330"/>
      <c r="N286" s="330"/>
      <c r="O286" s="330"/>
      <c r="P286" s="330"/>
      <c r="Q286" s="330"/>
      <c r="R286" s="330"/>
      <c r="S286" s="330"/>
      <c r="T286" s="330"/>
      <c r="U286" s="330"/>
      <c r="V286" s="330"/>
      <c r="W286" s="330"/>
      <c r="X286" s="330"/>
      <c r="Y286" s="330"/>
      <c r="Z286" s="330"/>
      <c r="AA286" s="330"/>
      <c r="AB286" s="330"/>
    </row>
    <row r="287" spans="1:28" x14ac:dyDescent="0.25">
      <c r="A287" s="330"/>
      <c r="B287" s="330"/>
      <c r="C287" s="330"/>
      <c r="D287" s="331"/>
      <c r="E287" s="331"/>
      <c r="F287" s="332"/>
      <c r="G287" s="330"/>
      <c r="H287" s="330"/>
      <c r="I287" s="330"/>
      <c r="J287" s="330"/>
      <c r="K287" s="330"/>
      <c r="L287" s="330"/>
      <c r="M287" s="330"/>
      <c r="N287" s="330"/>
      <c r="O287" s="330"/>
      <c r="P287" s="330"/>
      <c r="Q287" s="330"/>
      <c r="R287" s="330"/>
      <c r="S287" s="330"/>
      <c r="T287" s="330"/>
      <c r="U287" s="330"/>
      <c r="V287" s="330"/>
      <c r="W287" s="330"/>
      <c r="X287" s="330"/>
      <c r="Y287" s="330"/>
      <c r="Z287" s="330"/>
      <c r="AA287" s="330"/>
      <c r="AB287" s="330"/>
    </row>
    <row r="288" spans="1:28" x14ac:dyDescent="0.25">
      <c r="A288" s="330"/>
      <c r="B288" s="330"/>
      <c r="C288" s="330"/>
      <c r="D288" s="331"/>
      <c r="E288" s="331"/>
      <c r="F288" s="332"/>
      <c r="G288" s="330"/>
      <c r="H288" s="330"/>
      <c r="I288" s="330"/>
      <c r="J288" s="330"/>
      <c r="K288" s="330"/>
      <c r="L288" s="330"/>
      <c r="M288" s="330"/>
      <c r="N288" s="330"/>
      <c r="O288" s="330"/>
      <c r="P288" s="330"/>
      <c r="Q288" s="330"/>
      <c r="R288" s="330"/>
      <c r="S288" s="330"/>
      <c r="T288" s="330"/>
      <c r="U288" s="330"/>
      <c r="V288" s="330"/>
      <c r="W288" s="330"/>
      <c r="X288" s="330"/>
      <c r="Y288" s="330"/>
      <c r="Z288" s="330"/>
      <c r="AA288" s="330"/>
      <c r="AB288" s="330"/>
    </row>
    <row r="289" spans="1:28" x14ac:dyDescent="0.25">
      <c r="A289" s="330"/>
      <c r="B289" s="330"/>
      <c r="C289" s="330"/>
      <c r="D289" s="331"/>
      <c r="E289" s="331"/>
      <c r="F289" s="332"/>
      <c r="G289" s="330"/>
      <c r="H289" s="330"/>
      <c r="I289" s="330"/>
      <c r="J289" s="330"/>
      <c r="K289" s="330"/>
      <c r="L289" s="330"/>
      <c r="M289" s="330"/>
      <c r="N289" s="330"/>
      <c r="O289" s="330"/>
      <c r="P289" s="330"/>
      <c r="Q289" s="330"/>
      <c r="R289" s="330"/>
      <c r="S289" s="330"/>
      <c r="T289" s="330"/>
      <c r="U289" s="330"/>
      <c r="V289" s="330"/>
      <c r="W289" s="330"/>
      <c r="X289" s="330"/>
      <c r="Y289" s="330"/>
      <c r="Z289" s="330"/>
      <c r="AA289" s="330"/>
      <c r="AB289" s="330"/>
    </row>
    <row r="290" spans="1:28" x14ac:dyDescent="0.25">
      <c r="A290" s="330"/>
      <c r="B290" s="330"/>
      <c r="C290" s="330"/>
      <c r="D290" s="331"/>
      <c r="E290" s="331"/>
      <c r="F290" s="332"/>
      <c r="G290" s="330"/>
      <c r="H290" s="330"/>
      <c r="I290" s="330"/>
      <c r="J290" s="330"/>
      <c r="K290" s="330"/>
      <c r="L290" s="330"/>
      <c r="M290" s="330"/>
      <c r="N290" s="330"/>
      <c r="O290" s="330"/>
      <c r="P290" s="330"/>
      <c r="Q290" s="330"/>
      <c r="R290" s="330"/>
      <c r="S290" s="330"/>
      <c r="T290" s="330"/>
      <c r="U290" s="330"/>
      <c r="V290" s="330"/>
      <c r="W290" s="330"/>
      <c r="X290" s="330"/>
      <c r="Y290" s="330"/>
      <c r="Z290" s="330"/>
      <c r="AA290" s="330"/>
      <c r="AB290" s="330"/>
    </row>
    <row r="291" spans="1:28" x14ac:dyDescent="0.25">
      <c r="A291" s="330"/>
      <c r="B291" s="330"/>
      <c r="C291" s="330"/>
      <c r="D291" s="331"/>
      <c r="E291" s="331"/>
      <c r="F291" s="332"/>
      <c r="G291" s="330"/>
      <c r="H291" s="330"/>
      <c r="I291" s="330"/>
      <c r="J291" s="330"/>
      <c r="K291" s="330"/>
      <c r="L291" s="330"/>
      <c r="M291" s="330"/>
      <c r="N291" s="330"/>
      <c r="O291" s="330"/>
      <c r="P291" s="330"/>
      <c r="Q291" s="330"/>
      <c r="R291" s="330"/>
      <c r="S291" s="330"/>
      <c r="T291" s="330"/>
      <c r="U291" s="330"/>
      <c r="V291" s="330"/>
      <c r="W291" s="330"/>
      <c r="X291" s="330"/>
      <c r="Y291" s="330"/>
      <c r="Z291" s="330"/>
      <c r="AA291" s="330"/>
      <c r="AB291" s="330"/>
    </row>
    <row r="292" spans="1:28" x14ac:dyDescent="0.25">
      <c r="A292" s="330"/>
      <c r="B292" s="330"/>
      <c r="C292" s="330"/>
      <c r="D292" s="331"/>
      <c r="E292" s="331"/>
      <c r="F292" s="332"/>
      <c r="G292" s="330"/>
      <c r="H292" s="330"/>
      <c r="I292" s="330"/>
      <c r="J292" s="330"/>
      <c r="K292" s="330"/>
      <c r="L292" s="330"/>
      <c r="M292" s="330"/>
      <c r="N292" s="330"/>
      <c r="O292" s="330"/>
      <c r="P292" s="330"/>
      <c r="Q292" s="330"/>
      <c r="R292" s="330"/>
      <c r="S292" s="330"/>
      <c r="T292" s="330"/>
      <c r="U292" s="330"/>
      <c r="V292" s="330"/>
      <c r="W292" s="330"/>
      <c r="X292" s="330"/>
      <c r="Y292" s="330"/>
      <c r="Z292" s="330"/>
      <c r="AA292" s="330"/>
      <c r="AB292" s="330"/>
    </row>
    <row r="293" spans="1:28" x14ac:dyDescent="0.25">
      <c r="A293" s="330"/>
      <c r="B293" s="330"/>
      <c r="C293" s="330"/>
      <c r="D293" s="331"/>
      <c r="E293" s="331"/>
      <c r="F293" s="332"/>
      <c r="G293" s="330"/>
      <c r="H293" s="330"/>
      <c r="I293" s="330"/>
      <c r="J293" s="330"/>
      <c r="K293" s="330"/>
      <c r="L293" s="330"/>
      <c r="M293" s="330"/>
      <c r="N293" s="330"/>
      <c r="O293" s="330"/>
      <c r="P293" s="330"/>
      <c r="Q293" s="330"/>
      <c r="R293" s="330"/>
      <c r="S293" s="330"/>
      <c r="T293" s="330"/>
      <c r="U293" s="330"/>
      <c r="V293" s="330"/>
      <c r="W293" s="330"/>
      <c r="X293" s="330"/>
      <c r="Y293" s="330"/>
      <c r="Z293" s="330"/>
      <c r="AA293" s="330"/>
      <c r="AB293" s="330"/>
    </row>
    <row r="294" spans="1:28" x14ac:dyDescent="0.25">
      <c r="G294" s="330"/>
      <c r="H294" s="330"/>
      <c r="I294" s="330"/>
      <c r="J294" s="330"/>
      <c r="K294" s="330"/>
      <c r="L294" s="330"/>
      <c r="M294" s="330"/>
      <c r="N294" s="330"/>
      <c r="O294" s="330"/>
      <c r="P294" s="330"/>
      <c r="Q294" s="330"/>
      <c r="R294" s="330"/>
      <c r="S294" s="330"/>
      <c r="T294" s="330"/>
      <c r="U294" s="330"/>
      <c r="V294" s="330"/>
      <c r="W294" s="330"/>
      <c r="X294" s="330"/>
      <c r="Y294" s="330"/>
      <c r="Z294" s="330"/>
      <c r="AA294" s="330"/>
      <c r="AB294" s="330"/>
    </row>
    <row r="295" spans="1:28" x14ac:dyDescent="0.25">
      <c r="G295" s="330"/>
      <c r="H295" s="330"/>
      <c r="I295" s="330"/>
      <c r="J295" s="330"/>
      <c r="K295" s="330"/>
      <c r="L295" s="330"/>
      <c r="M295" s="330"/>
      <c r="N295" s="330"/>
      <c r="O295" s="330"/>
      <c r="P295" s="330"/>
      <c r="Q295" s="330"/>
      <c r="R295" s="330"/>
      <c r="S295" s="330"/>
      <c r="T295" s="330"/>
      <c r="U295" s="330"/>
      <c r="V295" s="330"/>
      <c r="W295" s="330"/>
      <c r="X295" s="330"/>
      <c r="Y295" s="330"/>
      <c r="Z295" s="330"/>
      <c r="AA295" s="330"/>
      <c r="AB295" s="330"/>
    </row>
    <row r="296" spans="1:28" x14ac:dyDescent="0.25">
      <c r="G296" s="330"/>
      <c r="H296" s="330"/>
      <c r="I296" s="330"/>
      <c r="J296" s="330"/>
      <c r="K296" s="330"/>
      <c r="L296" s="330"/>
      <c r="M296" s="330"/>
      <c r="N296" s="330"/>
      <c r="O296" s="330"/>
      <c r="P296" s="330"/>
      <c r="Q296" s="330"/>
      <c r="R296" s="330"/>
      <c r="S296" s="330"/>
      <c r="T296" s="330"/>
      <c r="U296" s="330"/>
      <c r="V296" s="330"/>
      <c r="W296" s="330"/>
      <c r="X296" s="330"/>
      <c r="Y296" s="330"/>
      <c r="Z296" s="330"/>
      <c r="AA296" s="330"/>
      <c r="AB296" s="330"/>
    </row>
    <row r="297" spans="1:28" x14ac:dyDescent="0.25">
      <c r="G297" s="330"/>
      <c r="H297" s="330"/>
      <c r="I297" s="330"/>
      <c r="J297" s="330"/>
      <c r="K297" s="330"/>
      <c r="L297" s="330"/>
      <c r="M297" s="330"/>
      <c r="N297" s="330"/>
      <c r="O297" s="330"/>
      <c r="P297" s="330"/>
      <c r="Q297" s="330"/>
      <c r="R297" s="330"/>
      <c r="S297" s="330"/>
      <c r="T297" s="330"/>
      <c r="U297" s="330"/>
      <c r="V297" s="330"/>
      <c r="W297" s="330"/>
      <c r="X297" s="330"/>
      <c r="Y297" s="330"/>
      <c r="Z297" s="330"/>
      <c r="AA297" s="330"/>
      <c r="AB297" s="330"/>
    </row>
    <row r="298" spans="1:28" x14ac:dyDescent="0.25">
      <c r="G298" s="330"/>
      <c r="H298" s="330"/>
      <c r="I298" s="330"/>
      <c r="J298" s="330"/>
      <c r="K298" s="330"/>
      <c r="L298" s="330"/>
      <c r="M298" s="330"/>
      <c r="N298" s="330"/>
      <c r="O298" s="330"/>
      <c r="P298" s="330"/>
      <c r="Q298" s="330"/>
      <c r="R298" s="330"/>
      <c r="S298" s="330"/>
      <c r="T298" s="330"/>
      <c r="U298" s="330"/>
      <c r="V298" s="330"/>
      <c r="W298" s="330"/>
      <c r="X298" s="330"/>
      <c r="Y298" s="330"/>
      <c r="Z298" s="330"/>
      <c r="AA298" s="330"/>
      <c r="AB298" s="330"/>
    </row>
    <row r="299" spans="1:28" x14ac:dyDescent="0.25">
      <c r="G299" s="330"/>
      <c r="H299" s="330"/>
      <c r="I299" s="330"/>
      <c r="J299" s="330"/>
      <c r="K299" s="330"/>
      <c r="L299" s="330"/>
      <c r="M299" s="330"/>
      <c r="N299" s="330"/>
      <c r="O299" s="330"/>
      <c r="P299" s="330"/>
      <c r="Q299" s="330"/>
      <c r="R299" s="330"/>
      <c r="S299" s="330"/>
      <c r="T299" s="330"/>
      <c r="U299" s="330"/>
      <c r="V299" s="330"/>
      <c r="W299" s="330"/>
      <c r="X299" s="330"/>
      <c r="Y299" s="330"/>
      <c r="Z299" s="330"/>
      <c r="AA299" s="330"/>
      <c r="AB299" s="330"/>
    </row>
    <row r="300" spans="1:28" x14ac:dyDescent="0.25">
      <c r="G300" s="330"/>
      <c r="H300" s="330"/>
      <c r="I300" s="330"/>
      <c r="J300" s="330"/>
      <c r="K300" s="330"/>
      <c r="L300" s="330"/>
      <c r="M300" s="330"/>
      <c r="N300" s="330"/>
      <c r="O300" s="330"/>
      <c r="P300" s="330"/>
      <c r="Q300" s="330"/>
      <c r="R300" s="330"/>
      <c r="S300" s="330"/>
      <c r="T300" s="330"/>
      <c r="U300" s="330"/>
      <c r="V300" s="330"/>
      <c r="W300" s="330"/>
      <c r="X300" s="330"/>
      <c r="Y300" s="330"/>
      <c r="Z300" s="330"/>
      <c r="AA300" s="330"/>
      <c r="AB300" s="330"/>
    </row>
    <row r="301" spans="1:28" x14ac:dyDescent="0.25">
      <c r="G301" s="330"/>
      <c r="H301" s="330"/>
      <c r="I301" s="330"/>
      <c r="J301" s="330"/>
      <c r="K301" s="330"/>
      <c r="L301" s="330"/>
      <c r="M301" s="330"/>
      <c r="N301" s="330"/>
      <c r="O301" s="330"/>
      <c r="P301" s="330"/>
      <c r="Q301" s="330"/>
      <c r="R301" s="330"/>
      <c r="S301" s="330"/>
      <c r="T301" s="330"/>
      <c r="U301" s="330"/>
      <c r="V301" s="330"/>
      <c r="W301" s="330"/>
      <c r="X301" s="330"/>
      <c r="Y301" s="330"/>
      <c r="Z301" s="330"/>
      <c r="AA301" s="330"/>
      <c r="AB301" s="330"/>
    </row>
    <row r="302" spans="1:28" x14ac:dyDescent="0.25">
      <c r="G302" s="330"/>
      <c r="H302" s="330"/>
      <c r="I302" s="330"/>
      <c r="J302" s="330"/>
      <c r="K302" s="330"/>
      <c r="L302" s="330"/>
      <c r="M302" s="330"/>
      <c r="N302" s="330"/>
      <c r="O302" s="330"/>
      <c r="P302" s="330"/>
      <c r="Q302" s="330"/>
      <c r="R302" s="330"/>
      <c r="S302" s="330"/>
      <c r="T302" s="330"/>
      <c r="U302" s="330"/>
      <c r="V302" s="330"/>
      <c r="W302" s="330"/>
      <c r="X302" s="330"/>
      <c r="Y302" s="330"/>
      <c r="Z302" s="330"/>
      <c r="AA302" s="330"/>
      <c r="AB302" s="330"/>
    </row>
    <row r="303" spans="1:28" x14ac:dyDescent="0.25">
      <c r="G303" s="330"/>
      <c r="H303" s="330"/>
      <c r="I303" s="330"/>
      <c r="J303" s="330"/>
      <c r="K303" s="330"/>
      <c r="L303" s="330"/>
      <c r="M303" s="330"/>
      <c r="N303" s="330"/>
      <c r="O303" s="330"/>
      <c r="P303" s="330"/>
      <c r="Q303" s="330"/>
      <c r="R303" s="330"/>
      <c r="S303" s="330"/>
      <c r="T303" s="330"/>
      <c r="U303" s="330"/>
      <c r="V303" s="330"/>
      <c r="W303" s="330"/>
      <c r="X303" s="330"/>
      <c r="Y303" s="330"/>
      <c r="Z303" s="330"/>
      <c r="AA303" s="330"/>
      <c r="AB303" s="330"/>
    </row>
    <row r="304" spans="1:28" x14ac:dyDescent="0.25">
      <c r="G304" s="330"/>
      <c r="H304" s="330"/>
      <c r="I304" s="330"/>
      <c r="J304" s="330"/>
      <c r="K304" s="330"/>
      <c r="L304" s="330"/>
      <c r="M304" s="330"/>
      <c r="N304" s="330"/>
      <c r="O304" s="330"/>
      <c r="P304" s="330"/>
      <c r="Q304" s="330"/>
      <c r="R304" s="330"/>
      <c r="S304" s="330"/>
      <c r="T304" s="330"/>
      <c r="U304" s="330"/>
      <c r="V304" s="330"/>
      <c r="W304" s="330"/>
      <c r="X304" s="330"/>
      <c r="Y304" s="330"/>
      <c r="Z304" s="330"/>
      <c r="AA304" s="330"/>
      <c r="AB304" s="330"/>
    </row>
    <row r="305" spans="7:28" x14ac:dyDescent="0.25">
      <c r="G305" s="330"/>
      <c r="H305" s="330"/>
      <c r="I305" s="330"/>
      <c r="J305" s="330"/>
      <c r="K305" s="330"/>
      <c r="L305" s="330"/>
      <c r="M305" s="330"/>
      <c r="N305" s="330"/>
      <c r="O305" s="330"/>
      <c r="P305" s="330"/>
      <c r="Q305" s="330"/>
      <c r="R305" s="330"/>
      <c r="S305" s="330"/>
      <c r="T305" s="330"/>
      <c r="U305" s="330"/>
      <c r="V305" s="330"/>
      <c r="W305" s="330"/>
      <c r="X305" s="330"/>
      <c r="Y305" s="330"/>
      <c r="Z305" s="330"/>
      <c r="AA305" s="330"/>
      <c r="AB305" s="330"/>
    </row>
    <row r="306" spans="7:28" x14ac:dyDescent="0.25">
      <c r="G306" s="330"/>
      <c r="H306" s="330"/>
      <c r="I306" s="330"/>
      <c r="J306" s="330"/>
      <c r="K306" s="330"/>
      <c r="L306" s="330"/>
      <c r="M306" s="330"/>
      <c r="N306" s="330"/>
      <c r="O306" s="330"/>
      <c r="P306" s="330"/>
      <c r="Q306" s="330"/>
      <c r="R306" s="330"/>
      <c r="S306" s="330"/>
      <c r="T306" s="330"/>
      <c r="U306" s="330"/>
      <c r="V306" s="330"/>
      <c r="W306" s="330"/>
      <c r="X306" s="330"/>
      <c r="Y306" s="330"/>
      <c r="Z306" s="330"/>
      <c r="AA306" s="330"/>
      <c r="AB306" s="330"/>
    </row>
    <row r="307" spans="7:28" x14ac:dyDescent="0.25">
      <c r="G307" s="330"/>
      <c r="H307" s="330"/>
      <c r="I307" s="330"/>
      <c r="J307" s="330"/>
      <c r="K307" s="330"/>
      <c r="L307" s="330"/>
      <c r="M307" s="330"/>
      <c r="N307" s="330"/>
      <c r="O307" s="330"/>
      <c r="P307" s="330"/>
      <c r="Q307" s="330"/>
      <c r="R307" s="330"/>
      <c r="S307" s="330"/>
      <c r="T307" s="330"/>
      <c r="U307" s="330"/>
      <c r="V307" s="330"/>
      <c r="W307" s="330"/>
      <c r="X307" s="330"/>
      <c r="Y307" s="330"/>
      <c r="Z307" s="330"/>
      <c r="AA307" s="330"/>
      <c r="AB307" s="330"/>
    </row>
    <row r="308" spans="7:28" x14ac:dyDescent="0.25">
      <c r="G308" s="330"/>
      <c r="H308" s="330"/>
      <c r="I308" s="330"/>
      <c r="J308" s="330"/>
      <c r="K308" s="330"/>
      <c r="L308" s="330"/>
      <c r="M308" s="330"/>
      <c r="N308" s="330"/>
      <c r="O308" s="330"/>
      <c r="P308" s="330"/>
      <c r="Q308" s="330"/>
      <c r="R308" s="330"/>
      <c r="S308" s="330"/>
      <c r="T308" s="330"/>
      <c r="U308" s="330"/>
      <c r="V308" s="330"/>
      <c r="W308" s="330"/>
      <c r="X308" s="330"/>
      <c r="Y308" s="330"/>
      <c r="Z308" s="330"/>
      <c r="AA308" s="330"/>
      <c r="AB308" s="330"/>
    </row>
    <row r="309" spans="7:28" x14ac:dyDescent="0.25">
      <c r="G309" s="330"/>
      <c r="H309" s="330"/>
      <c r="I309" s="330"/>
      <c r="J309" s="330"/>
      <c r="K309" s="330"/>
      <c r="L309" s="330"/>
      <c r="M309" s="330"/>
      <c r="N309" s="330"/>
      <c r="O309" s="330"/>
      <c r="P309" s="330"/>
      <c r="Q309" s="330"/>
      <c r="R309" s="330"/>
      <c r="S309" s="330"/>
      <c r="T309" s="330"/>
      <c r="U309" s="330"/>
      <c r="V309" s="330"/>
      <c r="W309" s="330"/>
      <c r="X309" s="330"/>
      <c r="Y309" s="330"/>
      <c r="Z309" s="330"/>
      <c r="AA309" s="330"/>
      <c r="AB309" s="330"/>
    </row>
    <row r="310" spans="7:28" x14ac:dyDescent="0.25">
      <c r="G310" s="330"/>
      <c r="H310" s="330"/>
      <c r="I310" s="330"/>
      <c r="J310" s="330"/>
      <c r="K310" s="330"/>
      <c r="L310" s="330"/>
      <c r="M310" s="330"/>
      <c r="N310" s="330"/>
      <c r="O310" s="330"/>
      <c r="P310" s="330"/>
      <c r="Q310" s="330"/>
      <c r="R310" s="330"/>
      <c r="S310" s="330"/>
      <c r="T310" s="330"/>
      <c r="U310" s="330"/>
      <c r="V310" s="330"/>
      <c r="W310" s="330"/>
      <c r="X310" s="330"/>
      <c r="Y310" s="330"/>
      <c r="Z310" s="330"/>
      <c r="AA310" s="330"/>
      <c r="AB310" s="330"/>
    </row>
    <row r="311" spans="7:28" x14ac:dyDescent="0.25">
      <c r="G311" s="330"/>
      <c r="H311" s="330"/>
      <c r="I311" s="330"/>
      <c r="J311" s="330"/>
      <c r="K311" s="330"/>
      <c r="L311" s="330"/>
      <c r="M311" s="330"/>
      <c r="N311" s="330"/>
      <c r="O311" s="330"/>
      <c r="P311" s="330"/>
      <c r="Q311" s="330"/>
      <c r="R311" s="330"/>
      <c r="S311" s="330"/>
      <c r="T311" s="330"/>
      <c r="U311" s="330"/>
      <c r="V311" s="330"/>
      <c r="W311" s="330"/>
      <c r="X311" s="330"/>
      <c r="Y311" s="330"/>
      <c r="Z311" s="330"/>
      <c r="AA311" s="330"/>
      <c r="AB311" s="330"/>
    </row>
    <row r="312" spans="7:28" x14ac:dyDescent="0.25">
      <c r="G312" s="330"/>
      <c r="H312" s="330"/>
      <c r="I312" s="330"/>
      <c r="J312" s="330"/>
      <c r="K312" s="330"/>
      <c r="L312" s="330"/>
      <c r="M312" s="330"/>
      <c r="N312" s="330"/>
      <c r="O312" s="330"/>
      <c r="P312" s="330"/>
      <c r="Q312" s="330"/>
      <c r="R312" s="330"/>
      <c r="S312" s="330"/>
      <c r="T312" s="330"/>
      <c r="U312" s="330"/>
      <c r="V312" s="330"/>
      <c r="W312" s="330"/>
      <c r="X312" s="330"/>
      <c r="Y312" s="330"/>
      <c r="Z312" s="330"/>
      <c r="AA312" s="330"/>
      <c r="AB312" s="330"/>
    </row>
    <row r="313" spans="7:28" x14ac:dyDescent="0.25">
      <c r="G313" s="330"/>
      <c r="H313" s="330"/>
      <c r="I313" s="330"/>
      <c r="J313" s="330"/>
      <c r="K313" s="330"/>
      <c r="L313" s="330"/>
      <c r="M313" s="330"/>
      <c r="N313" s="330"/>
      <c r="O313" s="330"/>
      <c r="P313" s="330"/>
      <c r="Q313" s="330"/>
      <c r="R313" s="330"/>
      <c r="S313" s="330"/>
      <c r="T313" s="330"/>
      <c r="U313" s="330"/>
      <c r="V313" s="330"/>
      <c r="W313" s="330"/>
      <c r="X313" s="330"/>
      <c r="Y313" s="330"/>
      <c r="Z313" s="330"/>
      <c r="AA313" s="330"/>
      <c r="AB313" s="330"/>
    </row>
    <row r="314" spans="7:28" x14ac:dyDescent="0.25">
      <c r="G314" s="330"/>
      <c r="H314" s="330"/>
      <c r="I314" s="330"/>
      <c r="J314" s="330"/>
      <c r="K314" s="330"/>
      <c r="L314" s="330"/>
      <c r="M314" s="330"/>
      <c r="N314" s="330"/>
      <c r="O314" s="330"/>
      <c r="P314" s="330"/>
      <c r="Q314" s="330"/>
      <c r="R314" s="330"/>
      <c r="S314" s="330"/>
      <c r="T314" s="330"/>
      <c r="U314" s="330"/>
      <c r="V314" s="330"/>
      <c r="W314" s="330"/>
      <c r="X314" s="330"/>
      <c r="Y314" s="330"/>
      <c r="Z314" s="330"/>
      <c r="AA314" s="330"/>
      <c r="AB314" s="330"/>
    </row>
    <row r="315" spans="7:28" x14ac:dyDescent="0.25">
      <c r="G315" s="330"/>
      <c r="H315" s="330"/>
      <c r="I315" s="330"/>
      <c r="J315" s="330"/>
      <c r="K315" s="330"/>
      <c r="L315" s="330"/>
      <c r="M315" s="330"/>
      <c r="N315" s="330"/>
      <c r="O315" s="330"/>
      <c r="P315" s="330"/>
      <c r="Q315" s="330"/>
      <c r="R315" s="330"/>
      <c r="S315" s="330"/>
      <c r="T315" s="330"/>
      <c r="U315" s="330"/>
      <c r="V315" s="330"/>
      <c r="W315" s="330"/>
      <c r="X315" s="330"/>
      <c r="Y315" s="330"/>
      <c r="Z315" s="330"/>
      <c r="AA315" s="330"/>
      <c r="AB315" s="330"/>
    </row>
    <row r="316" spans="7:28" x14ac:dyDescent="0.25">
      <c r="G316" s="330"/>
      <c r="H316" s="330"/>
      <c r="I316" s="330"/>
      <c r="J316" s="330"/>
      <c r="K316" s="330"/>
      <c r="L316" s="330"/>
      <c r="M316" s="330"/>
      <c r="N316" s="330"/>
      <c r="O316" s="330"/>
      <c r="P316" s="330"/>
      <c r="Q316" s="330"/>
      <c r="R316" s="330"/>
      <c r="S316" s="330"/>
      <c r="T316" s="330"/>
      <c r="U316" s="330"/>
      <c r="V316" s="330"/>
      <c r="W316" s="330"/>
      <c r="X316" s="330"/>
      <c r="Y316" s="330"/>
      <c r="Z316" s="330"/>
      <c r="AA316" s="330"/>
      <c r="AB316" s="330"/>
    </row>
    <row r="317" spans="7:28" x14ac:dyDescent="0.25">
      <c r="G317" s="330"/>
      <c r="H317" s="330"/>
      <c r="I317" s="330"/>
      <c r="J317" s="330"/>
      <c r="K317" s="330"/>
      <c r="L317" s="330"/>
      <c r="M317" s="330"/>
      <c r="N317" s="330"/>
      <c r="O317" s="330"/>
      <c r="P317" s="330"/>
      <c r="Q317" s="330"/>
      <c r="R317" s="330"/>
      <c r="S317" s="330"/>
      <c r="T317" s="330"/>
      <c r="U317" s="330"/>
      <c r="V317" s="330"/>
      <c r="W317" s="330"/>
      <c r="X317" s="330"/>
      <c r="Y317" s="330"/>
      <c r="Z317" s="330"/>
      <c r="AA317" s="330"/>
      <c r="AB317" s="330"/>
    </row>
    <row r="318" spans="7:28" x14ac:dyDescent="0.25">
      <c r="G318" s="330"/>
      <c r="H318" s="330"/>
      <c r="I318" s="330"/>
      <c r="J318" s="330"/>
      <c r="K318" s="330"/>
      <c r="L318" s="330"/>
      <c r="M318" s="330"/>
      <c r="N318" s="330"/>
      <c r="O318" s="330"/>
      <c r="P318" s="330"/>
      <c r="Q318" s="330"/>
      <c r="R318" s="330"/>
      <c r="S318" s="330"/>
      <c r="T318" s="330"/>
      <c r="U318" s="330"/>
      <c r="V318" s="330"/>
      <c r="W318" s="330"/>
      <c r="X318" s="330"/>
      <c r="Y318" s="330"/>
      <c r="Z318" s="330"/>
      <c r="AA318" s="330"/>
      <c r="AB318" s="330"/>
    </row>
    <row r="319" spans="7:28" x14ac:dyDescent="0.25">
      <c r="G319" s="330"/>
      <c r="H319" s="330"/>
      <c r="I319" s="330"/>
      <c r="J319" s="330"/>
      <c r="K319" s="330"/>
      <c r="L319" s="330"/>
      <c r="M319" s="330"/>
      <c r="N319" s="330"/>
      <c r="O319" s="330"/>
      <c r="P319" s="330"/>
      <c r="Q319" s="330"/>
      <c r="R319" s="330"/>
      <c r="S319" s="330"/>
      <c r="T319" s="330"/>
      <c r="U319" s="330"/>
      <c r="V319" s="330"/>
      <c r="W319" s="330"/>
      <c r="X319" s="330"/>
      <c r="Y319" s="330"/>
      <c r="Z319" s="330"/>
      <c r="AA319" s="330"/>
      <c r="AB319" s="330"/>
    </row>
    <row r="320" spans="7:28" x14ac:dyDescent="0.25">
      <c r="G320" s="330"/>
      <c r="H320" s="330"/>
      <c r="I320" s="330"/>
      <c r="J320" s="330"/>
      <c r="K320" s="330"/>
      <c r="L320" s="330"/>
      <c r="M320" s="330"/>
      <c r="N320" s="330"/>
      <c r="O320" s="330"/>
      <c r="P320" s="330"/>
      <c r="Q320" s="330"/>
      <c r="R320" s="330"/>
      <c r="S320" s="330"/>
      <c r="T320" s="330"/>
      <c r="U320" s="330"/>
      <c r="V320" s="330"/>
      <c r="W320" s="330"/>
      <c r="X320" s="330"/>
      <c r="Y320" s="330"/>
      <c r="Z320" s="330"/>
      <c r="AA320" s="330"/>
      <c r="AB320" s="330"/>
    </row>
    <row r="321" spans="7:28" x14ac:dyDescent="0.25">
      <c r="G321" s="330"/>
      <c r="H321" s="330"/>
      <c r="I321" s="330"/>
      <c r="J321" s="330"/>
      <c r="K321" s="330"/>
      <c r="L321" s="330"/>
      <c r="M321" s="330"/>
      <c r="N321" s="330"/>
      <c r="O321" s="330"/>
      <c r="P321" s="330"/>
      <c r="Q321" s="330"/>
      <c r="R321" s="330"/>
      <c r="S321" s="330"/>
      <c r="T321" s="330"/>
      <c r="U321" s="330"/>
      <c r="V321" s="330"/>
      <c r="W321" s="330"/>
      <c r="X321" s="330"/>
      <c r="Y321" s="330"/>
      <c r="Z321" s="330"/>
      <c r="AA321" s="330"/>
      <c r="AB321" s="330"/>
    </row>
    <row r="322" spans="7:28" x14ac:dyDescent="0.25">
      <c r="G322" s="330"/>
      <c r="H322" s="330"/>
      <c r="I322" s="330"/>
      <c r="J322" s="330"/>
      <c r="K322" s="330"/>
      <c r="L322" s="330"/>
      <c r="M322" s="330"/>
      <c r="N322" s="330"/>
      <c r="O322" s="330"/>
      <c r="P322" s="330"/>
      <c r="Q322" s="330"/>
      <c r="R322" s="330"/>
      <c r="S322" s="330"/>
      <c r="T322" s="330"/>
      <c r="U322" s="330"/>
      <c r="V322" s="330"/>
      <c r="W322" s="330"/>
      <c r="X322" s="330"/>
      <c r="Y322" s="330"/>
      <c r="Z322" s="330"/>
      <c r="AA322" s="330"/>
      <c r="AB322" s="330"/>
    </row>
    <row r="323" spans="7:28" x14ac:dyDescent="0.25">
      <c r="G323" s="330"/>
      <c r="H323" s="330"/>
      <c r="I323" s="330"/>
      <c r="J323" s="330"/>
      <c r="K323" s="330"/>
      <c r="L323" s="330"/>
      <c r="M323" s="330"/>
      <c r="N323" s="330"/>
      <c r="O323" s="330"/>
      <c r="P323" s="330"/>
      <c r="Q323" s="330"/>
      <c r="R323" s="330"/>
      <c r="S323" s="330"/>
      <c r="T323" s="330"/>
      <c r="U323" s="330"/>
      <c r="V323" s="330"/>
      <c r="W323" s="330"/>
      <c r="X323" s="330"/>
      <c r="Y323" s="330"/>
      <c r="Z323" s="330"/>
      <c r="AA323" s="330"/>
      <c r="AB323" s="330"/>
    </row>
    <row r="324" spans="7:28" x14ac:dyDescent="0.25">
      <c r="G324" s="330"/>
      <c r="H324" s="330"/>
      <c r="I324" s="330"/>
      <c r="J324" s="330"/>
      <c r="K324" s="330"/>
      <c r="L324" s="330"/>
      <c r="M324" s="330"/>
      <c r="N324" s="330"/>
      <c r="O324" s="330"/>
      <c r="P324" s="330"/>
      <c r="Q324" s="330"/>
      <c r="R324" s="330"/>
      <c r="S324" s="330"/>
      <c r="T324" s="330"/>
      <c r="U324" s="330"/>
      <c r="V324" s="330"/>
      <c r="W324" s="330"/>
      <c r="X324" s="330"/>
      <c r="Y324" s="330"/>
      <c r="Z324" s="330"/>
      <c r="AA324" s="330"/>
      <c r="AB324" s="330"/>
    </row>
    <row r="325" spans="7:28" x14ac:dyDescent="0.25">
      <c r="G325" s="330"/>
      <c r="H325" s="330"/>
      <c r="I325" s="330"/>
      <c r="J325" s="330"/>
      <c r="K325" s="330"/>
      <c r="L325" s="330"/>
      <c r="M325" s="330"/>
      <c r="N325" s="330"/>
      <c r="O325" s="330"/>
      <c r="P325" s="330"/>
      <c r="Q325" s="330"/>
      <c r="R325" s="330"/>
      <c r="S325" s="330"/>
      <c r="T325" s="330"/>
      <c r="U325" s="330"/>
      <c r="V325" s="330"/>
      <c r="W325" s="330"/>
      <c r="X325" s="330"/>
      <c r="Y325" s="330"/>
      <c r="Z325" s="330"/>
      <c r="AA325" s="330"/>
      <c r="AB325" s="330"/>
    </row>
    <row r="326" spans="7:28" x14ac:dyDescent="0.25">
      <c r="G326" s="330"/>
      <c r="H326" s="330"/>
      <c r="I326" s="330"/>
      <c r="J326" s="330"/>
      <c r="K326" s="330"/>
      <c r="L326" s="330"/>
      <c r="M326" s="330"/>
      <c r="N326" s="330"/>
      <c r="O326" s="330"/>
      <c r="P326" s="330"/>
      <c r="Q326" s="330"/>
      <c r="R326" s="330"/>
      <c r="S326" s="330"/>
      <c r="T326" s="330"/>
      <c r="U326" s="330"/>
      <c r="V326" s="330"/>
      <c r="W326" s="330"/>
      <c r="X326" s="330"/>
      <c r="Y326" s="330"/>
      <c r="Z326" s="330"/>
      <c r="AA326" s="330"/>
      <c r="AB326" s="330"/>
    </row>
    <row r="327" spans="7:28" x14ac:dyDescent="0.25">
      <c r="G327" s="330"/>
      <c r="H327" s="330"/>
      <c r="I327" s="330"/>
      <c r="J327" s="330"/>
      <c r="K327" s="330"/>
      <c r="L327" s="330"/>
      <c r="M327" s="330"/>
      <c r="N327" s="330"/>
      <c r="O327" s="330"/>
      <c r="P327" s="330"/>
      <c r="Q327" s="330"/>
      <c r="R327" s="330"/>
      <c r="S327" s="330"/>
      <c r="T327" s="330"/>
      <c r="U327" s="330"/>
      <c r="V327" s="330"/>
      <c r="W327" s="330"/>
      <c r="X327" s="330"/>
      <c r="Y327" s="330"/>
      <c r="Z327" s="330"/>
      <c r="AA327" s="330"/>
      <c r="AB327" s="330"/>
    </row>
    <row r="328" spans="7:28" x14ac:dyDescent="0.25">
      <c r="G328" s="330"/>
      <c r="H328" s="330"/>
      <c r="I328" s="330"/>
      <c r="J328" s="330"/>
      <c r="K328" s="330"/>
      <c r="L328" s="330"/>
      <c r="M328" s="330"/>
      <c r="N328" s="330"/>
      <c r="O328" s="330"/>
      <c r="P328" s="330"/>
      <c r="Q328" s="330"/>
      <c r="R328" s="330"/>
      <c r="S328" s="330"/>
      <c r="T328" s="330"/>
      <c r="U328" s="330"/>
      <c r="V328" s="330"/>
      <c r="W328" s="330"/>
      <c r="X328" s="330"/>
      <c r="Y328" s="330"/>
      <c r="Z328" s="330"/>
      <c r="AA328" s="330"/>
      <c r="AB328" s="330"/>
    </row>
    <row r="329" spans="7:28" x14ac:dyDescent="0.25">
      <c r="G329" s="330"/>
      <c r="H329" s="330"/>
      <c r="I329" s="330"/>
      <c r="J329" s="330"/>
      <c r="K329" s="330"/>
      <c r="L329" s="330"/>
      <c r="M329" s="330"/>
      <c r="N329" s="330"/>
      <c r="O329" s="330"/>
      <c r="P329" s="330"/>
      <c r="Q329" s="330"/>
      <c r="R329" s="330"/>
      <c r="S329" s="330"/>
      <c r="T329" s="330"/>
      <c r="U329" s="330"/>
      <c r="V329" s="330"/>
      <c r="W329" s="330"/>
      <c r="X329" s="330"/>
      <c r="Y329" s="330"/>
      <c r="Z329" s="330"/>
      <c r="AA329" s="330"/>
      <c r="AB329" s="33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39">
    <cfRule type="expression" dxfId="113" priority="19">
      <formula>$D$23&gt;1</formula>
    </cfRule>
  </conditionalFormatting>
  <conditionalFormatting sqref="D40">
    <cfRule type="expression" dxfId="112" priority="18">
      <formula>$D$23&gt;2</formula>
    </cfRule>
  </conditionalFormatting>
  <conditionalFormatting sqref="D41">
    <cfRule type="expression" dxfId="111" priority="17">
      <formula>$D$23&gt;3</formula>
    </cfRule>
  </conditionalFormatting>
  <conditionalFormatting sqref="D42">
    <cfRule type="expression" dxfId="110" priority="16">
      <formula>$D$23&gt;4</formula>
    </cfRule>
  </conditionalFormatting>
  <conditionalFormatting sqref="D43">
    <cfRule type="expression" dxfId="109" priority="15">
      <formula>$D$23&gt;5</formula>
    </cfRule>
  </conditionalFormatting>
  <conditionalFormatting sqref="D44">
    <cfRule type="expression" dxfId="108" priority="14">
      <formula>$D$23&gt;6</formula>
    </cfRule>
  </conditionalFormatting>
  <conditionalFormatting sqref="D45">
    <cfRule type="expression" dxfId="107" priority="13">
      <formula>$D$23&gt;7</formula>
    </cfRule>
  </conditionalFormatting>
  <conditionalFormatting sqref="D59">
    <cfRule type="cellIs" dxfId="106" priority="4" operator="lessThan">
      <formula>0</formula>
    </cfRule>
  </conditionalFormatting>
  <conditionalFormatting sqref="D29">
    <cfRule type="expression" dxfId="105" priority="3">
      <formula>$D$28="Circular"</formula>
    </cfRule>
  </conditionalFormatting>
  <conditionalFormatting sqref="F29">
    <cfRule type="expression" dxfId="104" priority="2">
      <formula>$D$28="Circular"</formula>
    </cfRule>
  </conditionalFormatting>
  <conditionalFormatting sqref="E39">
    <cfRule type="expression" dxfId="103" priority="1">
      <formula>$D$23&gt;1</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276225</xdr:colOff>
                <xdr:row>13</xdr:row>
                <xdr:rowOff>161925</xdr:rowOff>
              </from>
              <to>
                <xdr:col>3</xdr:col>
                <xdr:colOff>1171575</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workbookViewId="0">
      <selection activeCell="D22" sqref="D22"/>
    </sheetView>
  </sheetViews>
  <sheetFormatPr defaultRowHeight="15" x14ac:dyDescent="0.25"/>
  <cols>
    <col min="1" max="1" width="4.42578125" customWidth="1"/>
    <col min="2" max="2" width="3.42578125" customWidth="1"/>
    <col min="3" max="3" width="21.5703125" customWidth="1"/>
    <col min="4" max="4" width="20.28515625" customWidth="1"/>
    <col min="5" max="5" width="8.5703125" customWidth="1"/>
    <col min="6" max="6" width="11.85546875" customWidth="1"/>
    <col min="9" max="9" width="11.5703125" customWidth="1"/>
  </cols>
  <sheetData>
    <row r="2" spans="2:7" ht="18" x14ac:dyDescent="0.35">
      <c r="B2" s="4" t="s">
        <v>103</v>
      </c>
      <c r="G2" s="20" t="s">
        <v>198</v>
      </c>
    </row>
    <row r="3" spans="2:7" ht="18" x14ac:dyDescent="0.35">
      <c r="B3" s="4"/>
      <c r="G3" s="20"/>
    </row>
    <row r="4" spans="2:7" ht="14.45" x14ac:dyDescent="0.3">
      <c r="C4" s="7" t="s">
        <v>168</v>
      </c>
    </row>
    <row r="5" spans="2:7" x14ac:dyDescent="0.25">
      <c r="C5" s="7" t="s">
        <v>169</v>
      </c>
    </row>
    <row r="6" spans="2:7" x14ac:dyDescent="0.25">
      <c r="C6" s="7" t="s">
        <v>275</v>
      </c>
    </row>
    <row r="7" spans="2:7" x14ac:dyDescent="0.25">
      <c r="C7" s="7" t="s">
        <v>274</v>
      </c>
    </row>
    <row r="8" spans="2:7" x14ac:dyDescent="0.25">
      <c r="C8" s="7" t="s">
        <v>289</v>
      </c>
    </row>
    <row r="9" spans="2:7" x14ac:dyDescent="0.25">
      <c r="C9" s="7"/>
    </row>
    <row r="10" spans="2:7" x14ac:dyDescent="0.25">
      <c r="C10" t="s">
        <v>164</v>
      </c>
      <c r="D10" s="52" t="s">
        <v>122</v>
      </c>
    </row>
    <row r="11" spans="2:7" ht="14.45" hidden="1" x14ac:dyDescent="0.3">
      <c r="C11" t="s">
        <v>106</v>
      </c>
      <c r="D11" s="53">
        <f>INDEX(F107:F128,MATCH(D10,C107:C128))</f>
        <v>2.65</v>
      </c>
      <c r="E11" s="23" t="s">
        <v>107</v>
      </c>
    </row>
    <row r="12" spans="2:7" x14ac:dyDescent="0.25">
      <c r="C12" t="s">
        <v>1089</v>
      </c>
      <c r="D12" s="100">
        <f>D11/1000000/100</f>
        <v>2.6499999999999999E-8</v>
      </c>
      <c r="E12" s="99" t="s">
        <v>108</v>
      </c>
    </row>
    <row r="13" spans="2:7" x14ac:dyDescent="0.25">
      <c r="C13" t="s">
        <v>109</v>
      </c>
      <c r="D13" s="54">
        <f>IF(D10="Nickel",100,1)</f>
        <v>1</v>
      </c>
      <c r="E13" s="8"/>
    </row>
    <row r="14" spans="2:7" x14ac:dyDescent="0.25">
      <c r="C14" t="s">
        <v>2</v>
      </c>
      <c r="D14" s="46">
        <v>7</v>
      </c>
      <c r="E14" s="8" t="s">
        <v>0</v>
      </c>
    </row>
    <row r="15" spans="2:7" ht="14.45" hidden="1" x14ac:dyDescent="0.3">
      <c r="D15" s="76">
        <f>D14*1000000</f>
        <v>7000000</v>
      </c>
      <c r="E15" s="24" t="s">
        <v>1</v>
      </c>
    </row>
    <row r="16" spans="2:7" ht="14.45" hidden="1" x14ac:dyDescent="0.3">
      <c r="C16" s="18" t="s">
        <v>110</v>
      </c>
      <c r="D16" s="76">
        <f>4*PI()*0.0000001</f>
        <v>1.2566370614359173E-6</v>
      </c>
      <c r="E16" s="24" t="s">
        <v>111</v>
      </c>
    </row>
    <row r="17" spans="3:8" ht="14.45" hidden="1" x14ac:dyDescent="0.3">
      <c r="C17" s="18" t="s">
        <v>112</v>
      </c>
      <c r="D17" s="76">
        <f>SQRT((2*D12)/(2*PI()*D16*D13*D15))</f>
        <v>3.0966637384460988E-5</v>
      </c>
      <c r="E17" s="24" t="s">
        <v>113</v>
      </c>
    </row>
    <row r="18" spans="3:8" x14ac:dyDescent="0.25">
      <c r="C18" t="s">
        <v>112</v>
      </c>
      <c r="D18" s="37">
        <f>D17*1000000</f>
        <v>30.966637384460988</v>
      </c>
      <c r="E18" s="23" t="s">
        <v>114</v>
      </c>
    </row>
    <row r="19" spans="3:8" x14ac:dyDescent="0.25">
      <c r="C19" t="s">
        <v>115</v>
      </c>
      <c r="D19" s="152">
        <v>0.2</v>
      </c>
      <c r="E19" s="266" t="s">
        <v>34</v>
      </c>
    </row>
    <row r="20" spans="3:8" ht="14.25" hidden="1" customHeight="1" x14ac:dyDescent="0.3">
      <c r="D20" s="77">
        <f>IF(E19="mm",D19*0.001,IF(E19="um",D19*0.000001,D19*0.0000254))</f>
        <v>2.0000000000000001E-4</v>
      </c>
      <c r="E20" s="38" t="s">
        <v>116</v>
      </c>
      <c r="G20" s="15"/>
    </row>
    <row r="21" spans="3:8" x14ac:dyDescent="0.25">
      <c r="C21" t="s">
        <v>158</v>
      </c>
      <c r="D21" s="35">
        <f>D20/D17</f>
        <v>6.4585636960492101</v>
      </c>
      <c r="E21" s="8" t="s">
        <v>118</v>
      </c>
    </row>
    <row r="22" spans="3:8" x14ac:dyDescent="0.25">
      <c r="C22" t="s">
        <v>117</v>
      </c>
      <c r="D22" s="27">
        <f>100*(1-EXP(-1*D21))</f>
        <v>99.843295515250915</v>
      </c>
      <c r="E22" s="8" t="s">
        <v>163</v>
      </c>
    </row>
    <row r="23" spans="3:8" ht="15.75" x14ac:dyDescent="0.25">
      <c r="E23" s="8"/>
      <c r="H23" s="26" t="s">
        <v>165</v>
      </c>
    </row>
    <row r="24" spans="3:8" x14ac:dyDescent="0.25">
      <c r="E24" s="8"/>
    </row>
    <row r="25" spans="3:8" ht="15.75" x14ac:dyDescent="0.25">
      <c r="C25" s="63" t="s">
        <v>200</v>
      </c>
      <c r="D25" s="12"/>
      <c r="E25" s="12"/>
    </row>
    <row r="26" spans="3:8" x14ac:dyDescent="0.25">
      <c r="C26" s="28" t="str">
        <f>IF(C28="L","fsensor","L")</f>
        <v>L</v>
      </c>
      <c r="D26" s="46">
        <v>20</v>
      </c>
      <c r="E26" s="64" t="str">
        <f>IF(C26="fsensor","MHz","µH")</f>
        <v>µH</v>
      </c>
    </row>
    <row r="27" spans="3:8" x14ac:dyDescent="0.25">
      <c r="C27" s="28" t="str">
        <f>IF(C28="C","fsensor","C")</f>
        <v>C</v>
      </c>
      <c r="D27" s="46">
        <v>100</v>
      </c>
      <c r="E27" s="65" t="str">
        <f>IF(C27="fsensor","MHz","pF")</f>
        <v>pF</v>
      </c>
    </row>
    <row r="28" spans="3:8" x14ac:dyDescent="0.25">
      <c r="C28" s="45" t="s">
        <v>228</v>
      </c>
      <c r="D28" s="27">
        <f>IF(C28="fsensor",0.000001/(2*PI()*SQRT(D26*0.000001*D27*0.000000000001)),IF(C28="C",1000000000000/((D26*0.000001)*(2*PI()*D27*1000000)^2),1000000/((D27*0.000000000001)*(2*PI()*D26*1000000)^2)))</f>
        <v>3.558812717085885</v>
      </c>
      <c r="E28" s="28" t="str">
        <f>IF(C28="fsensor","MHz",IF(C28="L","µH","pF"))</f>
        <v>MHz</v>
      </c>
    </row>
    <row r="104" spans="3:9" ht="15.75" x14ac:dyDescent="0.25">
      <c r="C104" s="26" t="s">
        <v>119</v>
      </c>
    </row>
    <row r="105" spans="3:9" ht="38.25" x14ac:dyDescent="0.25">
      <c r="E105" s="70" t="s">
        <v>259</v>
      </c>
      <c r="F105" s="70" t="s">
        <v>120</v>
      </c>
      <c r="G105" s="70" t="s">
        <v>101</v>
      </c>
      <c r="H105" s="70" t="s">
        <v>101</v>
      </c>
      <c r="I105" s="70" t="s">
        <v>256</v>
      </c>
    </row>
    <row r="106" spans="3:9" ht="18" x14ac:dyDescent="0.25">
      <c r="C106" s="66" t="s">
        <v>104</v>
      </c>
      <c r="D106" s="66" t="s">
        <v>260</v>
      </c>
      <c r="E106" s="67" t="s">
        <v>258</v>
      </c>
      <c r="F106" s="68" t="s">
        <v>107</v>
      </c>
      <c r="G106" s="67" t="s">
        <v>121</v>
      </c>
      <c r="H106" s="67" t="s">
        <v>102</v>
      </c>
      <c r="I106" s="67" t="s">
        <v>367</v>
      </c>
    </row>
    <row r="107" spans="3:9" x14ac:dyDescent="0.25">
      <c r="C107" s="69" t="s">
        <v>122</v>
      </c>
      <c r="D107" s="69" t="s">
        <v>123</v>
      </c>
      <c r="E107" s="69">
        <v>4200</v>
      </c>
      <c r="F107" s="69">
        <v>2.65</v>
      </c>
      <c r="G107" s="69">
        <v>660</v>
      </c>
      <c r="H107" s="69">
        <v>1221</v>
      </c>
      <c r="I107" s="69">
        <v>1</v>
      </c>
    </row>
    <row r="108" spans="3:9" x14ac:dyDescent="0.25">
      <c r="C108" s="69" t="s">
        <v>1090</v>
      </c>
      <c r="D108" s="69" t="s">
        <v>1091</v>
      </c>
      <c r="E108" s="69"/>
      <c r="F108" s="69">
        <v>13.5</v>
      </c>
      <c r="G108" s="69">
        <v>1040</v>
      </c>
      <c r="H108" s="69">
        <f>9*G108/5+32</f>
        <v>1904</v>
      </c>
      <c r="I108" s="69"/>
    </row>
    <row r="109" spans="3:9" x14ac:dyDescent="0.25">
      <c r="C109" s="69" t="s">
        <v>124</v>
      </c>
      <c r="D109" s="69" t="s">
        <v>26</v>
      </c>
      <c r="E109" s="69">
        <v>-500</v>
      </c>
      <c r="F109" s="69">
        <v>3000</v>
      </c>
      <c r="G109" s="69"/>
      <c r="H109" s="69"/>
      <c r="I109" s="28">
        <v>1</v>
      </c>
    </row>
    <row r="110" spans="3:9" x14ac:dyDescent="0.25">
      <c r="C110" s="69" t="s">
        <v>125</v>
      </c>
      <c r="D110" s="69" t="s">
        <v>126</v>
      </c>
      <c r="E110" s="69">
        <v>5900</v>
      </c>
      <c r="F110" s="69">
        <v>18</v>
      </c>
      <c r="G110" s="69">
        <v>1857</v>
      </c>
      <c r="H110" s="69">
        <v>3374.6</v>
      </c>
      <c r="I110" s="69">
        <v>1</v>
      </c>
    </row>
    <row r="111" spans="3:9" x14ac:dyDescent="0.25">
      <c r="C111" s="69" t="s">
        <v>105</v>
      </c>
      <c r="D111" s="69" t="s">
        <v>127</v>
      </c>
      <c r="E111" s="69">
        <v>4300</v>
      </c>
      <c r="F111" s="69">
        <v>1.673</v>
      </c>
      <c r="G111" s="69">
        <v>1083</v>
      </c>
      <c r="H111" s="69">
        <v>1981.4</v>
      </c>
      <c r="I111" s="69">
        <v>1</v>
      </c>
    </row>
    <row r="112" spans="3:9" x14ac:dyDescent="0.25">
      <c r="C112" s="69" t="s">
        <v>128</v>
      </c>
      <c r="D112" s="69" t="s">
        <v>129</v>
      </c>
      <c r="E112" s="69">
        <v>4000</v>
      </c>
      <c r="F112" s="69">
        <v>2.44</v>
      </c>
      <c r="G112" s="69">
        <v>1064</v>
      </c>
      <c r="H112" s="69">
        <v>1947.2</v>
      </c>
      <c r="I112" s="69">
        <v>1</v>
      </c>
    </row>
    <row r="113" spans="3:9" x14ac:dyDescent="0.25">
      <c r="C113" s="69" t="s">
        <v>130</v>
      </c>
      <c r="D113" s="69" t="s">
        <v>131</v>
      </c>
      <c r="E113" s="69">
        <v>6500</v>
      </c>
      <c r="F113" s="69">
        <v>9.66</v>
      </c>
      <c r="G113" s="69">
        <v>1535</v>
      </c>
      <c r="H113" s="69">
        <v>2795</v>
      </c>
      <c r="I113" s="69">
        <v>5000</v>
      </c>
    </row>
    <row r="114" spans="3:9" x14ac:dyDescent="0.25">
      <c r="C114" s="69" t="s">
        <v>132</v>
      </c>
      <c r="D114" s="69" t="s">
        <v>133</v>
      </c>
      <c r="E114" s="69">
        <v>4200</v>
      </c>
      <c r="F114" s="69">
        <v>20.65</v>
      </c>
      <c r="G114" s="69">
        <v>328</v>
      </c>
      <c r="H114" s="69">
        <v>622.4</v>
      </c>
      <c r="I114" s="69">
        <v>1</v>
      </c>
    </row>
    <row r="115" spans="3:9" x14ac:dyDescent="0.25">
      <c r="C115" s="69" t="s">
        <v>134</v>
      </c>
      <c r="D115" s="69" t="s">
        <v>135</v>
      </c>
      <c r="E115" s="69"/>
      <c r="F115" s="69">
        <v>4.2</v>
      </c>
      <c r="G115" s="69"/>
      <c r="H115" s="69"/>
      <c r="I115" s="69">
        <v>1</v>
      </c>
    </row>
    <row r="116" spans="3:9" x14ac:dyDescent="0.25">
      <c r="C116" s="69" t="s">
        <v>136</v>
      </c>
      <c r="D116" s="69" t="s">
        <v>137</v>
      </c>
      <c r="E116" s="69">
        <v>6800</v>
      </c>
      <c r="F116" s="69">
        <v>8.7070000000000007</v>
      </c>
      <c r="G116" s="69">
        <v>1453</v>
      </c>
      <c r="H116" s="69">
        <v>2647.4</v>
      </c>
      <c r="I116" s="69">
        <v>100</v>
      </c>
    </row>
    <row r="117" spans="3:9" x14ac:dyDescent="0.25">
      <c r="C117" s="69" t="s">
        <v>138</v>
      </c>
      <c r="D117" s="69" t="s">
        <v>139</v>
      </c>
      <c r="E117" s="69" t="s">
        <v>140</v>
      </c>
      <c r="F117" s="69">
        <v>110</v>
      </c>
      <c r="G117" s="69"/>
      <c r="H117" s="69"/>
      <c r="I117" s="69">
        <v>1</v>
      </c>
    </row>
    <row r="118" spans="3:9" x14ac:dyDescent="0.25">
      <c r="C118" s="69" t="s">
        <v>141</v>
      </c>
      <c r="D118" s="69" t="s">
        <v>142</v>
      </c>
      <c r="E118" s="69">
        <v>4100</v>
      </c>
      <c r="F118" s="69">
        <v>1.59</v>
      </c>
      <c r="G118" s="69">
        <v>962</v>
      </c>
      <c r="H118" s="69">
        <v>1763.6</v>
      </c>
      <c r="I118" s="69">
        <v>1</v>
      </c>
    </row>
    <row r="119" spans="3:9" x14ac:dyDescent="0.25">
      <c r="C119" s="69" t="s">
        <v>366</v>
      </c>
      <c r="D119" s="69" t="s">
        <v>368</v>
      </c>
      <c r="E119" s="69">
        <v>8010</v>
      </c>
      <c r="F119" s="69">
        <v>74</v>
      </c>
      <c r="G119" s="69">
        <v>1371</v>
      </c>
      <c r="H119" s="69"/>
      <c r="I119" s="69">
        <v>1.0029999999999999</v>
      </c>
    </row>
    <row r="120" spans="3:9" x14ac:dyDescent="0.25">
      <c r="C120" s="69" t="s">
        <v>373</v>
      </c>
      <c r="D120" s="69"/>
      <c r="E120" s="69"/>
      <c r="F120" s="69">
        <v>23.68</v>
      </c>
      <c r="G120" s="69"/>
      <c r="H120" s="69"/>
      <c r="I120" s="69">
        <v>409</v>
      </c>
    </row>
    <row r="121" spans="3:9" x14ac:dyDescent="0.25">
      <c r="C121" s="69" t="s">
        <v>374</v>
      </c>
      <c r="D121" s="69"/>
      <c r="E121" s="69"/>
      <c r="F121" s="69">
        <v>17.239999999999998</v>
      </c>
      <c r="G121" s="69"/>
      <c r="H121" s="69"/>
      <c r="I121" s="69">
        <v>1404</v>
      </c>
    </row>
    <row r="122" spans="3:9" x14ac:dyDescent="0.25">
      <c r="C122" s="69" t="s">
        <v>143</v>
      </c>
      <c r="D122" s="69" t="s">
        <v>144</v>
      </c>
      <c r="E122" s="69"/>
      <c r="F122" s="69">
        <v>15.52</v>
      </c>
      <c r="G122" s="69">
        <v>2996</v>
      </c>
      <c r="H122" s="69">
        <v>5424.8</v>
      </c>
      <c r="I122" s="69">
        <v>1</v>
      </c>
    </row>
    <row r="123" spans="3:9" x14ac:dyDescent="0.25">
      <c r="C123" s="69" t="s">
        <v>145</v>
      </c>
      <c r="D123" s="69" t="s">
        <v>146</v>
      </c>
      <c r="E123" s="69">
        <v>-100</v>
      </c>
      <c r="F123" s="69">
        <v>252</v>
      </c>
      <c r="G123" s="69"/>
      <c r="H123" s="69"/>
      <c r="I123" s="69">
        <v>1</v>
      </c>
    </row>
    <row r="124" spans="3:9" x14ac:dyDescent="0.25">
      <c r="C124" s="69" t="s">
        <v>147</v>
      </c>
      <c r="D124" s="69" t="s">
        <v>148</v>
      </c>
      <c r="E124" s="69">
        <v>4600</v>
      </c>
      <c r="F124" s="69">
        <v>11.55</v>
      </c>
      <c r="G124" s="69">
        <v>232</v>
      </c>
      <c r="H124" s="69">
        <v>449.6</v>
      </c>
      <c r="I124" s="69">
        <v>1</v>
      </c>
    </row>
    <row r="125" spans="3:9" x14ac:dyDescent="0.25">
      <c r="C125" s="69" t="s">
        <v>149</v>
      </c>
      <c r="D125" s="69" t="s">
        <v>150</v>
      </c>
      <c r="E125" s="69"/>
      <c r="F125" s="69">
        <v>55</v>
      </c>
      <c r="G125" s="69">
        <v>1660</v>
      </c>
      <c r="H125" s="69">
        <v>3020</v>
      </c>
      <c r="I125" s="69">
        <v>1</v>
      </c>
    </row>
    <row r="126" spans="3:9" x14ac:dyDescent="0.25">
      <c r="C126" s="69" t="s">
        <v>151</v>
      </c>
      <c r="D126" s="69" t="s">
        <v>152</v>
      </c>
      <c r="E126" s="69">
        <v>4800</v>
      </c>
      <c r="F126" s="69">
        <v>5.6</v>
      </c>
      <c r="G126" s="69">
        <v>3422</v>
      </c>
      <c r="H126" s="69">
        <v>6192</v>
      </c>
      <c r="I126" s="69">
        <v>1</v>
      </c>
    </row>
    <row r="127" spans="3:9" x14ac:dyDescent="0.25">
      <c r="C127" s="69" t="s">
        <v>153</v>
      </c>
      <c r="D127" s="69" t="s">
        <v>154</v>
      </c>
      <c r="E127" s="69">
        <v>4200</v>
      </c>
      <c r="F127" s="69">
        <v>5.68</v>
      </c>
      <c r="G127" s="69">
        <v>420</v>
      </c>
      <c r="H127" s="69">
        <v>788</v>
      </c>
      <c r="I127" s="69">
        <v>1</v>
      </c>
    </row>
    <row r="128" spans="3:9" x14ac:dyDescent="0.25">
      <c r="C128" s="69" t="s">
        <v>155</v>
      </c>
      <c r="D128" s="69" t="s">
        <v>156</v>
      </c>
      <c r="E128" s="69"/>
      <c r="F128" s="69">
        <v>4.0999999999999996</v>
      </c>
      <c r="G128" s="69">
        <v>1852</v>
      </c>
      <c r="H128" s="69">
        <v>3365.6</v>
      </c>
      <c r="I128" s="69">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C143" sqref="C143"/>
    </sheetView>
  </sheetViews>
  <sheetFormatPr defaultRowHeight="15" x14ac:dyDescent="0.25"/>
  <cols>
    <col min="2" max="2" width="40.28515625" customWidth="1"/>
    <col min="3" max="4" width="15.7109375" customWidth="1"/>
    <col min="5" max="5" width="5.28515625" customWidth="1"/>
    <col min="6" max="6" width="14.5703125" customWidth="1"/>
    <col min="7" max="7" width="4.140625" customWidth="1"/>
    <col min="8" max="8" width="14.5703125" customWidth="1"/>
    <col min="9" max="9" width="4.42578125" customWidth="1"/>
    <col min="10" max="10" width="14.5703125" customWidth="1"/>
    <col min="11" max="11" width="4.28515625" customWidth="1"/>
    <col min="15" max="15" width="12.140625" customWidth="1"/>
    <col min="16" max="16" width="10.7109375" customWidth="1"/>
    <col min="17" max="17" width="10.5703125" customWidth="1"/>
    <col min="18" max="18" width="10.85546875" customWidth="1"/>
  </cols>
  <sheetData>
    <row r="2" spans="2:16" ht="18" x14ac:dyDescent="0.35">
      <c r="B2" s="4" t="s">
        <v>1647</v>
      </c>
      <c r="F2" s="20" t="s">
        <v>198</v>
      </c>
    </row>
    <row r="3" spans="2:16" ht="18" x14ac:dyDescent="0.35">
      <c r="C3" s="4"/>
      <c r="H3" s="20"/>
    </row>
    <row r="4" spans="2:16" ht="15.75" x14ac:dyDescent="0.25">
      <c r="C4" s="412" t="s">
        <v>809</v>
      </c>
      <c r="D4" s="45" t="s">
        <v>1648</v>
      </c>
    </row>
    <row r="5" spans="2:16" ht="15.75" x14ac:dyDescent="0.25">
      <c r="B5" s="22" t="s">
        <v>1649</v>
      </c>
      <c r="C5" s="412"/>
      <c r="D5" s="409" t="b">
        <v>1</v>
      </c>
      <c r="F5" s="841" t="str">
        <f>IF($D$5,"Raw","Button")</f>
        <v>Raw</v>
      </c>
    </row>
    <row r="6" spans="2:16" ht="15.75" x14ac:dyDescent="0.25">
      <c r="B6" s="22"/>
      <c r="C6" s="807"/>
      <c r="D6" s="808"/>
      <c r="E6" s="13"/>
      <c r="F6" s="13"/>
    </row>
    <row r="7" spans="2:16" ht="15.75" x14ac:dyDescent="0.25">
      <c r="C7" s="22"/>
      <c r="D7" s="309" t="s">
        <v>715</v>
      </c>
      <c r="F7" s="741" t="s">
        <v>716</v>
      </c>
      <c r="H7" s="309" t="s">
        <v>717</v>
      </c>
      <c r="J7" s="309" t="s">
        <v>718</v>
      </c>
      <c r="K7" s="330"/>
      <c r="L7" s="330"/>
      <c r="M7" s="330"/>
      <c r="N7" s="330"/>
      <c r="O7" s="330"/>
      <c r="P7" s="330"/>
    </row>
    <row r="8" spans="2:16" ht="15.75" x14ac:dyDescent="0.25">
      <c r="B8" s="22" t="s">
        <v>733</v>
      </c>
      <c r="D8" s="409" t="b">
        <v>1</v>
      </c>
      <c r="E8" s="402"/>
      <c r="F8" s="809" t="b">
        <v>1</v>
      </c>
      <c r="G8" s="403"/>
      <c r="H8" s="411" t="b">
        <v>0</v>
      </c>
      <c r="I8" s="403"/>
      <c r="J8" s="411" t="b">
        <v>0</v>
      </c>
      <c r="K8" s="85" t="str">
        <f>IF(AND(D4="LDC2112",OR(H8=TRUE(),J8=TRUE())),"LDC2112 does not have Ch2 or Ch3","")</f>
        <v/>
      </c>
      <c r="L8" s="330"/>
      <c r="M8" s="330"/>
      <c r="N8" s="330"/>
      <c r="O8" s="330"/>
      <c r="P8" s="330"/>
    </row>
    <row r="9" spans="2:16" ht="15.75" x14ac:dyDescent="0.25">
      <c r="B9" s="22" t="s">
        <v>719</v>
      </c>
      <c r="D9" s="409" t="b">
        <v>0</v>
      </c>
      <c r="E9" s="402"/>
      <c r="F9" s="411" t="b">
        <v>0</v>
      </c>
      <c r="G9" s="403"/>
      <c r="H9" s="411" t="b">
        <v>0</v>
      </c>
      <c r="I9" s="403"/>
      <c r="J9" s="411" t="b">
        <v>0</v>
      </c>
      <c r="K9" s="85" t="str">
        <f>IF(SUM(D12,F12,H12,J12)&gt;SUM(D13,F13,H13,J13),"LP Mode requires Enabled Button","")</f>
        <v/>
      </c>
      <c r="L9" s="330"/>
      <c r="M9" s="330"/>
      <c r="N9" s="330"/>
      <c r="O9" s="330"/>
      <c r="P9" s="330"/>
    </row>
    <row r="10" spans="2:16" ht="15.75" hidden="1" x14ac:dyDescent="0.25">
      <c r="B10" s="22"/>
      <c r="D10" s="410"/>
      <c r="L10" s="330"/>
      <c r="M10" s="330"/>
      <c r="N10" s="330"/>
      <c r="O10" s="330"/>
      <c r="P10" s="330"/>
    </row>
    <row r="11" spans="2:16" hidden="1" x14ac:dyDescent="0.25">
      <c r="B11" s="7" t="s">
        <v>720</v>
      </c>
      <c r="D11" s="75">
        <f>IF(D8=TRUE(),1,0)</f>
        <v>1</v>
      </c>
      <c r="F11" s="75">
        <f>IF(F8=TRUE(),1,0)</f>
        <v>1</v>
      </c>
      <c r="H11" s="75">
        <f>IF(H8=TRUE(),IF(D4="LDC2114",1,0),0)</f>
        <v>0</v>
      </c>
      <c r="J11" s="75">
        <f>IF(J8=TRUE(),IF(D4="LDC2114",1,0),0)</f>
        <v>0</v>
      </c>
      <c r="L11" s="330"/>
      <c r="M11" s="330"/>
      <c r="N11" s="330"/>
      <c r="O11" s="330"/>
      <c r="P11" s="330"/>
    </row>
    <row r="12" spans="2:16" hidden="1" x14ac:dyDescent="0.25">
      <c r="B12" s="7" t="s">
        <v>722</v>
      </c>
      <c r="D12" s="75">
        <f>IF(D9=TRUE(),1,0)</f>
        <v>0</v>
      </c>
      <c r="E12" s="12"/>
      <c r="F12" s="75">
        <f>IF(F9=TRUE(),1,0)</f>
        <v>0</v>
      </c>
      <c r="G12" s="12"/>
      <c r="H12" s="75">
        <f>IF(H9=TRUE(),1,0)</f>
        <v>0</v>
      </c>
      <c r="I12" s="12"/>
      <c r="J12" s="75">
        <f>IF(J9=TRUE(),1,0)</f>
        <v>0</v>
      </c>
      <c r="L12" s="330"/>
      <c r="M12" s="330"/>
      <c r="N12" s="330"/>
      <c r="O12" s="330"/>
      <c r="P12" s="330"/>
    </row>
    <row r="13" spans="2:16" hidden="1" x14ac:dyDescent="0.25">
      <c r="B13" s="7" t="s">
        <v>721</v>
      </c>
      <c r="D13" s="75">
        <f>IF(D9=TRUE(),IF(D8=TRUE(),1,0),0)</f>
        <v>0</v>
      </c>
      <c r="F13" s="75">
        <f>IF(F9=TRUE(),IF(F8=TRUE(),1,0),0)</f>
        <v>0</v>
      </c>
      <c r="H13" s="75">
        <f>IF(H9=TRUE(),IF(H8=TRUE(),1,0),0)</f>
        <v>0</v>
      </c>
      <c r="J13" s="75">
        <f>IF(J9=TRUE(),IF(J8=TRUE(),1,0),0)</f>
        <v>0</v>
      </c>
      <c r="L13" s="330"/>
      <c r="M13" s="330"/>
      <c r="N13" s="330"/>
      <c r="O13" s="330"/>
      <c r="P13" s="330"/>
    </row>
    <row r="14" spans="2:16" ht="18" x14ac:dyDescent="0.35">
      <c r="B14" s="9" t="s">
        <v>1632</v>
      </c>
      <c r="D14" s="152">
        <v>4</v>
      </c>
      <c r="E14" s="6" t="s">
        <v>243</v>
      </c>
      <c r="F14" s="152">
        <v>2</v>
      </c>
      <c r="G14" s="6" t="s">
        <v>243</v>
      </c>
      <c r="H14" s="152">
        <v>2</v>
      </c>
      <c r="I14" s="6" t="s">
        <v>243</v>
      </c>
      <c r="J14" s="152">
        <v>2</v>
      </c>
      <c r="K14" s="6" t="s">
        <v>243</v>
      </c>
      <c r="L14" s="330"/>
      <c r="M14" s="330"/>
      <c r="N14" s="330"/>
      <c r="O14" s="330"/>
      <c r="P14" s="330"/>
    </row>
    <row r="15" spans="2:16" x14ac:dyDescent="0.25">
      <c r="B15" s="9" t="s">
        <v>1631</v>
      </c>
      <c r="D15" s="170" t="str">
        <f>IF(D14&lt;3,"350Ω ≤ RP ≤ 4kΩ","800Ω ≤ RP ≤ 10kΩ")</f>
        <v>800Ω ≤ RP ≤ 10kΩ</v>
      </c>
      <c r="E15" s="6"/>
      <c r="F15" s="170" t="str">
        <f>IF(F14&lt;3,"350Ω ≤ RP ≤ 4kΩ","800Ω ≤ RP ≤ 10kΩ")</f>
        <v>350Ω ≤ RP ≤ 4kΩ</v>
      </c>
      <c r="G15" s="6"/>
      <c r="H15" s="170" t="str">
        <f>IF(H14&lt;3,"350Ω ≤ RP ≤ 4kΩ","800Ω ≤ RP ≤ 10kΩ")</f>
        <v>350Ω ≤ RP ≤ 4kΩ</v>
      </c>
      <c r="I15" s="6"/>
      <c r="J15" s="170" t="str">
        <f>IF(J14&lt;3,"350Ω ≤ RP ≤ 4kΩ","800Ω ≤ RP ≤ 10kΩ")</f>
        <v>350Ω ≤ RP ≤ 4kΩ</v>
      </c>
      <c r="K15" s="6"/>
      <c r="L15" s="330"/>
      <c r="M15" s="330"/>
      <c r="N15" s="330"/>
      <c r="O15" s="330"/>
      <c r="P15" s="330"/>
    </row>
    <row r="16" spans="2:16" ht="18" x14ac:dyDescent="0.35">
      <c r="B16" s="9" t="s">
        <v>640</v>
      </c>
      <c r="D16" s="51">
        <v>4</v>
      </c>
      <c r="E16" s="6" t="s">
        <v>0</v>
      </c>
      <c r="F16" s="51">
        <v>20</v>
      </c>
      <c r="G16" s="6" t="s">
        <v>0</v>
      </c>
      <c r="H16" s="51">
        <v>20</v>
      </c>
      <c r="I16" s="6" t="s">
        <v>0</v>
      </c>
      <c r="J16" s="51">
        <v>20</v>
      </c>
      <c r="K16" s="6" t="s">
        <v>0</v>
      </c>
      <c r="L16" s="330"/>
      <c r="M16" s="330"/>
      <c r="N16" s="162" t="str">
        <f>IF(OR(D16&lt;5,F16&lt;5,H16&lt;5,J16&lt;5),"Sensor Frequency less than 5MHz may require a lower Rp value (around 1k)to operate properly", "")</f>
        <v>Sensor Frequency less than 5MHz may require a lower Rp value (around 1k)to operate properly</v>
      </c>
      <c r="O16" s="330"/>
      <c r="P16" s="330"/>
    </row>
    <row r="17" spans="2:16" x14ac:dyDescent="0.25">
      <c r="B17" s="9" t="s">
        <v>638</v>
      </c>
      <c r="D17" s="358">
        <v>1</v>
      </c>
      <c r="E17" s="6" t="s">
        <v>229</v>
      </c>
      <c r="F17" s="358">
        <v>1</v>
      </c>
      <c r="G17" s="6" t="s">
        <v>229</v>
      </c>
      <c r="H17" s="358">
        <v>1</v>
      </c>
      <c r="I17" s="6" t="s">
        <v>229</v>
      </c>
      <c r="J17" s="358">
        <v>1</v>
      </c>
      <c r="K17" s="6" t="s">
        <v>229</v>
      </c>
      <c r="L17" s="330"/>
      <c r="M17" s="330"/>
      <c r="N17" s="330"/>
      <c r="O17" s="330"/>
      <c r="P17" s="330"/>
    </row>
    <row r="18" spans="2:16" hidden="1" x14ac:dyDescent="0.25">
      <c r="B18" s="7" t="s">
        <v>616</v>
      </c>
      <c r="D18" s="354">
        <f>IF(D15="800Ω ≤ RP ≤ 10kΩ",1,0)</f>
        <v>1</v>
      </c>
      <c r="E18" s="6"/>
      <c r="F18" s="354">
        <f>IF(F15="800Ω ≤ RP ≤ 10kΩ",1,0)</f>
        <v>0</v>
      </c>
      <c r="G18" s="6"/>
      <c r="H18" s="354">
        <f>IF(H15="800Ω ≤ RP ≤ 10kΩ",1,0)</f>
        <v>0</v>
      </c>
      <c r="I18" s="6"/>
      <c r="J18" s="354">
        <f>IF(J15="800Ω ≤ RP ≤ 10kΩ",1,0)</f>
        <v>0</v>
      </c>
      <c r="K18" s="6"/>
      <c r="L18" s="330"/>
      <c r="M18" s="330"/>
      <c r="N18" s="330"/>
      <c r="O18" s="330"/>
      <c r="P18" s="330"/>
    </row>
    <row r="19" spans="2:16" hidden="1" x14ac:dyDescent="0.25">
      <c r="B19" s="7" t="s">
        <v>619</v>
      </c>
      <c r="D19" s="355">
        <f>IF(D16&lt;3.3,0,IF(D16&lt;10,1,2))</f>
        <v>1</v>
      </c>
      <c r="E19" s="6"/>
      <c r="F19" s="355">
        <f>IF(F16&lt;3.3,0,IF(F16&lt;10,1,2))</f>
        <v>2</v>
      </c>
      <c r="G19" s="6"/>
      <c r="H19" s="355">
        <f>IF(H16&lt;3.3,0,IF(H16&lt;10,1,2))</f>
        <v>2</v>
      </c>
      <c r="I19" s="6"/>
      <c r="J19" s="355">
        <f>IF(J16&lt;3.3,0,IF(J16&lt;10,1,2))</f>
        <v>2</v>
      </c>
      <c r="K19" s="6"/>
      <c r="L19" s="330"/>
      <c r="M19" s="330"/>
      <c r="N19" s="330"/>
      <c r="O19" s="330"/>
      <c r="P19" s="330"/>
    </row>
    <row r="20" spans="2:16" hidden="1" x14ac:dyDescent="0.25">
      <c r="B20" s="97" t="s">
        <v>620</v>
      </c>
      <c r="D20" s="76">
        <f>CEILING(LOG(D16*D17/4.096,2),1)</f>
        <v>0</v>
      </c>
      <c r="E20" s="6"/>
      <c r="F20" s="76">
        <f>CEILING(LOG(F16*F17/4.096,2),1)</f>
        <v>3</v>
      </c>
      <c r="G20" s="6"/>
      <c r="H20" s="76">
        <f>CEILING(LOG(H16*H17/4.096,2),1)</f>
        <v>3</v>
      </c>
      <c r="I20" s="6"/>
      <c r="J20" s="76">
        <f>CEILING(LOG(J16*J17/4.096,2),1)</f>
        <v>3</v>
      </c>
      <c r="K20" s="6"/>
      <c r="L20" s="330"/>
      <c r="M20" s="330"/>
      <c r="N20" s="330"/>
      <c r="O20" s="330"/>
      <c r="P20" s="330"/>
    </row>
    <row r="21" spans="2:16" x14ac:dyDescent="0.25">
      <c r="B21" s="58" t="s">
        <v>620</v>
      </c>
      <c r="D21" s="404">
        <f>IF(D20&lt;0,0,ROUND(D20,1))</f>
        <v>0</v>
      </c>
      <c r="E21" s="6"/>
      <c r="F21" s="404">
        <f>IF(F20&lt;0,0,ROUND(F20,1))</f>
        <v>3</v>
      </c>
      <c r="G21" s="6"/>
      <c r="H21" s="404">
        <f>IF(H20&lt;0,0,ROUND(H20,1))</f>
        <v>3</v>
      </c>
      <c r="I21" s="6"/>
      <c r="J21" s="404">
        <f>IF(J20&lt;0,0,ROUND(J20,1))</f>
        <v>3</v>
      </c>
      <c r="K21" s="399" t="str">
        <f>IF(K22&lt;L22,"Error - Adjust Sample intervals to match LCDIV","")</f>
        <v>Error - Adjust Sample intervals to match LCDIV</v>
      </c>
      <c r="L21" s="330"/>
      <c r="M21" s="330"/>
      <c r="N21" s="330"/>
      <c r="O21" s="330"/>
      <c r="P21" s="330"/>
    </row>
    <row r="22" spans="2:16" hidden="1" x14ac:dyDescent="0.25">
      <c r="B22" s="58" t="s">
        <v>811</v>
      </c>
      <c r="D22" s="478">
        <f>IF(D8,D21,)</f>
        <v>0</v>
      </c>
      <c r="E22" s="6"/>
      <c r="F22" s="478">
        <f>IF(F8,F21,FALSE)</f>
        <v>3</v>
      </c>
      <c r="G22" s="6"/>
      <c r="H22" s="478" t="str">
        <f>IF(H8,H21,"")</f>
        <v/>
      </c>
      <c r="I22" s="6"/>
      <c r="J22" s="478" t="str">
        <f>IF(J8,J21,"")</f>
        <v/>
      </c>
      <c r="K22" s="778">
        <f>MIN(D22,F22,H22,J22)</f>
        <v>0</v>
      </c>
      <c r="L22" s="784">
        <f>MAX(D22,F22,H22,J22)</f>
        <v>3</v>
      </c>
      <c r="M22" s="330"/>
      <c r="N22" s="330"/>
      <c r="O22" s="330"/>
      <c r="P22" s="330"/>
    </row>
    <row r="23" spans="2:16" hidden="1" x14ac:dyDescent="0.25">
      <c r="B23" s="97" t="s">
        <v>621</v>
      </c>
      <c r="D23" s="405">
        <f>D16*1000*D17*2^(-7-D20)-1</f>
        <v>30.25</v>
      </c>
      <c r="E23" s="6"/>
      <c r="F23" s="405">
        <f>F16*1000*F17*2^(-7-F20)-1</f>
        <v>18.53125</v>
      </c>
      <c r="G23" s="6"/>
      <c r="H23" s="405">
        <f>H16*1000*H17*2^(-7-H20)-1</f>
        <v>18.53125</v>
      </c>
      <c r="I23" s="6"/>
      <c r="J23" s="405">
        <f>J16*1000*J17*2^(-7-J20)-1</f>
        <v>18.53125</v>
      </c>
      <c r="K23" s="6"/>
      <c r="L23" s="330"/>
      <c r="M23" s="330"/>
      <c r="N23" s="330"/>
      <c r="O23" s="330"/>
      <c r="P23" s="330"/>
    </row>
    <row r="24" spans="2:16" x14ac:dyDescent="0.25">
      <c r="B24" s="9" t="s">
        <v>617</v>
      </c>
      <c r="D24" s="406">
        <f>IF(D23&lt;0,0,IF(D23&gt;31,31,ROUND(D23,0)))</f>
        <v>30</v>
      </c>
      <c r="E24" s="6"/>
      <c r="F24" s="406">
        <f>IF(F23&lt;0,0,IF(F23&gt;31,31,ROUND(F23,0)))</f>
        <v>19</v>
      </c>
      <c r="G24" s="6"/>
      <c r="H24" s="406">
        <f>IF(H23&lt;0,0,IF(H23&gt;31,31,ROUND(H23,0)))</f>
        <v>19</v>
      </c>
      <c r="I24" s="6"/>
      <c r="J24" s="406">
        <f>IF(J23&lt;0,0,IF(J23&gt;31,31,ROUND(J23,0)))</f>
        <v>19</v>
      </c>
      <c r="K24" s="6"/>
      <c r="L24" s="330"/>
      <c r="M24" s="330"/>
      <c r="N24" s="330"/>
      <c r="O24" s="330"/>
      <c r="P24" s="330"/>
    </row>
    <row r="25" spans="2:16" x14ac:dyDescent="0.25">
      <c r="B25" s="58" t="s">
        <v>639</v>
      </c>
      <c r="D25" s="27">
        <f>0.6/D16+(2^(7+D21))*(D24+1)/D16/1000</f>
        <v>1.1419999999999999</v>
      </c>
      <c r="E25" s="6" t="s">
        <v>229</v>
      </c>
      <c r="F25" s="27">
        <f>0.6/F16+(2^(7+F21))*(F24+1)/F16/1000</f>
        <v>1.054</v>
      </c>
      <c r="G25" s="6" t="s">
        <v>229</v>
      </c>
      <c r="H25" s="27">
        <f>0.6/H16+(2^(7+H21))*(H24+1)/H16/1000</f>
        <v>1.054</v>
      </c>
      <c r="I25" s="6" t="s">
        <v>229</v>
      </c>
      <c r="J25" s="27">
        <f>0.6/J16+(2^(7+J21))*(J24+1)/J16/1000</f>
        <v>1.054</v>
      </c>
      <c r="K25" s="6" t="s">
        <v>229</v>
      </c>
      <c r="L25" s="162" t="str">
        <f>IF(D35&lt;0,"The total active time exceeds the time available in the scan interval","")</f>
        <v/>
      </c>
      <c r="M25" s="330"/>
      <c r="N25" s="330"/>
      <c r="O25" s="330"/>
      <c r="P25" s="330"/>
    </row>
    <row r="26" spans="2:16" hidden="1" x14ac:dyDescent="0.25">
      <c r="B26" s="97" t="s">
        <v>1571</v>
      </c>
      <c r="D26" s="357">
        <f>CEILING(LOG(30*(1+D24)*2^(14+D21)*47/D16,2),1)-28</f>
        <v>0</v>
      </c>
      <c r="E26" s="6"/>
      <c r="F26" s="357">
        <f>CEILING(LOG(30*(1+F24)*2^(14+F21)*47/F16,2),1)-28</f>
        <v>0</v>
      </c>
      <c r="G26" s="6"/>
      <c r="H26" s="357">
        <f>CEILING(LOG(30*(1+H24)*2^(14+H21)*47/H16,2),1)-28</f>
        <v>0</v>
      </c>
      <c r="I26" s="6"/>
      <c r="J26" s="357">
        <f>CEILING(LOG(30*(1+J24)*2^(14+J21)*47/J16,2),1)-28</f>
        <v>0</v>
      </c>
      <c r="K26" s="6"/>
      <c r="L26" s="330"/>
      <c r="M26" s="330"/>
      <c r="N26" s="330"/>
      <c r="O26" s="330"/>
      <c r="P26" s="330"/>
    </row>
    <row r="27" spans="2:16" x14ac:dyDescent="0.25">
      <c r="B27" s="58" t="s">
        <v>618</v>
      </c>
      <c r="D27" s="407">
        <f>IF(D26&lt;0,0,IF(D26&gt;3,3,ROUND(D26,1)))</f>
        <v>0</v>
      </c>
      <c r="E27" s="6"/>
      <c r="F27" s="407">
        <f>IF(F26&lt;0,0,IF(F26&gt;3,3,ROUND(F26,1)))</f>
        <v>0</v>
      </c>
      <c r="G27" s="6"/>
      <c r="H27" s="407">
        <f>IF(H26&lt;0,0,IF(H26&gt;3,3,ROUND(H26,1)))</f>
        <v>0</v>
      </c>
      <c r="I27" s="6"/>
      <c r="J27" s="407">
        <f>IF(J26&lt;0,0,IF(J26&gt;3,3,ROUND(J26,1)))</f>
        <v>0</v>
      </c>
      <c r="K27" s="6"/>
      <c r="L27" s="330"/>
      <c r="M27" s="330"/>
      <c r="N27" s="330"/>
      <c r="O27" s="330"/>
      <c r="P27" s="330"/>
    </row>
    <row r="28" spans="2:16" hidden="1" x14ac:dyDescent="0.25">
      <c r="B28" s="97" t="s">
        <v>723</v>
      </c>
      <c r="D28" s="400">
        <f xml:space="preserve"> 1.630124 + (13.25536 - 1.630124)/(1 + (D14/0.08957141)^1.210902)+(10.23*D16+19)/1000</f>
        <v>1.8057093613388613</v>
      </c>
      <c r="E28" s="401"/>
      <c r="F28" s="400">
        <f xml:space="preserve"> 1.630124 + (13.25536 - 1.630124)/(1 + (F14/0.08957141)^1.210902)+(10.23*F16+19)/1000</f>
        <v>2.1180114930942393</v>
      </c>
      <c r="G28" s="401"/>
      <c r="H28" s="400">
        <f xml:space="preserve"> 1.630124 + (13.25536 - 1.630124)/(1 + (H14/0.08957141)^1.210902)+(10.23*H16+19)/1000</f>
        <v>2.1180114930942393</v>
      </c>
      <c r="I28" s="401"/>
      <c r="J28" s="400">
        <f xml:space="preserve"> 1.630124 + (13.25536 - 1.630124)/(1 + (J14/0.08957141)^1.210902)+(10.23*J16+19)/1000</f>
        <v>2.1180114930942393</v>
      </c>
      <c r="K28" s="6"/>
      <c r="L28" s="330"/>
      <c r="M28" s="330"/>
      <c r="N28" s="330"/>
      <c r="O28" s="330"/>
      <c r="P28" s="330"/>
    </row>
    <row r="29" spans="2:16" hidden="1" x14ac:dyDescent="0.25">
      <c r="B29" s="97" t="s">
        <v>728</v>
      </c>
      <c r="D29" s="400">
        <f>(D25+0.01)*D28</f>
        <v>2.080177184262368</v>
      </c>
      <c r="E29" s="401"/>
      <c r="F29" s="400">
        <f>F28*(F25+0.01)</f>
        <v>2.2535642286522708</v>
      </c>
      <c r="G29" s="401"/>
      <c r="H29" s="400">
        <f>(H25+0.01)*H28</f>
        <v>2.2535642286522708</v>
      </c>
      <c r="I29" s="401"/>
      <c r="J29" s="400">
        <f>(J25+0.01)*J28</f>
        <v>2.2535642286522708</v>
      </c>
      <c r="K29" s="6"/>
      <c r="L29" s="330"/>
      <c r="M29" s="330"/>
      <c r="N29" s="330"/>
      <c r="O29" s="330"/>
      <c r="P29" s="330"/>
    </row>
    <row r="30" spans="2:16" hidden="1" x14ac:dyDescent="0.25">
      <c r="B30" s="97" t="s">
        <v>729</v>
      </c>
      <c r="D30" s="400">
        <f>D29*D13</f>
        <v>0</v>
      </c>
      <c r="E30" s="401"/>
      <c r="F30" s="400">
        <f>F29*F13</f>
        <v>0</v>
      </c>
      <c r="G30" s="401"/>
      <c r="H30" s="400">
        <f>H29*H13</f>
        <v>0</v>
      </c>
      <c r="I30" s="401"/>
      <c r="J30" s="400">
        <f>J29*J13</f>
        <v>0</v>
      </c>
      <c r="K30" s="6"/>
      <c r="L30" s="330"/>
      <c r="M30" s="330"/>
      <c r="N30" s="330"/>
      <c r="O30" s="330"/>
      <c r="P30" s="330"/>
    </row>
    <row r="31" spans="2:16" hidden="1" x14ac:dyDescent="0.25">
      <c r="B31" s="97" t="s">
        <v>810</v>
      </c>
      <c r="D31" s="400">
        <f>D29*D11</f>
        <v>2.080177184262368</v>
      </c>
      <c r="E31" s="401"/>
      <c r="F31" s="400">
        <f>F29*F11</f>
        <v>2.2535642286522708</v>
      </c>
      <c r="G31" s="401"/>
      <c r="H31" s="400">
        <f>H29*H11</f>
        <v>0</v>
      </c>
      <c r="I31" s="401"/>
      <c r="J31" s="400">
        <f>J29*J11</f>
        <v>0</v>
      </c>
      <c r="K31" s="6"/>
      <c r="L31" s="330"/>
      <c r="M31" s="330"/>
      <c r="N31" s="330"/>
      <c r="O31" s="330"/>
      <c r="P31" s="330"/>
    </row>
    <row r="32" spans="2:16" hidden="1" x14ac:dyDescent="0.25">
      <c r="B32" s="97" t="s">
        <v>724</v>
      </c>
      <c r="D32" s="400">
        <f>(1000/$D$45)-(D25*D13+F25*F13+H25*H13+J25*J13)</f>
        <v>800</v>
      </c>
      <c r="E32" s="401"/>
      <c r="F32" s="400"/>
      <c r="G32" s="401"/>
      <c r="H32" s="400"/>
      <c r="I32" s="401"/>
      <c r="J32" s="400"/>
      <c r="K32" s="6"/>
      <c r="L32" s="330"/>
      <c r="M32" s="330"/>
      <c r="N32" s="330"/>
      <c r="O32" s="330"/>
      <c r="P32" s="330"/>
    </row>
    <row r="33" spans="2:16" hidden="1" x14ac:dyDescent="0.25">
      <c r="B33" s="97" t="s">
        <v>727</v>
      </c>
      <c r="D33" s="400">
        <f>D32*0.00483</f>
        <v>3.8639999999999999</v>
      </c>
      <c r="E33" s="401"/>
      <c r="F33" s="400"/>
      <c r="G33" s="401"/>
      <c r="H33" s="400"/>
      <c r="I33" s="401"/>
      <c r="J33" s="400"/>
      <c r="K33" s="6"/>
      <c r="L33" s="330"/>
      <c r="M33" s="330"/>
      <c r="N33" s="330"/>
      <c r="O33" s="330"/>
      <c r="P33" s="330"/>
    </row>
    <row r="34" spans="2:16" hidden="1" x14ac:dyDescent="0.25">
      <c r="B34" s="97" t="s">
        <v>730</v>
      </c>
      <c r="D34" s="400">
        <f>D33+D30+F30+H30+J30</f>
        <v>3.8639999999999999</v>
      </c>
      <c r="E34" s="401"/>
      <c r="F34" s="400"/>
      <c r="G34" s="401"/>
      <c r="H34" s="400"/>
      <c r="I34" s="401"/>
      <c r="J34" s="400"/>
      <c r="K34" s="6"/>
      <c r="L34" s="330"/>
      <c r="M34" s="330"/>
      <c r="N34" s="330"/>
      <c r="O34" s="330"/>
      <c r="P34" s="330"/>
    </row>
    <row r="35" spans="2:16" hidden="1" x14ac:dyDescent="0.25">
      <c r="B35" s="97" t="s">
        <v>725</v>
      </c>
      <c r="D35" s="400">
        <f>(1000/$D$48)-(D25*D11+F25*F11+H25*H11+J25*J11)</f>
        <v>97.804000000000002</v>
      </c>
      <c r="E35" s="401"/>
      <c r="F35" s="400"/>
      <c r="G35" s="401"/>
      <c r="H35" s="400"/>
      <c r="I35" s="401"/>
      <c r="J35" s="400"/>
      <c r="K35" s="6"/>
      <c r="L35" s="330"/>
      <c r="M35" s="330"/>
      <c r="N35" s="330"/>
      <c r="O35" s="330"/>
      <c r="P35" s="330"/>
    </row>
    <row r="36" spans="2:16" hidden="1" x14ac:dyDescent="0.25">
      <c r="B36" s="97" t="s">
        <v>726</v>
      </c>
      <c r="D36" s="400">
        <f>0.00483*D35</f>
        <v>0.47239332000000001</v>
      </c>
      <c r="E36" s="401"/>
      <c r="F36" s="400"/>
      <c r="G36" s="401"/>
      <c r="H36" s="400"/>
      <c r="I36" s="401"/>
      <c r="J36" s="400"/>
      <c r="K36" s="6"/>
      <c r="L36" s="330"/>
      <c r="M36" s="330"/>
      <c r="N36" s="330"/>
      <c r="O36" s="330"/>
      <c r="P36" s="330"/>
    </row>
    <row r="37" spans="2:16" hidden="1" x14ac:dyDescent="0.25">
      <c r="B37" s="97" t="s">
        <v>731</v>
      </c>
      <c r="D37" s="80">
        <f>D36+D31+F31+H31+J31</f>
        <v>4.8061347329146393</v>
      </c>
      <c r="E37" s="6"/>
      <c r="G37" s="57"/>
      <c r="I37" s="12"/>
      <c r="L37" s="330"/>
      <c r="M37" s="330"/>
      <c r="N37" s="330"/>
      <c r="O37" s="330"/>
      <c r="P37" s="330"/>
    </row>
    <row r="38" spans="2:16" x14ac:dyDescent="0.25">
      <c r="B38" s="58" t="s">
        <v>1589</v>
      </c>
      <c r="D38" s="782">
        <v>40</v>
      </c>
      <c r="E38" s="6"/>
      <c r="F38" s="45">
        <v>40</v>
      </c>
      <c r="G38" s="57"/>
      <c r="H38" s="45">
        <v>40</v>
      </c>
      <c r="I38" s="12"/>
      <c r="J38" s="45">
        <v>40</v>
      </c>
      <c r="L38" s="330"/>
      <c r="M38" s="330"/>
      <c r="N38" s="330"/>
      <c r="O38" s="330"/>
      <c r="P38" s="330"/>
    </row>
    <row r="39" spans="2:16" x14ac:dyDescent="0.25">
      <c r="B39" s="58" t="s">
        <v>1576</v>
      </c>
      <c r="D39" s="793">
        <f ca="1">OFFSET(D215,D38,0)</f>
        <v>32</v>
      </c>
      <c r="E39" s="6"/>
      <c r="F39" s="37">
        <f ca="1">OFFSET(D215,F38,0)</f>
        <v>32</v>
      </c>
      <c r="G39" s="57"/>
      <c r="H39" s="794">
        <f ca="1">OFFSET(D215,H38,0)</f>
        <v>32</v>
      </c>
      <c r="I39" s="12"/>
      <c r="J39" s="37">
        <f ca="1">OFFSET(D215,J38,0)</f>
        <v>32</v>
      </c>
      <c r="L39" s="330"/>
      <c r="M39" s="330"/>
      <c r="N39" s="330"/>
      <c r="O39" s="330"/>
      <c r="P39" s="330"/>
    </row>
    <row r="40" spans="2:16" x14ac:dyDescent="0.25">
      <c r="B40" s="58" t="s">
        <v>1608</v>
      </c>
      <c r="D40" s="150">
        <v>500</v>
      </c>
      <c r="E40" s="6"/>
      <c r="F40" s="264">
        <v>500</v>
      </c>
      <c r="G40" s="57"/>
      <c r="H40" s="783">
        <v>400</v>
      </c>
      <c r="I40" s="12"/>
      <c r="J40" s="264">
        <v>400</v>
      </c>
      <c r="L40" s="330"/>
      <c r="M40" s="330"/>
      <c r="N40" s="330"/>
      <c r="O40" s="330"/>
      <c r="P40" s="330"/>
    </row>
    <row r="41" spans="2:16" x14ac:dyDescent="0.25">
      <c r="B41" s="58" t="s">
        <v>1570</v>
      </c>
      <c r="D41" s="828">
        <f ca="1">D40*0.013*D39</f>
        <v>208</v>
      </c>
      <c r="E41" s="780"/>
      <c r="F41" s="404">
        <f ca="1">F40*0.013*F39</f>
        <v>208</v>
      </c>
      <c r="G41" s="780"/>
      <c r="H41" s="404">
        <f ca="1">H40*0.013*F39</f>
        <v>166.4</v>
      </c>
      <c r="I41" s="780"/>
      <c r="J41" s="404">
        <f ca="1">J40*0.013*F39</f>
        <v>166.4</v>
      </c>
      <c r="L41" s="330"/>
      <c r="M41" s="330"/>
      <c r="N41" s="330"/>
      <c r="O41" s="330"/>
      <c r="P41" s="330"/>
    </row>
    <row r="42" spans="2:16" x14ac:dyDescent="0.25">
      <c r="B42" s="58" t="s">
        <v>1588</v>
      </c>
      <c r="D42" s="834">
        <f ca="1">D39*1.8268/2^(7-$D$56)</f>
        <v>3.6536</v>
      </c>
      <c r="E42" s="780"/>
      <c r="F42" s="576">
        <f ca="1">F39*1.8268/2^(7-$D$56)</f>
        <v>3.6536</v>
      </c>
      <c r="G42" s="780"/>
      <c r="H42" s="576">
        <f ca="1">H39*1.8268/2^(7-D56)</f>
        <v>3.6536</v>
      </c>
      <c r="I42" s="780"/>
      <c r="J42" s="576">
        <f ca="1">J39*1.8268/2^(7-D56)</f>
        <v>3.6536</v>
      </c>
      <c r="L42" s="330"/>
      <c r="M42" s="330"/>
      <c r="N42" s="330"/>
      <c r="O42" s="330"/>
      <c r="P42" s="330"/>
    </row>
    <row r="43" spans="2:16" x14ac:dyDescent="0.25">
      <c r="B43" s="58" t="s">
        <v>1587</v>
      </c>
      <c r="D43" s="576">
        <f ca="1">D39*1.8268/2^(4-D55)</f>
        <v>29.2288</v>
      </c>
      <c r="E43" s="780"/>
      <c r="F43" s="576">
        <f ca="1">F39*1.8268/2^(4-D55)</f>
        <v>29.2288</v>
      </c>
      <c r="G43" s="780"/>
      <c r="H43" s="576">
        <f ca="1">H39*1.8268/2^(4-D55)</f>
        <v>29.2288</v>
      </c>
      <c r="I43" s="780"/>
      <c r="J43" s="576">
        <f ca="1">J39*1.8268/2^(4-D55)</f>
        <v>29.2288</v>
      </c>
      <c r="L43" s="330"/>
      <c r="M43" s="330"/>
      <c r="N43" s="330"/>
      <c r="O43" s="330"/>
      <c r="P43" s="330"/>
    </row>
    <row r="44" spans="2:16" ht="9.6" customHeight="1" x14ac:dyDescent="0.25">
      <c r="B44" s="97"/>
      <c r="D44" s="779"/>
      <c r="E44" s="6"/>
      <c r="G44" s="57"/>
      <c r="I44" s="12"/>
      <c r="L44" s="330"/>
      <c r="M44" s="330"/>
      <c r="N44" s="330"/>
      <c r="O44" s="330"/>
      <c r="P44" s="330"/>
    </row>
    <row r="45" spans="2:16" x14ac:dyDescent="0.25">
      <c r="B45" s="58" t="s">
        <v>629</v>
      </c>
      <c r="D45" s="45">
        <v>1.25</v>
      </c>
      <c r="E45" s="8" t="s">
        <v>628</v>
      </c>
      <c r="G45" s="57"/>
      <c r="H45" s="9"/>
      <c r="I45" s="57"/>
      <c r="J45" s="9"/>
    </row>
    <row r="46" spans="2:16" hidden="1" x14ac:dyDescent="0.25">
      <c r="B46" s="97" t="s">
        <v>636</v>
      </c>
      <c r="D46" s="118">
        <f>8*J13+4*H13+2*F13+D13</f>
        <v>0</v>
      </c>
      <c r="E46" s="8"/>
      <c r="G46" s="97"/>
      <c r="H46" s="97"/>
      <c r="I46" s="97"/>
      <c r="J46" s="97"/>
      <c r="K46" s="397"/>
      <c r="L46" s="13"/>
    </row>
    <row r="47" spans="2:16" hidden="1" x14ac:dyDescent="0.25">
      <c r="B47" s="97" t="s">
        <v>634</v>
      </c>
      <c r="D47" s="78">
        <f>D11+F11+H11+J11</f>
        <v>2</v>
      </c>
      <c r="E47" s="8"/>
      <c r="G47" s="396"/>
      <c r="H47" s="396"/>
      <c r="I47" s="396"/>
      <c r="J47" s="396"/>
      <c r="K47" s="398"/>
      <c r="L47" s="13"/>
    </row>
    <row r="48" spans="2:16" x14ac:dyDescent="0.25">
      <c r="B48" s="9" t="s">
        <v>627</v>
      </c>
      <c r="D48" s="45">
        <v>10</v>
      </c>
      <c r="E48" s="8" t="s">
        <v>628</v>
      </c>
      <c r="G48" s="25"/>
      <c r="H48" s="25"/>
      <c r="I48" s="25"/>
      <c r="J48" s="25"/>
      <c r="K48" s="13"/>
      <c r="L48" s="13"/>
    </row>
    <row r="49" spans="2:12" hidden="1" x14ac:dyDescent="0.25">
      <c r="B49" s="7" t="s">
        <v>637</v>
      </c>
      <c r="D49" s="118">
        <f>8*J11+4*H11+2*F11+D11</f>
        <v>3</v>
      </c>
      <c r="E49" s="8"/>
      <c r="G49" s="25"/>
      <c r="H49" s="25"/>
      <c r="I49" s="25"/>
      <c r="J49" s="25"/>
      <c r="K49" s="13"/>
      <c r="L49" s="13"/>
    </row>
    <row r="50" spans="2:12" hidden="1" x14ac:dyDescent="0.25">
      <c r="B50" s="97" t="s">
        <v>635</v>
      </c>
      <c r="D50" s="781">
        <f>D13+F13+H13+J13</f>
        <v>0</v>
      </c>
      <c r="G50" s="396"/>
      <c r="H50" s="396"/>
      <c r="I50" s="396"/>
      <c r="J50" s="396"/>
      <c r="K50" s="13"/>
      <c r="L50" s="13"/>
    </row>
    <row r="51" spans="2:12" ht="3.95" customHeight="1" x14ac:dyDescent="0.25">
      <c r="B51" s="58"/>
      <c r="D51" s="25"/>
      <c r="G51" s="25"/>
      <c r="H51" s="25"/>
      <c r="I51" s="25"/>
      <c r="J51" s="25"/>
    </row>
    <row r="52" spans="2:12" x14ac:dyDescent="0.25">
      <c r="B52" s="58" t="s">
        <v>631</v>
      </c>
      <c r="D52" s="360">
        <f>D34*D45</f>
        <v>4.83</v>
      </c>
      <c r="E52" s="19" t="s">
        <v>633</v>
      </c>
    </row>
    <row r="53" spans="2:12" x14ac:dyDescent="0.25">
      <c r="B53" s="58" t="s">
        <v>632</v>
      </c>
      <c r="D53" s="35">
        <f>D37*D48</f>
        <v>48.061347329146393</v>
      </c>
      <c r="E53" s="19" t="s">
        <v>633</v>
      </c>
    </row>
    <row r="55" spans="2:12" x14ac:dyDescent="0.25">
      <c r="B55" s="58" t="s">
        <v>1572</v>
      </c>
      <c r="D55" s="265">
        <v>3</v>
      </c>
    </row>
    <row r="56" spans="2:12" x14ac:dyDescent="0.25">
      <c r="B56" s="58" t="s">
        <v>1573</v>
      </c>
      <c r="D56" s="265">
        <v>3</v>
      </c>
    </row>
    <row r="57" spans="2:12" x14ac:dyDescent="0.25">
      <c r="B57" s="58" t="s">
        <v>1574</v>
      </c>
      <c r="D57" s="501" t="s">
        <v>1575</v>
      </c>
    </row>
    <row r="58" spans="2:12" x14ac:dyDescent="0.25">
      <c r="B58" s="58" t="s">
        <v>1639</v>
      </c>
      <c r="D58" s="52">
        <v>8</v>
      </c>
    </row>
    <row r="59" spans="2:12" x14ac:dyDescent="0.25">
      <c r="B59" s="58" t="s">
        <v>1633</v>
      </c>
      <c r="D59" s="802">
        <f>D58*4</f>
        <v>32</v>
      </c>
      <c r="E59" t="s">
        <v>1167</v>
      </c>
    </row>
    <row r="60" spans="2:12" x14ac:dyDescent="0.25">
      <c r="B60" s="58" t="s">
        <v>1635</v>
      </c>
      <c r="D60" s="802">
        <f>128-D59</f>
        <v>96</v>
      </c>
      <c r="E60" t="s">
        <v>1167</v>
      </c>
    </row>
    <row r="61" spans="2:12" x14ac:dyDescent="0.25">
      <c r="B61" s="58" t="s">
        <v>1634</v>
      </c>
      <c r="D61" s="802">
        <f>D59+128</f>
        <v>160</v>
      </c>
      <c r="E61" t="s">
        <v>1167</v>
      </c>
    </row>
    <row r="63" spans="2:12" ht="15.75" x14ac:dyDescent="0.25">
      <c r="B63" s="451" t="s">
        <v>630</v>
      </c>
    </row>
    <row r="64" spans="2:12" x14ac:dyDescent="0.25">
      <c r="B64" s="427" t="s">
        <v>1609</v>
      </c>
      <c r="C64" s="427" t="s">
        <v>1610</v>
      </c>
      <c r="D64" s="427" t="s">
        <v>768</v>
      </c>
    </row>
    <row r="65" spans="2:10" x14ac:dyDescent="0.25">
      <c r="B65" s="796" t="s">
        <v>1593</v>
      </c>
      <c r="C65" s="795" t="s">
        <v>1009</v>
      </c>
      <c r="D65" s="797" t="str">
        <f>"0x" &amp; DEC2HEX((D49+D46*16),2)</f>
        <v>0x03</v>
      </c>
    </row>
    <row r="66" spans="2:10" x14ac:dyDescent="0.25">
      <c r="B66" s="796" t="s">
        <v>1594</v>
      </c>
      <c r="C66" s="795" t="s">
        <v>1010</v>
      </c>
      <c r="D66" s="797" t="str">
        <f>"0x" &amp; DEC2HEX(3-LOG((D48/10),2),2)</f>
        <v>0x03</v>
      </c>
    </row>
    <row r="67" spans="2:10" x14ac:dyDescent="0.25">
      <c r="B67" s="796" t="s">
        <v>1595</v>
      </c>
      <c r="C67" s="795" t="s">
        <v>1011</v>
      </c>
      <c r="D67" s="797" t="str">
        <f>"0x"&amp;DEC2HEX(D38)</f>
        <v>0x28</v>
      </c>
    </row>
    <row r="68" spans="2:10" x14ac:dyDescent="0.25">
      <c r="B68" s="796" t="s">
        <v>1596</v>
      </c>
      <c r="C68" s="795" t="s">
        <v>1012</v>
      </c>
      <c r="D68" s="797" t="str">
        <f>"0x" &amp; DEC2HEX(3-LOG((D45/0.625),2),2)</f>
        <v>0x02</v>
      </c>
    </row>
    <row r="69" spans="2:10" x14ac:dyDescent="0.25">
      <c r="B69" s="796" t="s">
        <v>1597</v>
      </c>
      <c r="C69" s="795" t="s">
        <v>897</v>
      </c>
      <c r="D69" s="797" t="str">
        <f>"0x"&amp;DEC2HEX(F38)</f>
        <v>0x28</v>
      </c>
    </row>
    <row r="70" spans="2:10" x14ac:dyDescent="0.25">
      <c r="B70" s="796" t="s">
        <v>1598</v>
      </c>
      <c r="C70" s="795" t="s">
        <v>898</v>
      </c>
      <c r="D70" s="797" t="str">
        <f>IF(D57="Active Low","0x01","0x05")</f>
        <v>0x01</v>
      </c>
    </row>
    <row r="71" spans="2:10" x14ac:dyDescent="0.25">
      <c r="B71" s="796" t="s">
        <v>1599</v>
      </c>
      <c r="C71" s="795" t="s">
        <v>899</v>
      </c>
      <c r="D71" s="797" t="str">
        <f>"0x"&amp;DEC2HEX(H38)</f>
        <v>0x28</v>
      </c>
    </row>
    <row r="72" spans="2:10" x14ac:dyDescent="0.25">
      <c r="B72" s="796" t="s">
        <v>1600</v>
      </c>
      <c r="C72" s="795" t="s">
        <v>900</v>
      </c>
      <c r="D72" s="797" t="str">
        <f>"0x"&amp;DEC2HEX(D55,2)</f>
        <v>0x03</v>
      </c>
    </row>
    <row r="73" spans="2:10" x14ac:dyDescent="0.25">
      <c r="B73" s="796" t="s">
        <v>1601</v>
      </c>
      <c r="C73" s="795" t="s">
        <v>905</v>
      </c>
      <c r="D73" s="797" t="str">
        <f>"0x"&amp;DEC2HEX(J38)</f>
        <v>0x28</v>
      </c>
    </row>
    <row r="74" spans="2:10" x14ac:dyDescent="0.25">
      <c r="B74" s="796" t="s">
        <v>1602</v>
      </c>
      <c r="C74" s="795" t="s">
        <v>906</v>
      </c>
      <c r="D74" s="797" t="str">
        <f>"0x"&amp;DEC2HEX(D56,2)</f>
        <v>0x03</v>
      </c>
    </row>
    <row r="75" spans="2:10" x14ac:dyDescent="0.25">
      <c r="B75" s="796" t="s">
        <v>1603</v>
      </c>
      <c r="C75" s="795" t="s">
        <v>908</v>
      </c>
      <c r="D75" s="797" t="str">
        <f>"0x" &amp; DEC2HEX(D21,2)</f>
        <v>0x00</v>
      </c>
    </row>
    <row r="76" spans="2:10" x14ac:dyDescent="0.25">
      <c r="B76" s="796" t="s">
        <v>1636</v>
      </c>
      <c r="C76" s="795" t="s">
        <v>1637</v>
      </c>
      <c r="D76" s="797" t="str">
        <f>"0x"&amp;DEC2HEX(D58,2)</f>
        <v>0x08</v>
      </c>
    </row>
    <row r="77" spans="2:10" x14ac:dyDescent="0.25">
      <c r="B77" s="796" t="s">
        <v>618</v>
      </c>
      <c r="C77" s="795" t="s">
        <v>917</v>
      </c>
      <c r="D77" s="797" t="str">
        <f>"0x"&amp;DEC2HEX(J27*2^6+H27*2^4+F27*2^2+D27,2)</f>
        <v>0x00</v>
      </c>
    </row>
    <row r="78" spans="2:10" hidden="1" x14ac:dyDescent="0.25">
      <c r="B78" s="408" t="s">
        <v>732</v>
      </c>
      <c r="C78" s="795"/>
      <c r="D78" s="798">
        <f>D18*128+32*D19+D24</f>
        <v>190</v>
      </c>
      <c r="E78" s="356"/>
      <c r="F78" s="356">
        <f>F18*128+32*F19+F24</f>
        <v>83</v>
      </c>
      <c r="G78" s="356"/>
      <c r="H78" s="356">
        <f>H18*128+32*H19+H24</f>
        <v>83</v>
      </c>
      <c r="I78" s="356"/>
      <c r="J78" s="356">
        <f>J18*128+32*J19+J24</f>
        <v>83</v>
      </c>
    </row>
    <row r="79" spans="2:10" x14ac:dyDescent="0.25">
      <c r="B79" s="796" t="s">
        <v>1604</v>
      </c>
      <c r="C79" s="795" t="s">
        <v>919</v>
      </c>
      <c r="D79" s="797" t="str">
        <f>"0x" &amp; DEC2HEX(D78)</f>
        <v>0xBE</v>
      </c>
    </row>
    <row r="80" spans="2:10" x14ac:dyDescent="0.25">
      <c r="B80" s="796" t="s">
        <v>1605</v>
      </c>
      <c r="C80" s="795" t="s">
        <v>1590</v>
      </c>
      <c r="D80" s="797" t="str">
        <f>"0x" &amp; DEC2HEX(F78)</f>
        <v>0x53</v>
      </c>
    </row>
    <row r="81" spans="2:6" x14ac:dyDescent="0.25">
      <c r="B81" s="796" t="s">
        <v>1606</v>
      </c>
      <c r="C81" s="795" t="s">
        <v>1591</v>
      </c>
      <c r="D81" s="797" t="str">
        <f>"0x" &amp; DEC2HEX(H78)</f>
        <v>0x53</v>
      </c>
      <c r="E81" s="330"/>
      <c r="F81" s="330"/>
    </row>
    <row r="82" spans="2:6" x14ac:dyDescent="0.25">
      <c r="B82" s="796" t="s">
        <v>1607</v>
      </c>
      <c r="C82" s="795" t="s">
        <v>1592</v>
      </c>
      <c r="D82" s="797" t="str">
        <f>"0x" &amp; DEC2HEX(J78)</f>
        <v>0x53</v>
      </c>
      <c r="E82" s="330"/>
      <c r="F82" s="330"/>
    </row>
    <row r="83" spans="2:6" x14ac:dyDescent="0.25">
      <c r="C83" s="361"/>
      <c r="D83" s="330"/>
      <c r="E83" s="330"/>
      <c r="F83" s="330"/>
    </row>
    <row r="84" spans="2:6" ht="15.75" x14ac:dyDescent="0.25">
      <c r="B84" s="251" t="s">
        <v>277</v>
      </c>
      <c r="C84" s="2"/>
      <c r="D84" s="2"/>
      <c r="F84" s="330"/>
    </row>
    <row r="85" spans="2:6" x14ac:dyDescent="0.25">
      <c r="B85" s="256" t="s">
        <v>69</v>
      </c>
      <c r="C85" s="152">
        <v>10</v>
      </c>
      <c r="D85" s="257" t="s">
        <v>96</v>
      </c>
      <c r="F85" s="330"/>
    </row>
    <row r="86" spans="2:6" x14ac:dyDescent="0.25">
      <c r="B86" s="256" t="s">
        <v>26</v>
      </c>
      <c r="C86" s="152">
        <v>100</v>
      </c>
      <c r="D86" s="171" t="s">
        <v>27</v>
      </c>
      <c r="F86" s="330"/>
    </row>
    <row r="87" spans="2:6" x14ac:dyDescent="0.25">
      <c r="B87" s="256" t="str">
        <f>IF(B88="Rp","Rs","Rp")</f>
        <v>Rs</v>
      </c>
      <c r="C87" s="152">
        <v>50</v>
      </c>
      <c r="D87" s="257" t="str">
        <f>IF(B88="Rp","Ω","kΩ")</f>
        <v>Ω</v>
      </c>
      <c r="F87" s="330"/>
    </row>
    <row r="88" spans="2:6" x14ac:dyDescent="0.25">
      <c r="B88" s="250" t="s">
        <v>81</v>
      </c>
      <c r="C88" s="258">
        <f>1000/C87*C85/C86</f>
        <v>2</v>
      </c>
      <c r="D88" s="171" t="str">
        <f>IF(B88="Rp","kΩ","Ω")</f>
        <v>kΩ</v>
      </c>
      <c r="F88" s="330"/>
    </row>
    <row r="89" spans="2:6" x14ac:dyDescent="0.25">
      <c r="B89" s="256" t="s">
        <v>228</v>
      </c>
      <c r="C89" s="170">
        <f>(0.000001/(2*PI()*SQRT(C85*0.000001*C86*0.000000000001)))</f>
        <v>5.0329212104487038</v>
      </c>
      <c r="D89" s="171" t="s">
        <v>0</v>
      </c>
      <c r="F89" s="330"/>
    </row>
    <row r="90" spans="2:6" x14ac:dyDescent="0.25">
      <c r="B90" s="256" t="s">
        <v>83</v>
      </c>
      <c r="C90" s="172">
        <f>IF(B88="Rs",(1000/C88)*SQRT(C85/C86),(1000/C87)*SQRT(C85/C86))</f>
        <v>6.324555320336759</v>
      </c>
      <c r="D90" s="259"/>
    </row>
    <row r="91" spans="2:6" x14ac:dyDescent="0.25">
      <c r="B91" s="256" t="s">
        <v>1582</v>
      </c>
      <c r="C91" s="37">
        <f>100*C86/C90</f>
        <v>1581.1388300841895</v>
      </c>
      <c r="D91" s="28" t="s">
        <v>27</v>
      </c>
    </row>
    <row r="92" spans="2:6" x14ac:dyDescent="0.25">
      <c r="B92" s="256" t="s">
        <v>1583</v>
      </c>
      <c r="C92" s="37">
        <f>1250*C86/C90</f>
        <v>19764.235376052369</v>
      </c>
      <c r="D92" s="28" t="s">
        <v>27</v>
      </c>
    </row>
    <row r="96" spans="2:6" ht="15.75" x14ac:dyDescent="0.25">
      <c r="B96" s="451" t="s">
        <v>1058</v>
      </c>
      <c r="C96" s="528"/>
      <c r="D96" s="6"/>
    </row>
    <row r="97" spans="1:6" hidden="1" x14ac:dyDescent="0.25">
      <c r="A97" s="811"/>
      <c r="B97" s="821" t="s">
        <v>1044</v>
      </c>
      <c r="C97" s="839" t="b">
        <f>(Spiral_Inductor_Designer!$D$20=Spiral_Inductor_Designer!B251)</f>
        <v>1</v>
      </c>
      <c r="D97" s="812"/>
      <c r="E97" s="811"/>
      <c r="F97" s="811"/>
    </row>
    <row r="98" spans="1:6" hidden="1" x14ac:dyDescent="0.25">
      <c r="A98" s="813"/>
      <c r="B98" s="821" t="s">
        <v>1045</v>
      </c>
      <c r="C98" s="837" t="b">
        <v>0</v>
      </c>
      <c r="D98" s="812"/>
      <c r="E98" s="811"/>
      <c r="F98" s="811"/>
    </row>
    <row r="99" spans="1:6" ht="15.75" x14ac:dyDescent="0.25">
      <c r="A99" s="814"/>
      <c r="B99" s="827" t="s">
        <v>278</v>
      </c>
      <c r="C99" s="826">
        <v>18</v>
      </c>
      <c r="D99" s="820" t="s">
        <v>96</v>
      </c>
      <c r="E99" s="811"/>
      <c r="F99" s="815" t="s">
        <v>704</v>
      </c>
    </row>
    <row r="100" spans="1:6" ht="15.75" x14ac:dyDescent="0.25">
      <c r="A100" s="814"/>
      <c r="B100" s="827" t="s">
        <v>264</v>
      </c>
      <c r="C100" s="826">
        <v>390</v>
      </c>
      <c r="D100" s="819" t="s">
        <v>27</v>
      </c>
      <c r="E100" s="818" t="str">
        <f>IF(AND(NOT(C97),C98), "Spiral Inductor Designer is not set to LDC1612/4 or LDC1312/4","")</f>
        <v/>
      </c>
      <c r="F100" s="811"/>
    </row>
    <row r="101" spans="1:6" hidden="1" x14ac:dyDescent="0.25">
      <c r="A101" s="814"/>
      <c r="B101" s="821" t="s">
        <v>1036</v>
      </c>
      <c r="C101" s="838">
        <f>IF(C98,Spiral_Inductor_Designer!$D$195,C99)</f>
        <v>18</v>
      </c>
      <c r="D101" s="820" t="s">
        <v>96</v>
      </c>
      <c r="E101" s="812" t="s">
        <v>1042</v>
      </c>
      <c r="F101" s="811"/>
    </row>
    <row r="102" spans="1:6" hidden="1" x14ac:dyDescent="0.25">
      <c r="A102" s="814"/>
      <c r="B102" s="821" t="s">
        <v>1037</v>
      </c>
      <c r="C102" s="838">
        <f>IF(C98,Spiral_Inductor_Designer!D22,C100)</f>
        <v>390</v>
      </c>
      <c r="D102" s="819" t="s">
        <v>27</v>
      </c>
      <c r="E102" s="812" t="s">
        <v>1042</v>
      </c>
      <c r="F102" s="811"/>
    </row>
    <row r="103" spans="1:6" hidden="1" x14ac:dyDescent="0.25">
      <c r="A103" s="814"/>
      <c r="B103" s="831" t="s">
        <v>933</v>
      </c>
      <c r="C103" s="832">
        <v>1</v>
      </c>
      <c r="D103" s="831" t="s">
        <v>0</v>
      </c>
      <c r="E103" s="811"/>
      <c r="F103" s="811"/>
    </row>
    <row r="104" spans="1:6" hidden="1" x14ac:dyDescent="0.25">
      <c r="A104" s="814"/>
      <c r="B104" s="831" t="s">
        <v>934</v>
      </c>
      <c r="C104" s="833">
        <v>30</v>
      </c>
      <c r="D104" s="831" t="s">
        <v>0</v>
      </c>
      <c r="E104" s="811"/>
      <c r="F104" s="811"/>
    </row>
    <row r="105" spans="1:6" ht="15.75" x14ac:dyDescent="0.25">
      <c r="A105" s="814"/>
      <c r="B105" s="827" t="s">
        <v>940</v>
      </c>
      <c r="C105" s="816">
        <f>1000/(2*PI()*SQRT(C102*C101))</f>
        <v>1.8995537004167624</v>
      </c>
      <c r="D105" s="819" t="s">
        <v>0</v>
      </c>
      <c r="E105" s="818" t="str">
        <f>IF(C105&lt;C103,"Below minimum of "&amp;C103&amp;"MHz, reduce C or L",IF(C105&gt;C104,"Exceeds maximum of "&amp;C104&amp;"MHz, increase L or C",""))</f>
        <v/>
      </c>
      <c r="F105" s="811"/>
    </row>
    <row r="106" spans="1:6" ht="15.75" x14ac:dyDescent="0.25">
      <c r="A106" s="814"/>
      <c r="B106" s="824" t="s">
        <v>242</v>
      </c>
      <c r="C106" s="825">
        <v>8.82</v>
      </c>
      <c r="D106" s="821" t="str">
        <f>IF(B106="Sensor Q","","kΩ")</f>
        <v>kΩ</v>
      </c>
      <c r="E106" s="813" t="s">
        <v>955</v>
      </c>
      <c r="F106" s="811"/>
    </row>
    <row r="107" spans="1:6" ht="15.75" x14ac:dyDescent="0.25">
      <c r="A107" s="814"/>
      <c r="B107" s="829" t="str">
        <f>IF(B106="Sensor Q","Sensor RP","Sensor Q")</f>
        <v>Sensor Q</v>
      </c>
      <c r="C107" s="822">
        <f>IF(B107="Sensor Q",C106*SQRT(C102/C101),C106*SQRT(C102/C100))</f>
        <v>41.054865728680689</v>
      </c>
      <c r="D107" s="823" t="str">
        <f>IF(B107="Sensor Q","","kΩ")</f>
        <v/>
      </c>
      <c r="E107" s="811"/>
      <c r="F107" s="811"/>
    </row>
    <row r="108" spans="1:6" hidden="1" x14ac:dyDescent="0.25">
      <c r="A108" s="814"/>
      <c r="B108" s="830" t="s">
        <v>1038</v>
      </c>
      <c r="C108" s="835">
        <f>IF(B107="Sensor RP",C107,C106)</f>
        <v>8.82</v>
      </c>
      <c r="D108" s="812" t="s">
        <v>243</v>
      </c>
      <c r="E108" s="812" t="s">
        <v>1049</v>
      </c>
      <c r="F108" s="811"/>
    </row>
    <row r="109" spans="1:6" hidden="1" x14ac:dyDescent="0.25">
      <c r="A109" s="814"/>
      <c r="B109" s="819" t="s">
        <v>1039</v>
      </c>
      <c r="C109" s="835">
        <f>IF(B107="Sensor Q",C107,C106)</f>
        <v>41.054865728680689</v>
      </c>
      <c r="D109" s="811"/>
      <c r="E109" s="812" t="s">
        <v>1049</v>
      </c>
      <c r="F109" s="811"/>
    </row>
    <row r="110" spans="1:6" hidden="1" x14ac:dyDescent="0.25">
      <c r="A110" s="814"/>
      <c r="B110" s="819" t="s">
        <v>1040</v>
      </c>
      <c r="C110" s="835">
        <f>IF(C98,Spiral_Inductor_Designer!D203,C108)</f>
        <v>8.82</v>
      </c>
      <c r="D110" s="812" t="s">
        <v>243</v>
      </c>
      <c r="E110" s="812" t="s">
        <v>1042</v>
      </c>
      <c r="F110" s="811"/>
    </row>
    <row r="111" spans="1:6" hidden="1" x14ac:dyDescent="0.25">
      <c r="A111" s="814"/>
      <c r="B111" s="819" t="s">
        <v>1041</v>
      </c>
      <c r="C111" s="835">
        <f>IF(C98,Spiral_Inductor_Designer!D204,C109)</f>
        <v>41.054865728680689</v>
      </c>
      <c r="D111" s="811"/>
      <c r="E111" s="812" t="s">
        <v>1042</v>
      </c>
      <c r="F111" s="811"/>
    </row>
    <row r="112" spans="1:6" ht="15.75" x14ac:dyDescent="0.25">
      <c r="A112" s="814"/>
      <c r="B112" s="817" t="s">
        <v>403</v>
      </c>
      <c r="C112" s="826">
        <v>14</v>
      </c>
      <c r="D112" s="811" t="s">
        <v>34</v>
      </c>
      <c r="E112" s="811"/>
      <c r="F112" s="811"/>
    </row>
    <row r="113" spans="1:15" hidden="1" x14ac:dyDescent="0.25">
      <c r="A113" s="814"/>
      <c r="B113" s="819" t="s">
        <v>1046</v>
      </c>
      <c r="C113" s="840">
        <f>IF(C98,Spiral_Inductor_Designer!D27,C112)</f>
        <v>14</v>
      </c>
      <c r="D113" s="812" t="s">
        <v>34</v>
      </c>
      <c r="E113" s="812" t="s">
        <v>1042</v>
      </c>
      <c r="F113" s="811"/>
    </row>
    <row r="114" spans="1:15" ht="15.75" x14ac:dyDescent="0.25">
      <c r="A114" s="814"/>
      <c r="B114" s="817"/>
      <c r="C114" s="836"/>
      <c r="D114" s="811"/>
      <c r="E114" s="811"/>
      <c r="F114" s="811"/>
    </row>
    <row r="115" spans="1:15" ht="15.75" x14ac:dyDescent="0.25">
      <c r="A115" s="9"/>
      <c r="B115" s="451" t="s">
        <v>1035</v>
      </c>
      <c r="C115" s="595"/>
    </row>
    <row r="116" spans="1:15" ht="15.75" x14ac:dyDescent="0.25">
      <c r="A116" s="9"/>
      <c r="B116" s="61" t="s">
        <v>974</v>
      </c>
      <c r="C116" s="272">
        <v>14</v>
      </c>
      <c r="D116" t="s">
        <v>34</v>
      </c>
      <c r="E116" s="854" t="str">
        <f>("Assumes Aluminum target at least "&amp;TEXT(3*MAX(C121,C127),"0.000")&amp; "mm thick")</f>
        <v>Assumes Aluminum target at least 0.178mm thick</v>
      </c>
      <c r="F116" s="855"/>
      <c r="G116" s="855"/>
    </row>
    <row r="117" spans="1:15" ht="15.75" x14ac:dyDescent="0.25">
      <c r="A117" s="9"/>
      <c r="B117" s="61" t="s">
        <v>433</v>
      </c>
      <c r="C117" s="272">
        <v>1.5</v>
      </c>
      <c r="D117" t="s">
        <v>34</v>
      </c>
      <c r="E117" s="856"/>
      <c r="F117" s="855"/>
      <c r="G117" s="855"/>
    </row>
    <row r="118" spans="1:15" ht="15.75" hidden="1" x14ac:dyDescent="0.25">
      <c r="A118" s="9"/>
      <c r="B118" s="61" t="s">
        <v>860</v>
      </c>
      <c r="C118" s="149">
        <f>C116/C113</f>
        <v>1</v>
      </c>
    </row>
    <row r="119" spans="1:15" ht="15.75" hidden="1" x14ac:dyDescent="0.25">
      <c r="A119" s="9"/>
      <c r="B119" s="61" t="s">
        <v>861</v>
      </c>
      <c r="C119" s="536">
        <f>(0.00406832344757895+15.5588911/(1+(C113/0.0358077078721068)^0.865185989584669))+(0.973523646945684-1.1322846019223/(1+(C113/1.1356393338887)^1.06847511981245))*(1-EXP(-(10.3324121181807-56.0213701830392/(1+(C113/0.0139455036722347)^0.572123422421793))*C118))</f>
        <v>0.99359076004379887</v>
      </c>
    </row>
    <row r="120" spans="1:15" ht="18" x14ac:dyDescent="0.35">
      <c r="A120" s="9"/>
      <c r="B120" s="61" t="s">
        <v>987</v>
      </c>
      <c r="C120" s="541">
        <f>1000/(2*PI()*SQRT(C119*C102*C101))</f>
        <v>1.9056704667768087</v>
      </c>
      <c r="D120" t="s">
        <v>0</v>
      </c>
      <c r="E120" s="71" t="str">
        <f>IF(C120&lt;C103,"Below minimum of "&amp;C103&amp;"MHz, reduce C or L",IF(C120&gt;C104,"Exceeds maximum of "&amp;C104&amp;"MHz, increase L or C",""))</f>
        <v/>
      </c>
    </row>
    <row r="121" spans="1:15" ht="15.75" hidden="1" x14ac:dyDescent="0.25">
      <c r="A121" s="9"/>
      <c r="B121" s="61" t="s">
        <v>937</v>
      </c>
      <c r="C121" s="536">
        <f>0.0819/SQRT(C120)</f>
        <v>5.9328039871660083E-2</v>
      </c>
      <c r="D121" t="s">
        <v>34</v>
      </c>
      <c r="E121" s="71"/>
      <c r="O121" s="811">
        <f>(0.00406832344757895+15.5588911/(1+(C113/0.0358077078721068)^0.865185989584669))+(0.973523646945684-1.1322846019223/(1+(C113/1.1356393338887)^1.06847511981245))*(1-EXP(-(10.3324121181807-56.0213701830392/(1+(C113/0.0139455036722347)^0.572123422421793))*C141))</f>
        <v>0.98990958479561286</v>
      </c>
    </row>
    <row r="122" spans="1:15" ht="18" hidden="1" x14ac:dyDescent="0.35">
      <c r="A122" s="9"/>
      <c r="B122" s="61" t="s">
        <v>936</v>
      </c>
      <c r="C122" s="536">
        <f>C119*C110</f>
        <v>8.7634705035863067</v>
      </c>
      <c r="D122" t="s">
        <v>243</v>
      </c>
      <c r="E122" s="86" t="s">
        <v>1050</v>
      </c>
    </row>
    <row r="123" spans="1:15" ht="15.75" hidden="1" x14ac:dyDescent="0.25">
      <c r="A123" s="9"/>
      <c r="B123" s="61" t="s">
        <v>862</v>
      </c>
      <c r="C123" s="149">
        <f>C117/C113</f>
        <v>0.10714285714285714</v>
      </c>
    </row>
    <row r="124" spans="1:15" ht="15.75" hidden="1" x14ac:dyDescent="0.25">
      <c r="A124" s="9"/>
      <c r="B124" s="61" t="s">
        <v>863</v>
      </c>
      <c r="C124" s="534">
        <f>(0.00406832344757895+15.5588911/(1+(C113/0.0358077078721068)^0.865185989584669))+(0.973523646945684-1.1322846019223/(1+(C113/1.1356393338887)^1.06847511981245))*(1-EXP(-(10.3324121181807-56.0213701830392/(1+(C113/0.0139455036722347)^0.572123422421793))*C123))</f>
        <v>0.66021615624383179</v>
      </c>
    </row>
    <row r="125" spans="1:15" ht="18" x14ac:dyDescent="0.35">
      <c r="A125" s="9"/>
      <c r="B125" s="61" t="s">
        <v>988</v>
      </c>
      <c r="C125" s="541">
        <f>1000/(2*PI()*SQRT(C124*C102*C101))</f>
        <v>2.3378061763161946</v>
      </c>
      <c r="D125" t="s">
        <v>0</v>
      </c>
      <c r="E125" s="71" t="str">
        <f>IF(C125&lt;C103,"Below minimum of "&amp;C103&amp;"MHz, reduce C or L",IF(C125&gt;C104,"Exceeds maximum of "&amp;C104&amp;"MHz, increase L or C",""))</f>
        <v/>
      </c>
    </row>
    <row r="126" spans="1:15" ht="15.75" x14ac:dyDescent="0.25">
      <c r="A126" s="9"/>
      <c r="B126" s="61" t="s">
        <v>965</v>
      </c>
      <c r="C126" s="572">
        <f>ABS(C125-C120)*1000</f>
        <v>432.13570953938586</v>
      </c>
      <c r="D126" t="s">
        <v>72</v>
      </c>
      <c r="E126" s="71"/>
    </row>
    <row r="127" spans="1:15" ht="15.75" hidden="1" x14ac:dyDescent="0.25">
      <c r="A127" s="9"/>
      <c r="B127" s="61" t="s">
        <v>938</v>
      </c>
      <c r="C127" s="536">
        <f>0.0819/SQRT(C125)</f>
        <v>5.3564820133470539E-2</v>
      </c>
      <c r="D127" t="s">
        <v>34</v>
      </c>
      <c r="E127" s="71"/>
    </row>
    <row r="128" spans="1:15" ht="18" hidden="1" x14ac:dyDescent="0.35">
      <c r="A128" s="9"/>
      <c r="B128" s="61" t="s">
        <v>935</v>
      </c>
      <c r="C128" s="536">
        <f>C124*C110</f>
        <v>5.8231064980705964</v>
      </c>
      <c r="D128" t="s">
        <v>243</v>
      </c>
      <c r="E128" s="86" t="s">
        <v>1050</v>
      </c>
    </row>
    <row r="129" spans="1:14" ht="15.75" hidden="1" x14ac:dyDescent="0.25">
      <c r="A129" s="9"/>
      <c r="B129" s="61"/>
      <c r="C129" s="534"/>
      <c r="E129" s="86"/>
    </row>
    <row r="130" spans="1:14" hidden="1" x14ac:dyDescent="0.25">
      <c r="A130" s="9"/>
      <c r="B130" s="2" t="s">
        <v>206</v>
      </c>
      <c r="C130" s="151">
        <v>0.7</v>
      </c>
      <c r="D130" s="2" t="s">
        <v>16</v>
      </c>
      <c r="E130" s="86"/>
    </row>
    <row r="131" spans="1:14" hidden="1" x14ac:dyDescent="0.25">
      <c r="A131" s="9"/>
      <c r="B131" s="3"/>
      <c r="C131" s="346">
        <v>299790000</v>
      </c>
      <c r="D131" s="3"/>
      <c r="E131" s="86"/>
    </row>
    <row r="132" spans="1:14" hidden="1" x14ac:dyDescent="0.25">
      <c r="A132" s="9"/>
      <c r="B132" s="2" t="s">
        <v>207</v>
      </c>
      <c r="C132" s="174">
        <f>MAX(C125,C120,C105)</f>
        <v>2.3378061763161946</v>
      </c>
      <c r="D132" s="2" t="s">
        <v>0</v>
      </c>
      <c r="E132" s="86"/>
    </row>
    <row r="133" spans="1:14" hidden="1" x14ac:dyDescent="0.25">
      <c r="A133" s="9"/>
      <c r="B133" s="3"/>
      <c r="C133" s="83">
        <v>6</v>
      </c>
      <c r="D133" s="123"/>
      <c r="E133" s="86"/>
    </row>
    <row r="134" spans="1:14" hidden="1" x14ac:dyDescent="0.25">
      <c r="A134" s="9"/>
      <c r="B134" s="3"/>
      <c r="C134" s="83">
        <v>14</v>
      </c>
      <c r="D134" s="123"/>
      <c r="E134" s="86"/>
    </row>
    <row r="135" spans="1:14" hidden="1" x14ac:dyDescent="0.25">
      <c r="A135" s="9"/>
      <c r="B135" s="3"/>
      <c r="C135" s="83">
        <f>C134/360/(C132*1000000)</f>
        <v>1.6634778914891984E-8</v>
      </c>
      <c r="D135" s="123"/>
      <c r="E135" s="86"/>
    </row>
    <row r="136" spans="1:14" hidden="1" x14ac:dyDescent="0.25">
      <c r="A136" s="9"/>
      <c r="B136" s="3"/>
      <c r="C136" s="83">
        <f>(C135-(C133*0.000000001))/2</f>
        <v>5.3173894574459918E-9</v>
      </c>
      <c r="D136" s="3"/>
      <c r="E136" s="86"/>
    </row>
    <row r="137" spans="1:14" ht="15.75" x14ac:dyDescent="0.25">
      <c r="A137" s="9"/>
      <c r="B137" s="165" t="s">
        <v>959</v>
      </c>
      <c r="C137" s="571">
        <f>MAX(50*C136*C130*C131,1)</f>
        <v>55.79350649067068</v>
      </c>
      <c r="D137" s="2" t="s">
        <v>3</v>
      </c>
      <c r="E137" s="86" t="s">
        <v>960</v>
      </c>
    </row>
    <row r="139" spans="1:14" ht="15.75" customHeight="1" x14ac:dyDescent="0.25"/>
    <row r="140" spans="1:14" ht="15.75" x14ac:dyDescent="0.25">
      <c r="B140" t="s">
        <v>1224</v>
      </c>
      <c r="C140" s="846">
        <v>8.2652000000000001</v>
      </c>
      <c r="D140" t="s">
        <v>34</v>
      </c>
      <c r="E140" t="s">
        <v>1670</v>
      </c>
      <c r="N140" s="811"/>
    </row>
    <row r="141" spans="1:14" ht="15.75" hidden="1" x14ac:dyDescent="0.25">
      <c r="B141" t="s">
        <v>1650</v>
      </c>
      <c r="C141" s="536">
        <f>C140/C113</f>
        <v>0.59037142857142855</v>
      </c>
      <c r="F141" t="b">
        <f>IF(AND(C140&gt;=C117,C140&lt;=C116),TRUE,FALSE)</f>
        <v>1</v>
      </c>
    </row>
    <row r="142" spans="1:14" hidden="1" x14ac:dyDescent="0.25">
      <c r="B142" t="s">
        <v>1651</v>
      </c>
      <c r="C142" s="573">
        <f>(0.00406832344757895+15.5588911/(1+(C113/0.0358077078721068)^0.865185989584669))+(0.973523646945684-1.1322846019223/(1+(C113/1.1356393338887)^1.06847511981245))*(1-EXP(-(10.3324121181807-56.0213701830392/(1+(C113/0.0139455036722347)^0.572123422421793))*C141))</f>
        <v>0.98990958479561286</v>
      </c>
    </row>
    <row r="143" spans="1:14" ht="15.75" x14ac:dyDescent="0.25">
      <c r="B143" t="s">
        <v>1653</v>
      </c>
      <c r="C143" s="541">
        <f>C142*C101</f>
        <v>17.818372526321031</v>
      </c>
      <c r="D143" t="s">
        <v>96</v>
      </c>
    </row>
    <row r="144" spans="1:14" ht="15.75" x14ac:dyDescent="0.25">
      <c r="B144" t="s">
        <v>1652</v>
      </c>
      <c r="C144" s="541">
        <f>1000/(2*PI()*SQRT(C143*C102))</f>
        <v>1.9092104856797578</v>
      </c>
      <c r="D144" t="s">
        <v>0</v>
      </c>
    </row>
    <row r="145" spans="2:6" hidden="1" x14ac:dyDescent="0.25">
      <c r="B145" t="s">
        <v>152</v>
      </c>
      <c r="C145" s="573">
        <f>128*(1+D24)*POWER(2,D21)</f>
        <v>3968</v>
      </c>
    </row>
    <row r="146" spans="2:6" ht="15.75" hidden="1" x14ac:dyDescent="0.25">
      <c r="B146" t="s">
        <v>1170</v>
      </c>
      <c r="C146" s="844">
        <v>44</v>
      </c>
      <c r="D146" t="s">
        <v>0</v>
      </c>
    </row>
    <row r="147" spans="2:6" hidden="1" x14ac:dyDescent="0.25">
      <c r="B147" t="s">
        <v>1654</v>
      </c>
      <c r="C147" s="573">
        <f>(C146/C144)*30*C145</f>
        <v>2743416.736544447</v>
      </c>
    </row>
    <row r="148" spans="2:6" ht="15.75" x14ac:dyDescent="0.25">
      <c r="B148" t="s">
        <v>1654</v>
      </c>
      <c r="C148" s="810">
        <f>ROUND(C147,0)</f>
        <v>2743417</v>
      </c>
    </row>
    <row r="149" spans="2:6" ht="15.75" x14ac:dyDescent="0.25">
      <c r="B149" t="s">
        <v>1655</v>
      </c>
      <c r="C149" s="842" t="str">
        <f xml:space="preserve"> "0x" &amp; DEC2HEX(C148,6)</f>
        <v>0x29DC79</v>
      </c>
      <c r="D149" t="s">
        <v>1656</v>
      </c>
    </row>
    <row r="152" spans="2:6" ht="15.75" x14ac:dyDescent="0.25">
      <c r="B152" s="5" t="s">
        <v>1654</v>
      </c>
      <c r="C152" s="847">
        <v>3993994</v>
      </c>
      <c r="D152" s="5" t="s">
        <v>1657</v>
      </c>
      <c r="E152" s="841" t="b">
        <f>IF(D152="Hex",IF(C153&gt;16777215,FALSE,TRUE),IF(HEX2DEC(C153)&gt;16777215,FALSE,TRUE))</f>
        <v>1</v>
      </c>
      <c r="F152" s="811"/>
    </row>
    <row r="153" spans="2:6" ht="15.75" x14ac:dyDescent="0.25">
      <c r="B153" s="5" t="s">
        <v>1654</v>
      </c>
      <c r="C153" s="842" t="str">
        <f>IF(D152="Hex",HEX2DEC(C152),DEC2HEX(C152))</f>
        <v>3CF18A</v>
      </c>
      <c r="D153" s="5" t="str">
        <f>IF(D152="Dec","Hex","Dec")</f>
        <v>Hex</v>
      </c>
      <c r="E153" s="85" t="s">
        <v>1660</v>
      </c>
    </row>
    <row r="154" spans="2:6" s="811" customFormat="1" ht="15.75" hidden="1" x14ac:dyDescent="0.25">
      <c r="B154" s="5" t="s">
        <v>1662</v>
      </c>
      <c r="C154" s="843"/>
      <c r="D154" s="5"/>
      <c r="E154" s="85"/>
    </row>
    <row r="155" spans="2:6" ht="15.75" hidden="1" x14ac:dyDescent="0.25">
      <c r="B155" s="5" t="s">
        <v>1170</v>
      </c>
      <c r="C155" s="844">
        <v>44</v>
      </c>
      <c r="D155" s="811" t="s">
        <v>0</v>
      </c>
    </row>
    <row r="156" spans="2:6" ht="15.75" x14ac:dyDescent="0.25">
      <c r="B156" s="60" t="s">
        <v>1672</v>
      </c>
      <c r="C156" s="848">
        <f>IF(D152="Hex",C155*C145*30/C153,C155*C145*30/C152)</f>
        <v>1.3114090807347232</v>
      </c>
      <c r="D156" s="25" t="s">
        <v>0</v>
      </c>
      <c r="F156" s="841" t="b">
        <f>IF(C157&gt;C101,TRUE, FALSE)</f>
        <v>1</v>
      </c>
    </row>
    <row r="157" spans="2:6" ht="15.75" x14ac:dyDescent="0.25">
      <c r="B157" s="60" t="s">
        <v>1671</v>
      </c>
      <c r="C157" s="842">
        <f>((1000/(2*PI()*C156))^2)/C102</f>
        <v>37.765851674285607</v>
      </c>
      <c r="D157" s="811" t="s">
        <v>96</v>
      </c>
      <c r="E157" s="85" t="s">
        <v>1667</v>
      </c>
    </row>
    <row r="158" spans="2:6" ht="15.75" hidden="1" x14ac:dyDescent="0.25">
      <c r="B158" s="60" t="s">
        <v>1651</v>
      </c>
      <c r="C158" s="75">
        <f>C157/C101</f>
        <v>2.0981028707936447</v>
      </c>
    </row>
    <row r="159" spans="2:6" ht="15.75" hidden="1" x14ac:dyDescent="0.25">
      <c r="B159" s="60" t="s">
        <v>1658</v>
      </c>
      <c r="C159" s="75" t="e">
        <f>-(LN(1-((C158-(0.00406832344757895+15.5588911/(1+(C113/0.0358077078721068)^0.865185989584669)))/(0.973523646945684-1.1322846019223/(1+(C113/1.1356393338887)^1.06847511981245)))))/(10.3324121181807-56.0213701830392/(1+(C113/0.0139455036722347)^0.572123422421793))</f>
        <v>#NUM!</v>
      </c>
    </row>
    <row r="160" spans="2:6" ht="15.75" x14ac:dyDescent="0.25">
      <c r="B160" s="60" t="s">
        <v>1659</v>
      </c>
      <c r="C160" s="845" t="e">
        <f>C159*C113</f>
        <v>#NUM!</v>
      </c>
      <c r="D160" t="s">
        <v>34</v>
      </c>
      <c r="E160" s="85" t="s">
        <v>1668</v>
      </c>
    </row>
    <row r="161" spans="3:22" x14ac:dyDescent="0.25">
      <c r="E161" s="85" t="s">
        <v>1669</v>
      </c>
    </row>
    <row r="162" spans="3:22" hidden="1" x14ac:dyDescent="0.25"/>
    <row r="163" spans="3:22" hidden="1" x14ac:dyDescent="0.25"/>
    <row r="164" spans="3:22" hidden="1" x14ac:dyDescent="0.25">
      <c r="D164" t="s">
        <v>347</v>
      </c>
    </row>
    <row r="165" spans="3:22" hidden="1" x14ac:dyDescent="0.25">
      <c r="C165" s="811">
        <f>(C158-(0.00406832344757895+15.5588911/(1+(C113/0.0358077078721068)^0.865185989584669)))/(0.973523646945684-1.1322846019223/(1+(C113/1.1356393338887)^1.06847511981245))</f>
        <v>2.2255979255472504</v>
      </c>
      <c r="D165" t="s">
        <v>1657</v>
      </c>
    </row>
    <row r="166" spans="3:22" hidden="1" x14ac:dyDescent="0.25">
      <c r="C166">
        <f>(1-C165)</f>
        <v>-1.2255979255472504</v>
      </c>
    </row>
    <row r="167" spans="3:22" ht="13.5" hidden="1" customHeight="1" x14ac:dyDescent="0.25">
      <c r="C167">
        <f>-(LN(ABS(C166)))/(10.3324121181807-56.0213701830392/(1+(C113/0.0139455036722347)^0.572123422421793))</f>
        <v>-2.192453941078315E-2</v>
      </c>
      <c r="D167" s="811">
        <f>-(LN(ABS(C165)))/(10.3324121181807-56.0213701830392/(1+(C113/0.0139455036722347)^0.572123422421793))</f>
        <v>-8.6222750444766738E-2</v>
      </c>
    </row>
    <row r="168" spans="3:22" hidden="1" x14ac:dyDescent="0.25">
      <c r="C168" s="811">
        <f>C167*C113</f>
        <v>-0.30694355175096411</v>
      </c>
    </row>
    <row r="169" spans="3:22" hidden="1" x14ac:dyDescent="0.25"/>
    <row r="170" spans="3:22" hidden="1" x14ac:dyDescent="0.25"/>
    <row r="171" spans="3:22" hidden="1" x14ac:dyDescent="0.25"/>
    <row r="172" spans="3:22" hidden="1" x14ac:dyDescent="0.25"/>
    <row r="173" spans="3:22" hidden="1" x14ac:dyDescent="0.25">
      <c r="C173" s="574" t="s">
        <v>1579</v>
      </c>
    </row>
    <row r="174" spans="3:22" hidden="1" x14ac:dyDescent="0.25">
      <c r="C174" s="574" t="s">
        <v>743</v>
      </c>
      <c r="D174" s="574" t="s">
        <v>744</v>
      </c>
      <c r="E174" s="574"/>
      <c r="F174" s="574" t="s">
        <v>745</v>
      </c>
      <c r="G174" s="574" t="s">
        <v>746</v>
      </c>
      <c r="H174" s="574" t="s">
        <v>747</v>
      </c>
      <c r="I174" s="574" t="s">
        <v>748</v>
      </c>
      <c r="J174" s="574" t="s">
        <v>749</v>
      </c>
      <c r="K174" s="574" t="s">
        <v>750</v>
      </c>
      <c r="L174" s="574" t="s">
        <v>751</v>
      </c>
      <c r="M174" s="574" t="s">
        <v>752</v>
      </c>
      <c r="N174" s="574" t="s">
        <v>753</v>
      </c>
      <c r="O174" s="574" t="s">
        <v>754</v>
      </c>
      <c r="P174" s="574" t="s">
        <v>758</v>
      </c>
      <c r="Q174" s="574" t="s">
        <v>755</v>
      </c>
      <c r="R174" s="574" t="s">
        <v>759</v>
      </c>
      <c r="S174" s="574" t="s">
        <v>756</v>
      </c>
      <c r="T174" s="574" t="s">
        <v>760</v>
      </c>
      <c r="U174" s="574" t="s">
        <v>757</v>
      </c>
      <c r="V174" s="574" t="s">
        <v>761</v>
      </c>
    </row>
    <row r="175" spans="3:22" hidden="1" x14ac:dyDescent="0.25">
      <c r="C175" s="75">
        <v>5</v>
      </c>
      <c r="D175" s="75">
        <v>30</v>
      </c>
      <c r="E175" s="75"/>
      <c r="F175" s="75">
        <v>0.01</v>
      </c>
      <c r="G175" s="75">
        <v>30</v>
      </c>
      <c r="H175" s="75">
        <v>30</v>
      </c>
      <c r="I175" s="75">
        <v>30</v>
      </c>
      <c r="J175" s="75">
        <v>30</v>
      </c>
      <c r="K175" s="75">
        <v>30</v>
      </c>
      <c r="L175" s="75">
        <v>30</v>
      </c>
      <c r="M175" s="75">
        <v>30</v>
      </c>
      <c r="N175" s="75">
        <v>30</v>
      </c>
      <c r="O175" s="80">
        <f>D25</f>
        <v>1.1419999999999999</v>
      </c>
      <c r="P175" s="575">
        <f>IF(D8=TRUE(),D16,-100)</f>
        <v>4</v>
      </c>
      <c r="Q175" s="80">
        <f>F25</f>
        <v>1.054</v>
      </c>
      <c r="R175" s="575">
        <f>IF(F8=TRUE(),F16,-100)</f>
        <v>20</v>
      </c>
      <c r="S175" s="80">
        <f>IF(H8=TRUE(),H25,-100)</f>
        <v>-100</v>
      </c>
      <c r="T175" s="575">
        <f>H16</f>
        <v>20</v>
      </c>
      <c r="U175" s="80">
        <f>J17</f>
        <v>1</v>
      </c>
      <c r="V175" s="575">
        <f>IF(J8=TRUE(),J16,-100)</f>
        <v>-100</v>
      </c>
    </row>
    <row r="176" spans="3:22" hidden="1" x14ac:dyDescent="0.25">
      <c r="C176" s="75">
        <v>5</v>
      </c>
      <c r="D176" s="75">
        <v>30</v>
      </c>
      <c r="E176" s="75"/>
      <c r="F176" s="75">
        <v>0.1</v>
      </c>
      <c r="G176" s="75">
        <v>30</v>
      </c>
      <c r="H176" s="75">
        <v>30</v>
      </c>
      <c r="I176" s="75">
        <v>30</v>
      </c>
      <c r="J176" s="75">
        <v>30</v>
      </c>
      <c r="K176" s="75">
        <v>30</v>
      </c>
      <c r="L176" s="75">
        <v>30</v>
      </c>
      <c r="M176" s="75">
        <v>30</v>
      </c>
      <c r="N176" s="75">
        <v>30</v>
      </c>
      <c r="O176" s="75">
        <f>O175*1.001</f>
        <v>1.1431419999999999</v>
      </c>
      <c r="P176" s="575">
        <f>IF(D8=TRUE(),0.9999*D16,-100)</f>
        <v>3.9996</v>
      </c>
      <c r="Q176" s="75">
        <f t="shared" ref="Q176:V176" si="0">Q175*1.001</f>
        <v>1.0550539999999999</v>
      </c>
      <c r="R176" s="75">
        <f>IF(F8=TRUE(),F16,-100)</f>
        <v>20</v>
      </c>
      <c r="S176" s="75">
        <f t="shared" si="0"/>
        <v>-100.1</v>
      </c>
      <c r="T176" s="75">
        <f t="shared" si="0"/>
        <v>20.019999999999996</v>
      </c>
      <c r="U176" s="75">
        <f t="shared" si="0"/>
        <v>1.0009999999999999</v>
      </c>
      <c r="V176" s="75">
        <f t="shared" si="0"/>
        <v>-100.1</v>
      </c>
    </row>
    <row r="177" spans="3:14" hidden="1" x14ac:dyDescent="0.25">
      <c r="C177" s="75">
        <v>5</v>
      </c>
      <c r="D177" s="75">
        <v>30</v>
      </c>
      <c r="E177" s="75"/>
      <c r="F177" s="75">
        <v>0.25</v>
      </c>
      <c r="G177" s="75">
        <v>16.384</v>
      </c>
      <c r="H177" s="75">
        <v>30</v>
      </c>
      <c r="I177" s="75">
        <v>30</v>
      </c>
      <c r="J177" s="75">
        <v>30</v>
      </c>
      <c r="K177" s="75">
        <v>30</v>
      </c>
      <c r="L177" s="75">
        <v>30</v>
      </c>
      <c r="M177" s="75">
        <v>30</v>
      </c>
      <c r="N177" s="75">
        <v>30</v>
      </c>
    </row>
    <row r="178" spans="3:14" hidden="1" x14ac:dyDescent="0.25">
      <c r="C178" s="75">
        <v>5</v>
      </c>
      <c r="D178" s="75">
        <v>30</v>
      </c>
      <c r="E178" s="75"/>
      <c r="F178" s="75">
        <v>0.5</v>
      </c>
      <c r="G178" s="75">
        <v>8.1920000000000002</v>
      </c>
      <c r="H178" s="75">
        <v>16.384</v>
      </c>
      <c r="I178" s="75">
        <v>30</v>
      </c>
      <c r="J178" s="75">
        <v>30</v>
      </c>
      <c r="K178" s="75">
        <v>30</v>
      </c>
      <c r="L178" s="75">
        <v>30</v>
      </c>
      <c r="M178" s="75">
        <v>30</v>
      </c>
      <c r="N178" s="75">
        <v>30</v>
      </c>
    </row>
    <row r="179" spans="3:14" hidden="1" x14ac:dyDescent="0.25">
      <c r="C179" s="75">
        <v>5</v>
      </c>
      <c r="D179" s="75">
        <v>30</v>
      </c>
      <c r="E179" s="75"/>
      <c r="F179" s="75">
        <v>0.75</v>
      </c>
      <c r="G179" s="75">
        <v>5.4613333333333332</v>
      </c>
      <c r="H179" s="75">
        <v>10.922666666666666</v>
      </c>
      <c r="I179" s="75">
        <v>21.845333333333333</v>
      </c>
      <c r="J179" s="75">
        <v>30</v>
      </c>
      <c r="K179" s="75">
        <v>30</v>
      </c>
      <c r="L179" s="75">
        <v>30</v>
      </c>
      <c r="M179" s="75">
        <v>30</v>
      </c>
      <c r="N179" s="75">
        <v>30</v>
      </c>
    </row>
    <row r="180" spans="3:14" hidden="1" x14ac:dyDescent="0.25">
      <c r="C180" s="75">
        <v>5</v>
      </c>
      <c r="D180" s="75">
        <v>30</v>
      </c>
      <c r="E180" s="75"/>
      <c r="F180" s="75">
        <v>1</v>
      </c>
      <c r="G180" s="75">
        <v>4.0960000000000001</v>
      </c>
      <c r="H180" s="75">
        <v>8.1920000000000002</v>
      </c>
      <c r="I180" s="75">
        <v>16.384</v>
      </c>
      <c r="J180" s="75">
        <v>30</v>
      </c>
      <c r="K180" s="75">
        <v>30</v>
      </c>
      <c r="L180" s="75">
        <v>30</v>
      </c>
      <c r="M180" s="75">
        <v>30</v>
      </c>
      <c r="N180" s="75">
        <v>30</v>
      </c>
    </row>
    <row r="181" spans="3:14" hidden="1" x14ac:dyDescent="0.25">
      <c r="C181" s="75">
        <v>5</v>
      </c>
      <c r="D181" s="75">
        <v>30</v>
      </c>
      <c r="E181" s="75"/>
      <c r="F181" s="75">
        <v>1.25</v>
      </c>
      <c r="G181" s="75">
        <v>3.2767999999999997</v>
      </c>
      <c r="H181" s="75">
        <v>6.5535999999999994</v>
      </c>
      <c r="I181" s="75">
        <v>13.107199999999999</v>
      </c>
      <c r="J181" s="75">
        <v>26.214399999999998</v>
      </c>
      <c r="K181" s="75">
        <v>30</v>
      </c>
      <c r="L181" s="75">
        <v>30</v>
      </c>
      <c r="M181" s="75">
        <v>30</v>
      </c>
      <c r="N181" s="75">
        <v>30</v>
      </c>
    </row>
    <row r="182" spans="3:14" hidden="1" x14ac:dyDescent="0.25">
      <c r="C182" s="75">
        <v>5</v>
      </c>
      <c r="D182" s="75">
        <v>30</v>
      </c>
      <c r="E182" s="75"/>
      <c r="F182" s="75">
        <v>1.5</v>
      </c>
      <c r="G182" s="75">
        <v>2.7306666666666666</v>
      </c>
      <c r="H182" s="75">
        <v>5.4613333333333332</v>
      </c>
      <c r="I182" s="75">
        <v>10.922666666666666</v>
      </c>
      <c r="J182" s="75">
        <v>21.845333333333333</v>
      </c>
      <c r="K182" s="75">
        <v>30</v>
      </c>
      <c r="L182" s="75">
        <v>30</v>
      </c>
      <c r="M182" s="75">
        <v>30</v>
      </c>
      <c r="N182" s="75">
        <v>30</v>
      </c>
    </row>
    <row r="183" spans="3:14" hidden="1" x14ac:dyDescent="0.25">
      <c r="C183" s="75">
        <v>5</v>
      </c>
      <c r="D183" s="75">
        <v>30</v>
      </c>
      <c r="E183" s="75"/>
      <c r="F183" s="75">
        <v>1.75</v>
      </c>
      <c r="G183" s="75">
        <v>2.3405714285714283</v>
      </c>
      <c r="H183" s="75">
        <v>4.6811428571428566</v>
      </c>
      <c r="I183" s="75">
        <v>9.3622857142857132</v>
      </c>
      <c r="J183" s="75">
        <v>18.724571428571426</v>
      </c>
      <c r="K183" s="75">
        <v>30</v>
      </c>
      <c r="L183" s="75">
        <v>30</v>
      </c>
      <c r="M183" s="75">
        <v>30</v>
      </c>
      <c r="N183" s="75">
        <v>30</v>
      </c>
    </row>
    <row r="184" spans="3:14" hidden="1" x14ac:dyDescent="0.25">
      <c r="C184" s="75">
        <v>5</v>
      </c>
      <c r="D184" s="75">
        <v>30</v>
      </c>
      <c r="E184" s="75"/>
      <c r="F184" s="75">
        <v>2.1</v>
      </c>
      <c r="G184" s="75">
        <v>1.95047619047619</v>
      </c>
      <c r="H184" s="75">
        <v>3.9009523809523801</v>
      </c>
      <c r="I184" s="75">
        <v>7.8019047619047601</v>
      </c>
      <c r="J184" s="75">
        <v>15.60380952380952</v>
      </c>
      <c r="K184" s="75">
        <v>30</v>
      </c>
      <c r="L184" s="75">
        <v>30</v>
      </c>
      <c r="M184" s="75">
        <v>30</v>
      </c>
      <c r="N184" s="75">
        <v>30</v>
      </c>
    </row>
    <row r="185" spans="3:14" hidden="1" x14ac:dyDescent="0.25">
      <c r="C185" s="75">
        <v>5</v>
      </c>
      <c r="D185" s="75">
        <v>30</v>
      </c>
      <c r="E185" s="75"/>
      <c r="F185" s="75">
        <v>2.5</v>
      </c>
      <c r="G185" s="75">
        <v>1.6383999999999999</v>
      </c>
      <c r="H185" s="75">
        <v>3.2767999999999997</v>
      </c>
      <c r="I185" s="75">
        <v>6.5535999999999994</v>
      </c>
      <c r="J185" s="75">
        <v>13.107199999999999</v>
      </c>
      <c r="K185" s="75">
        <v>26.214399999999998</v>
      </c>
      <c r="L185" s="75">
        <v>30</v>
      </c>
      <c r="M185" s="75">
        <v>30</v>
      </c>
      <c r="N185" s="75">
        <v>30</v>
      </c>
    </row>
    <row r="186" spans="3:14" hidden="1" x14ac:dyDescent="0.25">
      <c r="C186" s="75">
        <v>5</v>
      </c>
      <c r="D186" s="75">
        <v>30</v>
      </c>
      <c r="E186" s="75"/>
      <c r="F186" s="75">
        <v>2.75</v>
      </c>
      <c r="G186" s="75">
        <v>1.4894545454545454</v>
      </c>
      <c r="H186" s="75">
        <v>2.9789090909090907</v>
      </c>
      <c r="I186" s="75">
        <v>5.9578181818181815</v>
      </c>
      <c r="J186" s="75">
        <v>11.915636363636363</v>
      </c>
      <c r="K186" s="75">
        <v>23.831272727272726</v>
      </c>
      <c r="L186" s="75">
        <v>30</v>
      </c>
      <c r="M186" s="75">
        <v>30</v>
      </c>
      <c r="N186" s="75">
        <v>30</v>
      </c>
    </row>
    <row r="187" spans="3:14" hidden="1" x14ac:dyDescent="0.25">
      <c r="C187" s="75">
        <v>5</v>
      </c>
      <c r="D187" s="75">
        <v>30</v>
      </c>
      <c r="E187" s="75"/>
      <c r="F187" s="75">
        <v>3</v>
      </c>
      <c r="G187" s="75">
        <v>1.3653333333333333</v>
      </c>
      <c r="H187" s="75">
        <v>2.7306666666666666</v>
      </c>
      <c r="I187" s="75">
        <v>5.4613333333333332</v>
      </c>
      <c r="J187" s="75">
        <v>10.922666666666666</v>
      </c>
      <c r="K187" s="75">
        <v>21.845333333333333</v>
      </c>
      <c r="L187" s="75">
        <v>30</v>
      </c>
      <c r="M187" s="75">
        <v>30</v>
      </c>
      <c r="N187" s="75">
        <v>30</v>
      </c>
    </row>
    <row r="188" spans="3:14" hidden="1" x14ac:dyDescent="0.25">
      <c r="C188" s="75">
        <v>5</v>
      </c>
      <c r="D188" s="75">
        <v>30</v>
      </c>
      <c r="E188" s="75"/>
      <c r="F188" s="75">
        <v>3.25</v>
      </c>
      <c r="G188" s="75">
        <v>1.2603076923076924</v>
      </c>
      <c r="H188" s="75">
        <v>2.5206153846153847</v>
      </c>
      <c r="I188" s="75">
        <v>5.0412307692307694</v>
      </c>
      <c r="J188" s="75">
        <v>10.082461538461539</v>
      </c>
      <c r="K188" s="75">
        <v>20.164923076923078</v>
      </c>
      <c r="L188" s="75">
        <v>30</v>
      </c>
      <c r="M188" s="75">
        <v>30</v>
      </c>
      <c r="N188" s="75">
        <v>30</v>
      </c>
    </row>
    <row r="189" spans="3:14" hidden="1" x14ac:dyDescent="0.25">
      <c r="C189" s="75">
        <v>5</v>
      </c>
      <c r="D189" s="75">
        <v>30</v>
      </c>
      <c r="E189" s="75"/>
      <c r="F189" s="75">
        <v>3.5</v>
      </c>
      <c r="G189" s="75">
        <v>1.1702857142857142</v>
      </c>
      <c r="H189" s="75">
        <v>2.3405714285714283</v>
      </c>
      <c r="I189" s="75">
        <v>4.6811428571428566</v>
      </c>
      <c r="J189" s="75">
        <v>9.3622857142857132</v>
      </c>
      <c r="K189" s="75">
        <v>18.724571428571426</v>
      </c>
      <c r="L189" s="75">
        <v>30</v>
      </c>
      <c r="M189" s="75">
        <v>30</v>
      </c>
      <c r="N189" s="75">
        <v>30</v>
      </c>
    </row>
    <row r="190" spans="3:14" hidden="1" x14ac:dyDescent="0.25">
      <c r="C190" s="75">
        <v>5</v>
      </c>
      <c r="D190" s="75">
        <v>30</v>
      </c>
      <c r="E190" s="75"/>
      <c r="F190" s="75">
        <v>3.75</v>
      </c>
      <c r="G190" s="75">
        <v>1.0922666666666667</v>
      </c>
      <c r="H190" s="75">
        <v>2.1845333333333334</v>
      </c>
      <c r="I190" s="75">
        <v>4.3690666666666669</v>
      </c>
      <c r="J190" s="75">
        <v>8.7381333333333338</v>
      </c>
      <c r="K190" s="75">
        <v>17.476266666666668</v>
      </c>
      <c r="L190" s="75">
        <v>30</v>
      </c>
      <c r="M190" s="75">
        <v>30</v>
      </c>
      <c r="N190" s="75">
        <v>30</v>
      </c>
    </row>
    <row r="191" spans="3:14" hidden="1" x14ac:dyDescent="0.25">
      <c r="C191" s="75">
        <v>5</v>
      </c>
      <c r="D191" s="75">
        <v>30</v>
      </c>
      <c r="E191" s="75"/>
      <c r="F191" s="75">
        <v>4</v>
      </c>
      <c r="G191" s="75">
        <v>1.024</v>
      </c>
      <c r="H191" s="75">
        <v>2.048</v>
      </c>
      <c r="I191" s="75">
        <v>4.0960000000000001</v>
      </c>
      <c r="J191" s="75">
        <v>8.1920000000000002</v>
      </c>
      <c r="K191" s="75">
        <v>16.384</v>
      </c>
      <c r="L191" s="75">
        <v>30</v>
      </c>
      <c r="M191" s="75">
        <v>30</v>
      </c>
      <c r="N191" s="75">
        <v>30</v>
      </c>
    </row>
    <row r="192" spans="3:14" hidden="1" x14ac:dyDescent="0.25">
      <c r="C192" s="75">
        <v>5</v>
      </c>
      <c r="D192" s="75">
        <v>30</v>
      </c>
      <c r="E192" s="75"/>
      <c r="F192" s="75">
        <v>4.33</v>
      </c>
      <c r="G192" s="75">
        <v>1</v>
      </c>
      <c r="H192" s="75">
        <v>1.8919168591224018</v>
      </c>
      <c r="I192" s="75">
        <v>3.7838337182448036</v>
      </c>
      <c r="J192" s="75">
        <v>7.5676674364896073</v>
      </c>
      <c r="K192" s="75">
        <v>15.135334872979215</v>
      </c>
      <c r="L192" s="75">
        <v>30</v>
      </c>
      <c r="M192" s="75">
        <v>30</v>
      </c>
      <c r="N192" s="75">
        <v>30</v>
      </c>
    </row>
    <row r="193" spans="3:14" hidden="1" x14ac:dyDescent="0.25">
      <c r="C193" s="75">
        <v>5</v>
      </c>
      <c r="D193" s="75">
        <v>30</v>
      </c>
      <c r="E193" s="75"/>
      <c r="F193" s="75">
        <v>4.5</v>
      </c>
      <c r="G193" s="75">
        <v>1</v>
      </c>
      <c r="H193" s="75">
        <v>1.8204444444444445</v>
      </c>
      <c r="I193" s="75">
        <v>3.6408888888888891</v>
      </c>
      <c r="J193" s="75">
        <v>7.2817777777777781</v>
      </c>
      <c r="K193" s="75">
        <v>14.563555555555556</v>
      </c>
      <c r="L193" s="75">
        <v>29.127111111111113</v>
      </c>
      <c r="M193" s="75">
        <v>30</v>
      </c>
      <c r="N193" s="75">
        <v>30</v>
      </c>
    </row>
    <row r="194" spans="3:14" hidden="1" x14ac:dyDescent="0.25">
      <c r="C194" s="75">
        <v>5</v>
      </c>
      <c r="D194" s="75">
        <v>30</v>
      </c>
      <c r="E194" s="75"/>
      <c r="F194" s="75">
        <v>4.75</v>
      </c>
      <c r="G194" s="75">
        <v>1</v>
      </c>
      <c r="H194" s="75">
        <v>1.7246315789473683</v>
      </c>
      <c r="I194" s="75">
        <v>3.4492631578947366</v>
      </c>
      <c r="J194" s="75">
        <v>6.8985263157894732</v>
      </c>
      <c r="K194" s="75">
        <v>13.797052631578946</v>
      </c>
      <c r="L194" s="75">
        <v>27.594105263157893</v>
      </c>
      <c r="M194" s="75">
        <v>30</v>
      </c>
      <c r="N194" s="75">
        <v>30</v>
      </c>
    </row>
    <row r="195" spans="3:14" hidden="1" x14ac:dyDescent="0.25">
      <c r="C195" s="75">
        <v>5</v>
      </c>
      <c r="D195" s="75">
        <v>30</v>
      </c>
      <c r="E195" s="75"/>
      <c r="F195" s="75">
        <v>5</v>
      </c>
      <c r="G195" s="75">
        <v>1</v>
      </c>
      <c r="H195" s="75">
        <v>1.6383999999999999</v>
      </c>
      <c r="I195" s="75">
        <v>3.2767999999999997</v>
      </c>
      <c r="J195" s="75">
        <v>6.5535999999999994</v>
      </c>
      <c r="K195" s="75">
        <v>13.107199999999999</v>
      </c>
      <c r="L195" s="75">
        <v>26.214399999999998</v>
      </c>
      <c r="M195" s="75">
        <v>30</v>
      </c>
      <c r="N195" s="75">
        <v>30</v>
      </c>
    </row>
    <row r="196" spans="3:14" hidden="1" x14ac:dyDescent="0.25">
      <c r="C196" s="75">
        <v>5</v>
      </c>
      <c r="D196" s="75">
        <v>30</v>
      </c>
      <c r="E196" s="75"/>
      <c r="F196" s="75">
        <v>5.25</v>
      </c>
      <c r="G196" s="75">
        <v>1</v>
      </c>
      <c r="H196" s="75">
        <v>1.5603809523809522</v>
      </c>
      <c r="I196" s="75">
        <v>3.1207619047619044</v>
      </c>
      <c r="J196" s="75">
        <v>6.2415238095238088</v>
      </c>
      <c r="K196" s="75">
        <v>12.483047619047618</v>
      </c>
      <c r="L196" s="75">
        <v>24.966095238095235</v>
      </c>
      <c r="M196" s="75">
        <v>30</v>
      </c>
      <c r="N196" s="75">
        <v>30</v>
      </c>
    </row>
    <row r="197" spans="3:14" hidden="1" x14ac:dyDescent="0.25">
      <c r="C197" s="75">
        <v>5</v>
      </c>
      <c r="D197" s="75">
        <v>30</v>
      </c>
      <c r="E197" s="75"/>
      <c r="F197" s="75">
        <v>5.5</v>
      </c>
      <c r="G197" s="75">
        <v>1</v>
      </c>
      <c r="H197" s="75">
        <v>1.4894545454545454</v>
      </c>
      <c r="I197" s="75">
        <v>2.9789090909090907</v>
      </c>
      <c r="J197" s="75">
        <v>5.9578181818181815</v>
      </c>
      <c r="K197" s="75">
        <v>11.915636363636363</v>
      </c>
      <c r="L197" s="75">
        <v>23.831272727272726</v>
      </c>
      <c r="M197" s="75">
        <v>30</v>
      </c>
      <c r="N197" s="75">
        <v>30</v>
      </c>
    </row>
    <row r="198" spans="3:14" hidden="1" x14ac:dyDescent="0.25">
      <c r="C198" s="75">
        <v>5</v>
      </c>
      <c r="D198" s="75">
        <v>30</v>
      </c>
      <c r="E198" s="75"/>
      <c r="F198" s="75">
        <v>5.75</v>
      </c>
      <c r="G198" s="75">
        <v>1</v>
      </c>
      <c r="H198" s="75">
        <v>1.4246956521739129</v>
      </c>
      <c r="I198" s="75">
        <v>2.8493913043478258</v>
      </c>
      <c r="J198" s="75">
        <v>5.6987826086956517</v>
      </c>
      <c r="K198" s="75">
        <v>11.397565217391303</v>
      </c>
      <c r="L198" s="75">
        <v>22.795130434782607</v>
      </c>
      <c r="M198" s="75">
        <v>30</v>
      </c>
      <c r="N198" s="75">
        <v>30</v>
      </c>
    </row>
    <row r="199" spans="3:14" hidden="1" x14ac:dyDescent="0.25">
      <c r="C199" s="75">
        <v>5</v>
      </c>
      <c r="D199" s="75">
        <v>30</v>
      </c>
      <c r="E199" s="75"/>
      <c r="F199" s="75">
        <v>6</v>
      </c>
      <c r="G199" s="75">
        <v>1</v>
      </c>
      <c r="H199" s="75">
        <v>1.3653333333333333</v>
      </c>
      <c r="I199" s="75">
        <v>2.7306666666666666</v>
      </c>
      <c r="J199" s="75">
        <v>5.4613333333333332</v>
      </c>
      <c r="K199" s="75">
        <v>10.922666666666666</v>
      </c>
      <c r="L199" s="75">
        <v>21.845333333333333</v>
      </c>
      <c r="M199" s="75">
        <v>30</v>
      </c>
      <c r="N199" s="75">
        <v>30</v>
      </c>
    </row>
    <row r="200" spans="3:14" hidden="1" x14ac:dyDescent="0.25">
      <c r="C200" s="75">
        <v>5</v>
      </c>
      <c r="D200" s="75">
        <v>30</v>
      </c>
      <c r="E200" s="75"/>
      <c r="F200" s="75">
        <v>6.25</v>
      </c>
      <c r="G200" s="75">
        <v>1</v>
      </c>
      <c r="H200" s="75">
        <v>1.3107199999999999</v>
      </c>
      <c r="I200" s="75">
        <v>2.6214399999999998</v>
      </c>
      <c r="J200" s="75">
        <v>5.2428799999999995</v>
      </c>
      <c r="K200" s="75">
        <v>10.485759999999999</v>
      </c>
      <c r="L200" s="75">
        <v>20.971519999999998</v>
      </c>
      <c r="M200" s="75">
        <v>30</v>
      </c>
      <c r="N200" s="75">
        <v>30</v>
      </c>
    </row>
    <row r="201" spans="3:14" hidden="1" x14ac:dyDescent="0.25">
      <c r="C201" s="75">
        <v>5</v>
      </c>
      <c r="D201" s="75">
        <v>30</v>
      </c>
      <c r="E201" s="75"/>
      <c r="F201" s="75">
        <v>6.5</v>
      </c>
      <c r="G201" s="75">
        <v>1</v>
      </c>
      <c r="H201" s="75">
        <v>1.2603076923076924</v>
      </c>
      <c r="I201" s="75">
        <v>2.5206153846153847</v>
      </c>
      <c r="J201" s="75">
        <v>5.0412307692307694</v>
      </c>
      <c r="K201" s="75">
        <v>10.082461538461539</v>
      </c>
      <c r="L201" s="75">
        <v>20.164923076923078</v>
      </c>
      <c r="M201" s="75">
        <v>30</v>
      </c>
      <c r="N201" s="75">
        <v>30</v>
      </c>
    </row>
    <row r="202" spans="3:14" hidden="1" x14ac:dyDescent="0.25">
      <c r="C202" s="75">
        <v>5</v>
      </c>
      <c r="D202" s="75">
        <v>30</v>
      </c>
      <c r="E202" s="75"/>
      <c r="F202" s="75">
        <v>6.75</v>
      </c>
      <c r="G202" s="75">
        <v>1</v>
      </c>
      <c r="H202" s="75">
        <v>1.2136296296296296</v>
      </c>
      <c r="I202" s="75">
        <v>2.4272592592592592</v>
      </c>
      <c r="J202" s="75">
        <v>4.8545185185185185</v>
      </c>
      <c r="K202" s="75">
        <v>9.7090370370370369</v>
      </c>
      <c r="L202" s="75">
        <v>19.418074074074074</v>
      </c>
      <c r="M202" s="75">
        <v>30</v>
      </c>
      <c r="N202" s="75">
        <v>30</v>
      </c>
    </row>
    <row r="203" spans="3:14" hidden="1" x14ac:dyDescent="0.25">
      <c r="C203" s="75">
        <v>5</v>
      </c>
      <c r="D203" s="75">
        <v>30</v>
      </c>
      <c r="E203" s="75"/>
      <c r="F203" s="75">
        <v>7</v>
      </c>
      <c r="G203" s="75">
        <v>1</v>
      </c>
      <c r="H203" s="75">
        <v>1.1702857142857142</v>
      </c>
      <c r="I203" s="75">
        <v>2.3405714285714283</v>
      </c>
      <c r="J203" s="75">
        <v>4.6811428571428566</v>
      </c>
      <c r="K203" s="75">
        <v>9.3622857142857132</v>
      </c>
      <c r="L203" s="75">
        <v>18.724571428571426</v>
      </c>
      <c r="M203" s="75">
        <v>30</v>
      </c>
      <c r="N203" s="75">
        <v>30</v>
      </c>
    </row>
    <row r="204" spans="3:14" hidden="1" x14ac:dyDescent="0.25">
      <c r="C204" s="75">
        <v>5</v>
      </c>
      <c r="D204" s="75">
        <v>30</v>
      </c>
      <c r="E204" s="75"/>
      <c r="F204" s="75">
        <v>7.25</v>
      </c>
      <c r="G204" s="75">
        <v>1</v>
      </c>
      <c r="H204" s="75">
        <v>1.1299310344827584</v>
      </c>
      <c r="I204" s="75">
        <v>2.2598620689655169</v>
      </c>
      <c r="J204" s="75">
        <v>4.5197241379310338</v>
      </c>
      <c r="K204" s="75">
        <v>9.0394482758620676</v>
      </c>
      <c r="L204" s="75">
        <v>18.078896551724135</v>
      </c>
      <c r="M204" s="75">
        <v>30</v>
      </c>
      <c r="N204" s="75">
        <v>30</v>
      </c>
    </row>
    <row r="205" spans="3:14" hidden="1" x14ac:dyDescent="0.25">
      <c r="C205" s="75">
        <v>5</v>
      </c>
      <c r="D205" s="75">
        <v>30</v>
      </c>
      <c r="E205" s="75"/>
      <c r="F205" s="75">
        <v>7.5</v>
      </c>
      <c r="G205" s="75">
        <v>1</v>
      </c>
      <c r="H205" s="75">
        <v>1.0922666666666667</v>
      </c>
      <c r="I205" s="75">
        <v>2.1845333333333334</v>
      </c>
      <c r="J205" s="75">
        <v>4.3690666666666669</v>
      </c>
      <c r="K205" s="75">
        <v>8.7381333333333338</v>
      </c>
      <c r="L205" s="75">
        <v>17.476266666666668</v>
      </c>
      <c r="M205" s="75">
        <v>30</v>
      </c>
      <c r="N205" s="75">
        <v>30</v>
      </c>
    </row>
    <row r="206" spans="3:14" hidden="1" x14ac:dyDescent="0.25">
      <c r="C206" s="75">
        <v>5</v>
      </c>
      <c r="D206" s="75">
        <v>30</v>
      </c>
      <c r="E206" s="75"/>
      <c r="F206" s="75">
        <v>7.75</v>
      </c>
      <c r="G206" s="75">
        <v>1</v>
      </c>
      <c r="H206" s="75">
        <v>1.0570322580645162</v>
      </c>
      <c r="I206" s="75">
        <v>2.1140645161290323</v>
      </c>
      <c r="J206" s="75">
        <v>4.2281290322580647</v>
      </c>
      <c r="K206" s="75">
        <v>8.4562580645161294</v>
      </c>
      <c r="L206" s="75">
        <v>16.912516129032259</v>
      </c>
      <c r="M206" s="75">
        <v>30</v>
      </c>
      <c r="N206" s="75">
        <v>30</v>
      </c>
    </row>
    <row r="207" spans="3:14" hidden="1" x14ac:dyDescent="0.25">
      <c r="C207" s="75">
        <v>5</v>
      </c>
      <c r="D207" s="75">
        <v>30</v>
      </c>
      <c r="E207" s="75"/>
      <c r="F207" s="75">
        <v>8</v>
      </c>
      <c r="G207" s="75">
        <v>1</v>
      </c>
      <c r="H207" s="75">
        <v>1.024</v>
      </c>
      <c r="I207" s="75">
        <v>2.048</v>
      </c>
      <c r="J207" s="75">
        <v>4.0960000000000001</v>
      </c>
      <c r="K207" s="75">
        <v>8.1920000000000002</v>
      </c>
      <c r="L207" s="75">
        <v>16.384</v>
      </c>
      <c r="M207" s="75">
        <v>30</v>
      </c>
      <c r="N207" s="75">
        <v>30</v>
      </c>
    </row>
    <row r="208" spans="3:14" hidden="1" x14ac:dyDescent="0.25">
      <c r="C208" s="75">
        <v>5</v>
      </c>
      <c r="D208" s="75">
        <v>30</v>
      </c>
      <c r="E208" s="75"/>
      <c r="F208" s="75">
        <v>8.25</v>
      </c>
      <c r="G208" s="75">
        <v>1</v>
      </c>
      <c r="H208" s="75">
        <v>1</v>
      </c>
      <c r="I208" s="75">
        <v>1.9859393939393937</v>
      </c>
      <c r="J208" s="75">
        <v>3.9718787878787873</v>
      </c>
      <c r="K208" s="75">
        <v>7.9437575757575747</v>
      </c>
      <c r="L208" s="75">
        <v>15.887515151515149</v>
      </c>
      <c r="M208" s="75">
        <v>30</v>
      </c>
      <c r="N208" s="75">
        <v>30</v>
      </c>
    </row>
    <row r="209" spans="3:19" hidden="1" x14ac:dyDescent="0.25">
      <c r="C209" s="75">
        <v>5</v>
      </c>
      <c r="D209" s="75">
        <v>30</v>
      </c>
      <c r="E209" s="75"/>
      <c r="F209" s="75">
        <v>8.5</v>
      </c>
      <c r="G209" s="75">
        <v>1</v>
      </c>
      <c r="H209" s="75">
        <v>1</v>
      </c>
      <c r="I209" s="75">
        <v>1.9275294117647057</v>
      </c>
      <c r="J209" s="75">
        <v>3.8550588235294114</v>
      </c>
      <c r="K209" s="75">
        <v>7.7101176470588229</v>
      </c>
      <c r="L209" s="75">
        <v>15.420235294117646</v>
      </c>
      <c r="M209" s="75">
        <v>30</v>
      </c>
      <c r="N209" s="75">
        <v>30</v>
      </c>
    </row>
    <row r="210" spans="3:19" hidden="1" x14ac:dyDescent="0.25">
      <c r="C210" s="75">
        <v>5</v>
      </c>
      <c r="D210" s="75">
        <v>30</v>
      </c>
      <c r="E210" s="75"/>
      <c r="F210" s="75">
        <v>9</v>
      </c>
      <c r="G210" s="75">
        <v>1</v>
      </c>
      <c r="H210" s="75">
        <v>1</v>
      </c>
      <c r="I210" s="75">
        <v>1.8204444444444445</v>
      </c>
      <c r="J210" s="75">
        <v>3.6408888888888891</v>
      </c>
      <c r="K210" s="75">
        <v>7.2817777777777781</v>
      </c>
      <c r="L210" s="75">
        <v>14.563555555555556</v>
      </c>
      <c r="M210" s="75">
        <v>29.127111111111113</v>
      </c>
      <c r="N210" s="75">
        <v>30</v>
      </c>
    </row>
    <row r="211" spans="3:19" hidden="1" x14ac:dyDescent="0.25"/>
    <row r="212" spans="3:19" hidden="1" x14ac:dyDescent="0.25"/>
    <row r="213" spans="3:19" hidden="1" x14ac:dyDescent="0.25">
      <c r="C213" s="574" t="s">
        <v>1580</v>
      </c>
    </row>
    <row r="214" spans="3:19" hidden="1" x14ac:dyDescent="0.25">
      <c r="C214" s="309" t="s">
        <v>1577</v>
      </c>
      <c r="D214" s="309" t="s">
        <v>1578</v>
      </c>
      <c r="M214" s="75" t="s">
        <v>1047</v>
      </c>
      <c r="N214" s="575">
        <f>C101</f>
        <v>18</v>
      </c>
      <c r="O214" s="615" t="s">
        <v>96</v>
      </c>
      <c r="P214" s="75"/>
    </row>
    <row r="215" spans="3:19" hidden="1" x14ac:dyDescent="0.25">
      <c r="C215" s="118">
        <v>0</v>
      </c>
      <c r="D215" s="495">
        <v>1</v>
      </c>
      <c r="M215" s="75" t="s">
        <v>1048</v>
      </c>
      <c r="N215" s="575">
        <f>C113</f>
        <v>14</v>
      </c>
      <c r="O215" s="75" t="s">
        <v>34</v>
      </c>
      <c r="P215" s="75"/>
    </row>
    <row r="216" spans="3:19" hidden="1" x14ac:dyDescent="0.25">
      <c r="C216" s="118">
        <v>1</v>
      </c>
      <c r="D216" s="495">
        <v>1.0625</v>
      </c>
      <c r="M216" s="75"/>
      <c r="N216" s="75"/>
      <c r="O216" s="75"/>
      <c r="P216" s="75"/>
    </row>
    <row r="217" spans="3:19" hidden="1" x14ac:dyDescent="0.25">
      <c r="C217" s="118">
        <v>2</v>
      </c>
      <c r="D217" s="495">
        <v>1.1875</v>
      </c>
      <c r="M217" s="574" t="s">
        <v>967</v>
      </c>
      <c r="N217" s="574" t="s">
        <v>968</v>
      </c>
      <c r="O217" s="574" t="s">
        <v>966</v>
      </c>
      <c r="P217" s="574" t="s">
        <v>969</v>
      </c>
      <c r="R217" s="574" t="s">
        <v>971</v>
      </c>
      <c r="S217" s="574" t="s">
        <v>970</v>
      </c>
    </row>
    <row r="218" spans="3:19" hidden="1" x14ac:dyDescent="0.25">
      <c r="C218" s="118">
        <v>3</v>
      </c>
      <c r="D218" s="495">
        <v>1.3125</v>
      </c>
      <c r="M218" s="573">
        <v>3.0000000000000001E-3</v>
      </c>
      <c r="N218" s="573">
        <f>M218*N$215</f>
        <v>4.2000000000000003E-2</v>
      </c>
      <c r="O218" s="573">
        <f>(0.00406832344757895+15.5588911/(1+(N$215/0.0358077078721068)^0.865185989584669))+(0.973523646945684-1.1322846019223/(1+(N$215/1.1356393338887)^1.06847511981245))*(1-EXP(-(10.3324121181807-56.0213701830392/(1+(N$215/0.0139455036722347)^0.572123422421793))*M218))</f>
        <v>0.11727880770401153</v>
      </c>
      <c r="P218" s="80">
        <f>O218*N$214</f>
        <v>2.1110185386722073</v>
      </c>
      <c r="R218" s="575">
        <f>C116</f>
        <v>14</v>
      </c>
      <c r="S218" s="573">
        <v>0</v>
      </c>
    </row>
    <row r="219" spans="3:19" hidden="1" x14ac:dyDescent="0.25">
      <c r="C219" s="118">
        <v>4</v>
      </c>
      <c r="D219" s="495">
        <v>1.4375</v>
      </c>
      <c r="M219" s="573">
        <f>M218*1.223</f>
        <v>3.6690000000000004E-3</v>
      </c>
      <c r="N219" s="573">
        <f t="shared" ref="N219:N247" si="1">M219*N$215</f>
        <v>5.1366000000000009E-2</v>
      </c>
      <c r="O219" s="573">
        <f t="shared" ref="O219:O247" si="2">(0.00406832344757895+15.5588911/(1+(N$215/0.0358077078721068)^0.865185989584669))+(0.973523646945684-1.1322846019223/(1+(N$215/1.1356393338887)^1.06847511981245))*(1-EXP(-(10.3324121181807-56.0213701830392/(1+(N$215/0.0139455036722347)^0.572123422421793))*M219))</f>
        <v>0.12270207941999556</v>
      </c>
      <c r="P219" s="80">
        <f t="shared" ref="P219:P247" si="3">O219*N$214</f>
        <v>2.20863742955992</v>
      </c>
      <c r="R219" s="575">
        <f>R218</f>
        <v>14</v>
      </c>
      <c r="S219" s="573">
        <f>C119*N214</f>
        <v>17.884633680788379</v>
      </c>
    </row>
    <row r="220" spans="3:19" hidden="1" x14ac:dyDescent="0.25">
      <c r="C220" s="118">
        <v>5</v>
      </c>
      <c r="D220" s="495">
        <v>1.5625</v>
      </c>
      <c r="M220" s="573">
        <f t="shared" ref="M220:M247" si="4">M219*1.223</f>
        <v>4.487187000000001E-3</v>
      </c>
      <c r="N220" s="573">
        <f t="shared" si="1"/>
        <v>6.2820618000000009E-2</v>
      </c>
      <c r="O220" s="573">
        <f t="shared" si="2"/>
        <v>0.12928914143141942</v>
      </c>
      <c r="P220" s="80">
        <f t="shared" si="3"/>
        <v>2.3272045457655497</v>
      </c>
      <c r="R220" s="75">
        <v>0</v>
      </c>
      <c r="S220" s="573">
        <f>S219</f>
        <v>17.884633680788379</v>
      </c>
    </row>
    <row r="221" spans="3:19" hidden="1" x14ac:dyDescent="0.25">
      <c r="C221" s="118">
        <v>6</v>
      </c>
      <c r="D221" s="495">
        <v>1.6875</v>
      </c>
      <c r="M221" s="573">
        <f t="shared" si="4"/>
        <v>5.4878297010000016E-3</v>
      </c>
      <c r="N221" s="573">
        <f t="shared" si="1"/>
        <v>7.6829615814000024E-2</v>
      </c>
      <c r="O221" s="573">
        <f t="shared" si="2"/>
        <v>0.13727743673112888</v>
      </c>
      <c r="P221" s="80">
        <f t="shared" si="3"/>
        <v>2.4709938611603199</v>
      </c>
    </row>
    <row r="222" spans="3:19" hidden="1" x14ac:dyDescent="0.25">
      <c r="C222" s="118">
        <v>7</v>
      </c>
      <c r="D222" s="495">
        <v>1.8125</v>
      </c>
      <c r="M222" s="573">
        <f t="shared" si="4"/>
        <v>6.7116157243230024E-3</v>
      </c>
      <c r="N222" s="573">
        <f t="shared" si="1"/>
        <v>9.3962620140522035E-2</v>
      </c>
      <c r="O222" s="573">
        <f t="shared" si="2"/>
        <v>0.14694683652070553</v>
      </c>
      <c r="P222" s="80">
        <f t="shared" si="3"/>
        <v>2.6450430573726997</v>
      </c>
      <c r="R222" s="574" t="s">
        <v>972</v>
      </c>
      <c r="S222" s="574" t="s">
        <v>973</v>
      </c>
    </row>
    <row r="223" spans="3:19" hidden="1" x14ac:dyDescent="0.25">
      <c r="C223" s="118">
        <v>8</v>
      </c>
      <c r="D223" s="495">
        <v>2</v>
      </c>
      <c r="M223" s="573">
        <f t="shared" si="4"/>
        <v>8.2083060308470318E-3</v>
      </c>
      <c r="N223" s="573">
        <f t="shared" si="1"/>
        <v>0.11491628443185845</v>
      </c>
      <c r="O223" s="573">
        <f t="shared" si="2"/>
        <v>0.15862422852250946</v>
      </c>
      <c r="P223" s="80">
        <f t="shared" si="3"/>
        <v>2.8552361134051703</v>
      </c>
      <c r="R223" s="575">
        <f>C117</f>
        <v>1.5</v>
      </c>
      <c r="S223" s="573">
        <v>0</v>
      </c>
    </row>
    <row r="224" spans="3:19" hidden="1" x14ac:dyDescent="0.25">
      <c r="C224" s="118">
        <v>9</v>
      </c>
      <c r="D224" s="495">
        <v>2.125</v>
      </c>
      <c r="M224" s="573">
        <f t="shared" si="4"/>
        <v>1.0038758275725921E-2</v>
      </c>
      <c r="N224" s="573">
        <f t="shared" si="1"/>
        <v>0.14054261586016289</v>
      </c>
      <c r="O224" s="573">
        <f t="shared" si="2"/>
        <v>0.17268698485860962</v>
      </c>
      <c r="P224" s="80">
        <f t="shared" si="3"/>
        <v>3.1083657274549732</v>
      </c>
      <c r="R224" s="575">
        <f>R223</f>
        <v>1.5</v>
      </c>
      <c r="S224" s="573">
        <f>C124*N214</f>
        <v>11.883890812388973</v>
      </c>
    </row>
    <row r="225" spans="3:19" hidden="1" x14ac:dyDescent="0.25">
      <c r="C225" s="118">
        <v>10</v>
      </c>
      <c r="D225" s="495">
        <v>2.375</v>
      </c>
      <c r="M225" s="573">
        <f t="shared" si="4"/>
        <v>1.2277401371212802E-2</v>
      </c>
      <c r="N225" s="573">
        <f t="shared" si="1"/>
        <v>0.17188361919697923</v>
      </c>
      <c r="O225" s="573">
        <f t="shared" si="2"/>
        <v>0.18956420830580498</v>
      </c>
      <c r="P225" s="80">
        <f t="shared" si="3"/>
        <v>3.4121557495044894</v>
      </c>
      <c r="R225" s="75">
        <v>0</v>
      </c>
      <c r="S225" s="573">
        <f>S224</f>
        <v>11.883890812388973</v>
      </c>
    </row>
    <row r="226" spans="3:19" hidden="1" x14ac:dyDescent="0.25">
      <c r="C226" s="118">
        <v>11</v>
      </c>
      <c r="D226" s="495">
        <v>2.625</v>
      </c>
      <c r="M226" s="573">
        <f t="shared" si="4"/>
        <v>1.5015261876993258E-2</v>
      </c>
      <c r="N226" s="573">
        <f t="shared" si="1"/>
        <v>0.21021366627790561</v>
      </c>
      <c r="O226" s="573">
        <f t="shared" si="2"/>
        <v>0.20973414647260347</v>
      </c>
      <c r="P226" s="80">
        <f t="shared" si="3"/>
        <v>3.7752146365068624</v>
      </c>
    </row>
    <row r="227" spans="3:19" hidden="1" x14ac:dyDescent="0.25">
      <c r="C227" s="118">
        <v>12</v>
      </c>
      <c r="D227" s="495">
        <v>2.875</v>
      </c>
      <c r="M227" s="573">
        <f t="shared" si="4"/>
        <v>1.8363665275562754E-2</v>
      </c>
      <c r="N227" s="573">
        <f t="shared" si="1"/>
        <v>0.25709131385787853</v>
      </c>
      <c r="O227" s="573">
        <f t="shared" si="2"/>
        <v>0.23371552169662285</v>
      </c>
      <c r="P227" s="80">
        <f t="shared" si="3"/>
        <v>4.2068793905392114</v>
      </c>
    </row>
    <row r="228" spans="3:19" hidden="1" x14ac:dyDescent="0.25">
      <c r="C228" s="118">
        <v>13</v>
      </c>
      <c r="D228" s="495">
        <v>3.125</v>
      </c>
      <c r="M228" s="573">
        <f t="shared" si="4"/>
        <v>2.2458762632013251E-2</v>
      </c>
      <c r="N228" s="573">
        <f t="shared" si="1"/>
        <v>0.31442267684818553</v>
      </c>
      <c r="O228" s="573">
        <f t="shared" si="2"/>
        <v>0.26204978223623449</v>
      </c>
      <c r="P228" s="80">
        <f t="shared" si="3"/>
        <v>4.7168960802522211</v>
      </c>
    </row>
    <row r="229" spans="3:19" hidden="1" x14ac:dyDescent="0.25">
      <c r="C229" s="118">
        <v>14</v>
      </c>
      <c r="D229" s="495">
        <v>3.375</v>
      </c>
      <c r="M229" s="573">
        <f t="shared" si="4"/>
        <v>2.7467066698952207E-2</v>
      </c>
      <c r="N229" s="573">
        <f t="shared" si="1"/>
        <v>0.38453893378533088</v>
      </c>
      <c r="O229" s="573">
        <f t="shared" si="2"/>
        <v>0.29527054288973031</v>
      </c>
      <c r="P229" s="80">
        <f t="shared" si="3"/>
        <v>5.3148697720151459</v>
      </c>
    </row>
    <row r="230" spans="3:19" hidden="1" x14ac:dyDescent="0.25">
      <c r="C230" s="118">
        <v>15</v>
      </c>
      <c r="D230" s="495">
        <v>3.625</v>
      </c>
      <c r="M230" s="573">
        <f t="shared" si="4"/>
        <v>3.3592222572818554E-2</v>
      </c>
      <c r="N230" s="573">
        <f t="shared" si="1"/>
        <v>0.47029111601945978</v>
      </c>
      <c r="O230" s="573">
        <f t="shared" si="2"/>
        <v>0.33385598475764633</v>
      </c>
      <c r="P230" s="80">
        <f t="shared" si="3"/>
        <v>6.0094077256376339</v>
      </c>
    </row>
    <row r="231" spans="3:19" hidden="1" x14ac:dyDescent="0.25">
      <c r="C231" s="118">
        <v>16</v>
      </c>
      <c r="D231" s="495">
        <v>4</v>
      </c>
      <c r="M231" s="573">
        <f t="shared" si="4"/>
        <v>4.1083288206557093E-2</v>
      </c>
      <c r="N231" s="573">
        <f t="shared" si="1"/>
        <v>0.57516603489179929</v>
      </c>
      <c r="O231" s="573">
        <f t="shared" si="2"/>
        <v>0.37816016111274531</v>
      </c>
      <c r="P231" s="80">
        <f t="shared" si="3"/>
        <v>6.8068829000294153</v>
      </c>
    </row>
    <row r="232" spans="3:19" hidden="1" x14ac:dyDescent="0.25">
      <c r="C232" s="118">
        <v>17</v>
      </c>
      <c r="D232" s="495">
        <v>4.25</v>
      </c>
      <c r="M232" s="573">
        <f t="shared" si="4"/>
        <v>5.0244861476619329E-2</v>
      </c>
      <c r="N232" s="573">
        <f t="shared" si="1"/>
        <v>0.70342806067267061</v>
      </c>
      <c r="O232" s="573">
        <f t="shared" si="2"/>
        <v>0.42832072173021385</v>
      </c>
      <c r="P232" s="80">
        <f t="shared" si="3"/>
        <v>7.7097729911438488</v>
      </c>
    </row>
    <row r="233" spans="3:19" hidden="1" x14ac:dyDescent="0.25">
      <c r="C233" s="118">
        <v>18</v>
      </c>
      <c r="D233" s="495">
        <v>4.75</v>
      </c>
      <c r="M233" s="573">
        <f t="shared" si="4"/>
        <v>6.1449465585905444E-2</v>
      </c>
      <c r="N233" s="573">
        <f t="shared" si="1"/>
        <v>0.86029251820267616</v>
      </c>
      <c r="O233" s="573">
        <f t="shared" si="2"/>
        <v>0.48414453017452974</v>
      </c>
      <c r="P233" s="80">
        <f t="shared" si="3"/>
        <v>8.7146015431415353</v>
      </c>
    </row>
    <row r="234" spans="3:19" hidden="1" x14ac:dyDescent="0.25">
      <c r="C234" s="118">
        <v>19</v>
      </c>
      <c r="D234" s="495">
        <v>5.25</v>
      </c>
      <c r="M234" s="573">
        <f t="shared" si="4"/>
        <v>7.5152696411562359E-2</v>
      </c>
      <c r="N234" s="573">
        <f t="shared" si="1"/>
        <v>1.0521377497618731</v>
      </c>
      <c r="O234" s="573">
        <f t="shared" si="2"/>
        <v>0.5449801643760287</v>
      </c>
      <c r="P234" s="80">
        <f t="shared" si="3"/>
        <v>9.8096429587685172</v>
      </c>
    </row>
    <row r="235" spans="3:19" hidden="1" x14ac:dyDescent="0.25">
      <c r="C235" s="118">
        <v>20</v>
      </c>
      <c r="D235" s="495">
        <v>5.75</v>
      </c>
      <c r="M235" s="573">
        <f t="shared" si="4"/>
        <v>9.1911747711340766E-2</v>
      </c>
      <c r="N235" s="573">
        <f t="shared" si="1"/>
        <v>1.2867644679587706</v>
      </c>
      <c r="O235" s="573">
        <f t="shared" si="2"/>
        <v>0.60959815388185534</v>
      </c>
      <c r="P235" s="80">
        <f t="shared" si="3"/>
        <v>10.972766769873395</v>
      </c>
    </row>
    <row r="236" spans="3:19" hidden="1" x14ac:dyDescent="0.25">
      <c r="C236" s="118">
        <v>21</v>
      </c>
      <c r="D236" s="495">
        <v>6.25</v>
      </c>
      <c r="M236" s="573">
        <f t="shared" si="4"/>
        <v>0.11240806745096976</v>
      </c>
      <c r="N236" s="573">
        <f t="shared" si="1"/>
        <v>1.5737129443135767</v>
      </c>
      <c r="O236" s="573">
        <f t="shared" si="2"/>
        <v>0.67611533241136035</v>
      </c>
      <c r="P236" s="80">
        <f t="shared" si="3"/>
        <v>12.170075983404486</v>
      </c>
    </row>
    <row r="237" spans="3:19" hidden="1" x14ac:dyDescent="0.25">
      <c r="C237" s="118">
        <v>22</v>
      </c>
      <c r="D237" s="495">
        <v>6.75</v>
      </c>
      <c r="M237" s="573">
        <f t="shared" si="4"/>
        <v>0.13747506649253602</v>
      </c>
      <c r="N237" s="573">
        <f t="shared" si="1"/>
        <v>1.9246509308955042</v>
      </c>
      <c r="O237" s="573">
        <f t="shared" si="2"/>
        <v>0.74201490061789832</v>
      </c>
      <c r="P237" s="80">
        <f t="shared" si="3"/>
        <v>13.35626821112217</v>
      </c>
    </row>
    <row r="238" spans="3:19" hidden="1" x14ac:dyDescent="0.25">
      <c r="C238" s="118">
        <v>23</v>
      </c>
      <c r="D238" s="495">
        <v>7.25</v>
      </c>
      <c r="M238" s="573">
        <f t="shared" si="4"/>
        <v>0.16813200632037156</v>
      </c>
      <c r="N238" s="573">
        <f t="shared" si="1"/>
        <v>2.353848088485202</v>
      </c>
      <c r="O238" s="573">
        <f t="shared" si="2"/>
        <v>0.80431948837251233</v>
      </c>
      <c r="P238" s="80">
        <f t="shared" si="3"/>
        <v>14.477750790705223</v>
      </c>
    </row>
    <row r="239" spans="3:19" hidden="1" x14ac:dyDescent="0.25">
      <c r="C239" s="118">
        <v>24</v>
      </c>
      <c r="D239" s="495">
        <v>8</v>
      </c>
      <c r="M239" s="573">
        <f t="shared" si="4"/>
        <v>0.20562544372981445</v>
      </c>
      <c r="N239" s="573">
        <f t="shared" si="1"/>
        <v>2.8787562122174024</v>
      </c>
      <c r="O239" s="573">
        <f t="shared" si="2"/>
        <v>0.85995605659618435</v>
      </c>
      <c r="P239" s="80">
        <f t="shared" si="3"/>
        <v>15.479209018731318</v>
      </c>
    </row>
    <row r="240" spans="3:19" hidden="1" x14ac:dyDescent="0.25">
      <c r="C240" s="118">
        <v>25</v>
      </c>
      <c r="D240" s="495">
        <v>8.5</v>
      </c>
      <c r="M240" s="573">
        <f t="shared" si="4"/>
        <v>0.25147991768156308</v>
      </c>
      <c r="N240" s="573">
        <f t="shared" si="1"/>
        <v>3.5207188475418834</v>
      </c>
      <c r="O240" s="573">
        <f t="shared" si="2"/>
        <v>0.90629420264007132</v>
      </c>
      <c r="P240" s="80">
        <f t="shared" si="3"/>
        <v>16.313295647521283</v>
      </c>
    </row>
    <row r="241" spans="3:16" hidden="1" x14ac:dyDescent="0.25">
      <c r="C241" s="118">
        <v>26</v>
      </c>
      <c r="D241" s="495">
        <v>9.5</v>
      </c>
      <c r="M241" s="573">
        <f t="shared" si="4"/>
        <v>0.30755993932455167</v>
      </c>
      <c r="N241" s="573">
        <f t="shared" si="1"/>
        <v>4.305839150543723</v>
      </c>
      <c r="O241" s="573">
        <f t="shared" si="2"/>
        <v>0.94174313654125708</v>
      </c>
      <c r="P241" s="80">
        <f t="shared" si="3"/>
        <v>16.951376457742626</v>
      </c>
    </row>
    <row r="242" spans="3:16" hidden="1" x14ac:dyDescent="0.25">
      <c r="C242" s="118">
        <v>27</v>
      </c>
      <c r="D242" s="495">
        <v>10.5</v>
      </c>
      <c r="M242" s="573">
        <f t="shared" si="4"/>
        <v>0.3761458057939267</v>
      </c>
      <c r="N242" s="573">
        <f t="shared" si="1"/>
        <v>5.2660412811149735</v>
      </c>
      <c r="O242" s="573">
        <f t="shared" si="2"/>
        <v>0.96619238601514001</v>
      </c>
      <c r="P242" s="80">
        <f t="shared" si="3"/>
        <v>17.391462948272519</v>
      </c>
    </row>
    <row r="243" spans="3:16" hidden="1" x14ac:dyDescent="0.25">
      <c r="C243" s="118">
        <v>28</v>
      </c>
      <c r="D243" s="495">
        <v>11.5</v>
      </c>
      <c r="M243" s="573">
        <f t="shared" si="4"/>
        <v>0.46002632048597236</v>
      </c>
      <c r="N243" s="573">
        <f t="shared" si="1"/>
        <v>6.4403684868036128</v>
      </c>
      <c r="O243" s="573">
        <f t="shared" si="2"/>
        <v>0.9810552418495827</v>
      </c>
      <c r="P243" s="80">
        <f t="shared" si="3"/>
        <v>17.658994353292488</v>
      </c>
    </row>
    <row r="244" spans="3:16" hidden="1" x14ac:dyDescent="0.25">
      <c r="C244" s="118">
        <v>29</v>
      </c>
      <c r="D244" s="495">
        <v>12.5</v>
      </c>
      <c r="M244" s="573">
        <f t="shared" si="4"/>
        <v>0.56261218995434426</v>
      </c>
      <c r="N244" s="573">
        <f t="shared" si="1"/>
        <v>7.8765706593608193</v>
      </c>
      <c r="O244" s="573">
        <f t="shared" si="2"/>
        <v>0.98880340972927294</v>
      </c>
      <c r="P244" s="80">
        <f t="shared" si="3"/>
        <v>17.798461375126912</v>
      </c>
    </row>
    <row r="245" spans="3:16" hidden="1" x14ac:dyDescent="0.25">
      <c r="C245" s="118">
        <v>30</v>
      </c>
      <c r="D245" s="495">
        <v>13.5</v>
      </c>
      <c r="M245" s="573">
        <f t="shared" si="4"/>
        <v>0.68807470831416306</v>
      </c>
      <c r="N245" s="573">
        <f t="shared" si="1"/>
        <v>9.6330459163982827</v>
      </c>
      <c r="O245" s="573">
        <f t="shared" si="2"/>
        <v>0.9921540464545584</v>
      </c>
      <c r="P245" s="80">
        <f t="shared" si="3"/>
        <v>17.858772836182052</v>
      </c>
    </row>
    <row r="246" spans="3:16" hidden="1" x14ac:dyDescent="0.25">
      <c r="C246" s="118">
        <v>31</v>
      </c>
      <c r="D246" s="495">
        <v>14.5</v>
      </c>
      <c r="M246" s="573">
        <f t="shared" si="4"/>
        <v>0.84151536826822149</v>
      </c>
      <c r="N246" s="573">
        <f t="shared" si="1"/>
        <v>11.781215155755101</v>
      </c>
      <c r="O246" s="573">
        <f t="shared" si="2"/>
        <v>0.99330867234971176</v>
      </c>
      <c r="P246" s="80">
        <f t="shared" si="3"/>
        <v>17.879556102294814</v>
      </c>
    </row>
    <row r="247" spans="3:16" hidden="1" x14ac:dyDescent="0.25">
      <c r="C247" s="118">
        <v>32</v>
      </c>
      <c r="D247" s="495">
        <v>16</v>
      </c>
      <c r="M247" s="573">
        <f t="shared" si="4"/>
        <v>1.0291732953920349</v>
      </c>
      <c r="N247" s="573">
        <f t="shared" si="1"/>
        <v>14.40842613548849</v>
      </c>
      <c r="O247" s="573">
        <f t="shared" si="2"/>
        <v>0.99361072012342411</v>
      </c>
      <c r="P247" s="80">
        <f t="shared" si="3"/>
        <v>17.884992962221634</v>
      </c>
    </row>
    <row r="248" spans="3:16" hidden="1" x14ac:dyDescent="0.25">
      <c r="C248" s="118">
        <v>33</v>
      </c>
      <c r="D248" s="495">
        <v>17</v>
      </c>
      <c r="M248" s="573"/>
      <c r="N248" s="573"/>
      <c r="O248" s="573"/>
      <c r="P248" s="80"/>
    </row>
    <row r="249" spans="3:16" hidden="1" x14ac:dyDescent="0.25">
      <c r="C249" s="118">
        <v>34</v>
      </c>
      <c r="D249" s="495">
        <v>19</v>
      </c>
      <c r="M249" s="573"/>
      <c r="N249" s="573"/>
      <c r="O249" s="573"/>
      <c r="P249" s="80"/>
    </row>
    <row r="250" spans="3:16" hidden="1" x14ac:dyDescent="0.25">
      <c r="C250" s="118">
        <v>35</v>
      </c>
      <c r="D250" s="495">
        <v>21</v>
      </c>
      <c r="M250" s="573"/>
      <c r="N250" s="573"/>
      <c r="O250" s="573"/>
      <c r="P250" s="80"/>
    </row>
    <row r="251" spans="3:16" hidden="1" x14ac:dyDescent="0.25">
      <c r="C251" s="118">
        <v>36</v>
      </c>
      <c r="D251" s="495">
        <v>23</v>
      </c>
      <c r="M251" s="573"/>
      <c r="N251" s="573"/>
      <c r="O251" s="573"/>
      <c r="P251" s="80"/>
    </row>
    <row r="252" spans="3:16" hidden="1" x14ac:dyDescent="0.25">
      <c r="C252" s="118">
        <v>37</v>
      </c>
      <c r="D252" s="495">
        <v>25</v>
      </c>
    </row>
    <row r="253" spans="3:16" hidden="1" x14ac:dyDescent="0.25">
      <c r="C253" s="118">
        <v>38</v>
      </c>
      <c r="D253" s="495">
        <v>27</v>
      </c>
    </row>
    <row r="254" spans="3:16" hidden="1" x14ac:dyDescent="0.25">
      <c r="C254" s="118">
        <v>39</v>
      </c>
      <c r="D254" s="495">
        <v>29</v>
      </c>
    </row>
    <row r="255" spans="3:16" hidden="1" x14ac:dyDescent="0.25">
      <c r="C255" s="118">
        <v>40</v>
      </c>
      <c r="D255" s="495">
        <v>32</v>
      </c>
    </row>
    <row r="256" spans="3:16" hidden="1" x14ac:dyDescent="0.25">
      <c r="C256" s="118">
        <v>41</v>
      </c>
      <c r="D256" s="495">
        <v>34</v>
      </c>
    </row>
    <row r="257" spans="3:4" hidden="1" x14ac:dyDescent="0.25">
      <c r="C257" s="118">
        <v>42</v>
      </c>
      <c r="D257" s="495">
        <v>38</v>
      </c>
    </row>
    <row r="258" spans="3:4" hidden="1" x14ac:dyDescent="0.25">
      <c r="C258" s="118">
        <v>43</v>
      </c>
      <c r="D258" s="495">
        <v>42</v>
      </c>
    </row>
    <row r="259" spans="3:4" hidden="1" x14ac:dyDescent="0.25">
      <c r="C259" s="118">
        <v>44</v>
      </c>
      <c r="D259" s="495">
        <v>46</v>
      </c>
    </row>
    <row r="260" spans="3:4" hidden="1" x14ac:dyDescent="0.25">
      <c r="C260" s="118">
        <v>45</v>
      </c>
      <c r="D260" s="495">
        <v>50</v>
      </c>
    </row>
    <row r="261" spans="3:4" hidden="1" x14ac:dyDescent="0.25">
      <c r="C261" s="118">
        <v>46</v>
      </c>
      <c r="D261" s="495">
        <v>54</v>
      </c>
    </row>
    <row r="262" spans="3:4" hidden="1" x14ac:dyDescent="0.25">
      <c r="C262" s="118">
        <v>47</v>
      </c>
      <c r="D262" s="495">
        <v>58</v>
      </c>
    </row>
    <row r="263" spans="3:4" hidden="1" x14ac:dyDescent="0.25">
      <c r="C263" s="118">
        <v>48</v>
      </c>
      <c r="D263" s="495">
        <v>64</v>
      </c>
    </row>
    <row r="264" spans="3:4" hidden="1" x14ac:dyDescent="0.25">
      <c r="C264" s="118">
        <v>49</v>
      </c>
      <c r="D264" s="495">
        <v>68</v>
      </c>
    </row>
    <row r="265" spans="3:4" hidden="1" x14ac:dyDescent="0.25">
      <c r="C265" s="118">
        <v>50</v>
      </c>
      <c r="D265" s="495">
        <v>76</v>
      </c>
    </row>
    <row r="266" spans="3:4" hidden="1" x14ac:dyDescent="0.25">
      <c r="C266" s="118">
        <v>51</v>
      </c>
      <c r="D266" s="495">
        <v>84</v>
      </c>
    </row>
    <row r="267" spans="3:4" hidden="1" x14ac:dyDescent="0.25">
      <c r="C267" s="118">
        <v>52</v>
      </c>
      <c r="D267" s="495">
        <v>92</v>
      </c>
    </row>
    <row r="268" spans="3:4" hidden="1" x14ac:dyDescent="0.25">
      <c r="C268" s="118">
        <v>53</v>
      </c>
      <c r="D268" s="495">
        <v>100</v>
      </c>
    </row>
    <row r="269" spans="3:4" hidden="1" x14ac:dyDescent="0.25">
      <c r="C269" s="118">
        <v>54</v>
      </c>
      <c r="D269" s="495">
        <v>108</v>
      </c>
    </row>
    <row r="270" spans="3:4" hidden="1" x14ac:dyDescent="0.25">
      <c r="C270" s="118">
        <v>55</v>
      </c>
      <c r="D270" s="495">
        <v>116</v>
      </c>
    </row>
    <row r="271" spans="3:4" hidden="1" x14ac:dyDescent="0.25">
      <c r="C271" s="118">
        <v>56</v>
      </c>
      <c r="D271" s="495">
        <v>128</v>
      </c>
    </row>
    <row r="272" spans="3:4" hidden="1" x14ac:dyDescent="0.25">
      <c r="C272" s="118">
        <v>57</v>
      </c>
      <c r="D272" s="495">
        <v>136</v>
      </c>
    </row>
    <row r="273" spans="3:4" hidden="1" x14ac:dyDescent="0.25">
      <c r="C273" s="118">
        <v>58</v>
      </c>
      <c r="D273" s="495">
        <v>152</v>
      </c>
    </row>
    <row r="274" spans="3:4" hidden="1" x14ac:dyDescent="0.25">
      <c r="C274" s="118">
        <v>59</v>
      </c>
      <c r="D274" s="495">
        <v>168</v>
      </c>
    </row>
    <row r="275" spans="3:4" hidden="1" x14ac:dyDescent="0.25">
      <c r="C275" s="118">
        <v>60</v>
      </c>
      <c r="D275" s="495">
        <v>184</v>
      </c>
    </row>
    <row r="276" spans="3:4" hidden="1" x14ac:dyDescent="0.25">
      <c r="C276" s="118">
        <v>61</v>
      </c>
      <c r="D276" s="495">
        <v>200</v>
      </c>
    </row>
    <row r="277" spans="3:4" hidden="1" x14ac:dyDescent="0.25">
      <c r="C277" s="118">
        <v>62</v>
      </c>
      <c r="D277" s="495">
        <v>216</v>
      </c>
    </row>
    <row r="278" spans="3:4" hidden="1" x14ac:dyDescent="0.25">
      <c r="C278" s="118">
        <v>63</v>
      </c>
      <c r="D278" s="495">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G47:K47">
    <cfRule type="expression" dxfId="102" priority="50">
      <formula>"OFF"</formula>
    </cfRule>
  </conditionalFormatting>
  <conditionalFormatting sqref="D9">
    <cfRule type="expression" dxfId="101" priority="49">
      <formula>AND($D$8=FALSE(),$D$9=TRUE())</formula>
    </cfRule>
  </conditionalFormatting>
  <conditionalFormatting sqref="F9">
    <cfRule type="expression" dxfId="100" priority="48">
      <formula>AND($F$9=TRUE(),$F$8=FALSE())</formula>
    </cfRule>
  </conditionalFormatting>
  <conditionalFormatting sqref="H9">
    <cfRule type="expression" dxfId="99" priority="47">
      <formula>AND($H$9=TRUE(),$H$8=FALSE())</formula>
    </cfRule>
  </conditionalFormatting>
  <conditionalFormatting sqref="J9">
    <cfRule type="expression" dxfId="98" priority="46">
      <formula>AND($J$9=TRUE(),$J$8=FALSE())</formula>
    </cfRule>
  </conditionalFormatting>
  <conditionalFormatting sqref="H8">
    <cfRule type="expression" dxfId="97" priority="45">
      <formula>AND($D$4="LDC2112",$H$8=TRUE())</formula>
    </cfRule>
  </conditionalFormatting>
  <conditionalFormatting sqref="J8">
    <cfRule type="expression" dxfId="96" priority="44">
      <formula>AND($D$4="LDC2112",$J$8=TRUE())</formula>
    </cfRule>
  </conditionalFormatting>
  <conditionalFormatting sqref="D81">
    <cfRule type="expression" dxfId="95" priority="43">
      <formula>(D4="LDC2112")</formula>
    </cfRule>
  </conditionalFormatting>
  <conditionalFormatting sqref="D82">
    <cfRule type="expression" dxfId="94" priority="42">
      <formula>$D$4="LDC2112"</formula>
    </cfRule>
  </conditionalFormatting>
  <conditionalFormatting sqref="D14:D40 D43">
    <cfRule type="expression" dxfId="93" priority="35" stopIfTrue="1">
      <formula>NOT($D$8)</formula>
    </cfRule>
  </conditionalFormatting>
  <conditionalFormatting sqref="F15:F42">
    <cfRule type="expression" dxfId="92" priority="40">
      <formula>NOT($F$8)</formula>
    </cfRule>
  </conditionalFormatting>
  <conditionalFormatting sqref="H15:H43">
    <cfRule type="expression" dxfId="91" priority="39">
      <formula>NOT($H$8)</formula>
    </cfRule>
  </conditionalFormatting>
  <conditionalFormatting sqref="J15:J43">
    <cfRule type="expression" dxfId="90" priority="38">
      <formula>NOT($J$8)</formula>
    </cfRule>
  </conditionalFormatting>
  <conditionalFormatting sqref="F43">
    <cfRule type="expression" dxfId="89" priority="37">
      <formula>NOT($F$8)</formula>
    </cfRule>
  </conditionalFormatting>
  <conditionalFormatting sqref="D14">
    <cfRule type="expression" dxfId="88" priority="36">
      <formula>D14&gt;10</formula>
    </cfRule>
    <cfRule type="expression" dxfId="87" priority="41">
      <formula>D14&lt;0.35</formula>
    </cfRule>
  </conditionalFormatting>
  <conditionalFormatting sqref="F14">
    <cfRule type="expression" dxfId="86" priority="32" stopIfTrue="1">
      <formula>NOT(F8)</formula>
    </cfRule>
  </conditionalFormatting>
  <conditionalFormatting sqref="F14">
    <cfRule type="expression" dxfId="85" priority="33">
      <formula>F14&gt;10</formula>
    </cfRule>
    <cfRule type="expression" dxfId="84" priority="34">
      <formula>F14&lt;0.35</formula>
    </cfRule>
  </conditionalFormatting>
  <conditionalFormatting sqref="H14">
    <cfRule type="expression" dxfId="83" priority="29" stopIfTrue="1">
      <formula>NOT(H8)</formula>
    </cfRule>
  </conditionalFormatting>
  <conditionalFormatting sqref="H14">
    <cfRule type="expression" dxfId="82" priority="30">
      <formula>H14&gt;10</formula>
    </cfRule>
    <cfRule type="expression" dxfId="81" priority="31">
      <formula>H14&lt;0.35</formula>
    </cfRule>
  </conditionalFormatting>
  <conditionalFormatting sqref="J14">
    <cfRule type="expression" dxfId="80" priority="26" stopIfTrue="1">
      <formula>NOT(J8)</formula>
    </cfRule>
  </conditionalFormatting>
  <conditionalFormatting sqref="J14">
    <cfRule type="expression" dxfId="79" priority="27">
      <formula>J14&gt;10</formula>
    </cfRule>
    <cfRule type="expression" dxfId="78" priority="28">
      <formula>J14&lt;0.35</formula>
    </cfRule>
  </conditionalFormatting>
  <conditionalFormatting sqref="F5">
    <cfRule type="cellIs" dxfId="77" priority="25" operator="equal">
      <formula>$D$5</formula>
    </cfRule>
  </conditionalFormatting>
  <conditionalFormatting sqref="D41">
    <cfRule type="expression" dxfId="76" priority="12">
      <formula>NOT($F$8)</formula>
    </cfRule>
  </conditionalFormatting>
  <conditionalFormatting sqref="C106">
    <cfRule type="cellIs" dxfId="75" priority="10" operator="lessThan">
      <formula>0.8</formula>
    </cfRule>
  </conditionalFormatting>
  <conditionalFormatting sqref="B99:D100">
    <cfRule type="expression" dxfId="74" priority="9">
      <formula>$C$98</formula>
    </cfRule>
  </conditionalFormatting>
  <conditionalFormatting sqref="B106:E107">
    <cfRule type="expression" dxfId="73" priority="8" stopIfTrue="1">
      <formula>$C$98</formula>
    </cfRule>
  </conditionalFormatting>
  <conditionalFormatting sqref="B112:D112 D113">
    <cfRule type="expression" dxfId="72" priority="7">
      <formula>$C$98</formula>
    </cfRule>
  </conditionalFormatting>
  <conditionalFormatting sqref="D42">
    <cfRule type="expression" dxfId="71" priority="6">
      <formula>NOT($F$8)</formula>
    </cfRule>
  </conditionalFormatting>
  <conditionalFormatting sqref="E153:E154">
    <cfRule type="expression" dxfId="70" priority="5">
      <formula>$E$152</formula>
    </cfRule>
  </conditionalFormatting>
  <conditionalFormatting sqref="E157">
    <cfRule type="expression" dxfId="69" priority="4">
      <formula>NOT($F$156)</formula>
    </cfRule>
  </conditionalFormatting>
  <conditionalFormatting sqref="E160">
    <cfRule type="expression" dxfId="68" priority="3">
      <formula>NOT($F$156)</formula>
    </cfRule>
  </conditionalFormatting>
  <conditionalFormatting sqref="E161">
    <cfRule type="expression" dxfId="67" priority="2">
      <formula>OR(NOT($F$156),NOT($C$98))</formula>
    </cfRule>
  </conditionalFormatting>
  <conditionalFormatting sqref="D38 F38 H38 J38">
    <cfRule type="expression" dxfId="66" priority="1">
      <formula>$D$5</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FD05A8AC-D9D0-4AE8-8B3C-076583BC2436}">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28575</xdr:colOff>
                    <xdr:row>7</xdr:row>
                    <xdr:rowOff>19050</xdr:rowOff>
                  </from>
                  <to>
                    <xdr:col>3</xdr:col>
                    <xdr:colOff>571500</xdr:colOff>
                    <xdr:row>7</xdr:row>
                    <xdr:rowOff>142875</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28575</xdr:colOff>
                    <xdr:row>7</xdr:row>
                    <xdr:rowOff>152400</xdr:rowOff>
                  </from>
                  <to>
                    <xdr:col>3</xdr:col>
                    <xdr:colOff>771525</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9525</xdr:rowOff>
                  </from>
                  <to>
                    <xdr:col>5</xdr:col>
                    <xdr:colOff>752475</xdr:colOff>
                    <xdr:row>8</xdr:row>
                    <xdr:rowOff>142875</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142875</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9525</xdr:colOff>
                    <xdr:row>8</xdr:row>
                    <xdr:rowOff>9525</xdr:rowOff>
                  </from>
                  <to>
                    <xdr:col>9</xdr:col>
                    <xdr:colOff>742950</xdr:colOff>
                    <xdr:row>8</xdr:row>
                    <xdr:rowOff>142875</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28575</xdr:colOff>
                    <xdr:row>4</xdr:row>
                    <xdr:rowOff>19050</xdr:rowOff>
                  </from>
                  <to>
                    <xdr:col>3</xdr:col>
                    <xdr:colOff>571500</xdr:colOff>
                    <xdr:row>4</xdr:row>
                    <xdr:rowOff>142875</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9525</xdr:colOff>
                    <xdr:row>7</xdr:row>
                    <xdr:rowOff>0</xdr:rowOff>
                  </from>
                  <to>
                    <xdr:col>5</xdr:col>
                    <xdr:colOff>552450</xdr:colOff>
                    <xdr:row>7</xdr:row>
                    <xdr:rowOff>142875</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142875</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9525</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276225</xdr:colOff>
                    <xdr:row>98</xdr:row>
                    <xdr:rowOff>19050</xdr:rowOff>
                  </from>
                  <to>
                    <xdr:col>4</xdr:col>
                    <xdr:colOff>219075</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M40" sqref="M40"/>
    </sheetView>
  </sheetViews>
  <sheetFormatPr defaultRowHeight="15" x14ac:dyDescent="0.25"/>
  <cols>
    <col min="2" max="2" width="16.85546875" customWidth="1"/>
    <col min="3" max="3" width="10.28515625" customWidth="1"/>
    <col min="4" max="4" width="14.5703125" customWidth="1"/>
    <col min="5" max="5" width="4.7109375" customWidth="1"/>
    <col min="6" max="6" width="14.5703125" customWidth="1"/>
    <col min="7" max="7" width="4.140625" customWidth="1"/>
    <col min="8" max="8" width="14.5703125" customWidth="1"/>
    <col min="9" max="9" width="4.42578125" customWidth="1"/>
    <col min="10" max="10" width="14.5703125" customWidth="1"/>
    <col min="11" max="11" width="4.28515625" customWidth="1"/>
  </cols>
  <sheetData>
    <row r="2" spans="2:16" ht="18" x14ac:dyDescent="0.35">
      <c r="B2" s="4" t="s">
        <v>1611</v>
      </c>
      <c r="F2" s="20" t="s">
        <v>198</v>
      </c>
    </row>
    <row r="3" spans="2:16" ht="18" x14ac:dyDescent="0.35">
      <c r="C3" s="4"/>
      <c r="H3" s="20"/>
    </row>
    <row r="4" spans="2:16" ht="15.75" x14ac:dyDescent="0.25">
      <c r="C4" s="412" t="s">
        <v>809</v>
      </c>
      <c r="D4" s="45" t="s">
        <v>484</v>
      </c>
    </row>
    <row r="5" spans="2:16" ht="15.75" x14ac:dyDescent="0.25">
      <c r="C5" s="22"/>
      <c r="D5" s="309" t="s">
        <v>715</v>
      </c>
      <c r="F5" s="309" t="s">
        <v>716</v>
      </c>
      <c r="H5" s="309" t="s">
        <v>717</v>
      </c>
      <c r="J5" s="309" t="s">
        <v>718</v>
      </c>
      <c r="K5" s="330"/>
      <c r="L5" s="330"/>
      <c r="M5" s="330"/>
      <c r="N5" s="330"/>
      <c r="O5" s="330"/>
      <c r="P5" s="330"/>
    </row>
    <row r="6" spans="2:16" x14ac:dyDescent="0.25">
      <c r="D6" s="408"/>
      <c r="F6" s="11"/>
      <c r="H6" s="11"/>
      <c r="J6" s="11"/>
      <c r="K6" s="330"/>
      <c r="L6" s="330"/>
      <c r="M6" s="330"/>
      <c r="N6" s="330"/>
      <c r="O6" s="330"/>
      <c r="P6" s="330"/>
    </row>
    <row r="7" spans="2:16" ht="15.75" x14ac:dyDescent="0.25">
      <c r="B7" s="22" t="s">
        <v>733</v>
      </c>
      <c r="D7" s="409" t="b">
        <v>1</v>
      </c>
      <c r="E7" s="402"/>
      <c r="F7" s="411" t="b">
        <v>1</v>
      </c>
      <c r="G7" s="403"/>
      <c r="H7" s="411" t="b">
        <v>1</v>
      </c>
      <c r="I7" s="403"/>
      <c r="J7" s="411" t="b">
        <v>0</v>
      </c>
      <c r="K7" s="85" t="str">
        <f>IF(AND(D4="LDC2112",OR(H7=TRUE(),J7=TRUE())),"LDC2112 does not have Ch2 or Ch3","")</f>
        <v/>
      </c>
      <c r="L7" s="330"/>
      <c r="M7" s="330"/>
      <c r="N7" s="330"/>
      <c r="O7" s="330"/>
      <c r="P7" s="330"/>
    </row>
    <row r="8" spans="2:16" ht="15.75" x14ac:dyDescent="0.25">
      <c r="B8" s="22" t="s">
        <v>719</v>
      </c>
      <c r="D8" s="409" t="b">
        <v>1</v>
      </c>
      <c r="E8" s="402"/>
      <c r="F8" s="411" t="b">
        <v>1</v>
      </c>
      <c r="G8" s="403"/>
      <c r="H8" s="411" t="b">
        <v>0</v>
      </c>
      <c r="I8" s="403"/>
      <c r="J8" s="411" t="b">
        <v>0</v>
      </c>
      <c r="K8" s="85" t="str">
        <f>IF(SUM(D11,F11,H11,J11)&gt;SUM(D12,F12,H12,J12),"LP Mode requires Enabled Button","")</f>
        <v/>
      </c>
      <c r="L8" s="330"/>
      <c r="M8" s="330"/>
      <c r="N8" s="330"/>
      <c r="O8" s="330"/>
      <c r="P8" s="330"/>
    </row>
    <row r="9" spans="2:16" ht="15.75" x14ac:dyDescent="0.25">
      <c r="B9" s="22"/>
      <c r="D9" s="410"/>
      <c r="L9" s="330"/>
      <c r="M9" s="330"/>
      <c r="N9" s="330"/>
      <c r="O9" s="330"/>
      <c r="P9" s="330"/>
    </row>
    <row r="10" spans="2:16" hidden="1" x14ac:dyDescent="0.25">
      <c r="B10" s="7" t="s">
        <v>720</v>
      </c>
      <c r="D10" s="75">
        <f>IF(D7=TRUE(),1,0)</f>
        <v>1</v>
      </c>
      <c r="F10" s="75">
        <f>IF(F7=TRUE(),1,0)</f>
        <v>1</v>
      </c>
      <c r="H10" s="75">
        <f>IF(H7=TRUE(),IF(D4="LDC2114",1,0),0)</f>
        <v>1</v>
      </c>
      <c r="J10" s="75">
        <f>IF(J7=TRUE(),IF(D4="LDC2114",1,0),0)</f>
        <v>0</v>
      </c>
      <c r="L10" s="330"/>
      <c r="M10" s="330"/>
      <c r="N10" s="330"/>
      <c r="O10" s="330"/>
      <c r="P10" s="330"/>
    </row>
    <row r="11" spans="2:16" hidden="1" x14ac:dyDescent="0.25">
      <c r="B11" s="7" t="s">
        <v>722</v>
      </c>
      <c r="D11" s="75">
        <f>IF(D8=TRUE(),1,0)</f>
        <v>1</v>
      </c>
      <c r="E11" s="12"/>
      <c r="F11" s="75">
        <f>IF(F8=TRUE(),1,0)</f>
        <v>1</v>
      </c>
      <c r="G11" s="12"/>
      <c r="H11" s="75">
        <f>IF(H8=TRUE(),1,0)</f>
        <v>0</v>
      </c>
      <c r="I11" s="12"/>
      <c r="J11" s="75">
        <f>IF(J8=TRUE(),1,0)</f>
        <v>0</v>
      </c>
      <c r="L11" s="330"/>
      <c r="M11" s="330"/>
      <c r="N11" s="330"/>
      <c r="O11" s="330"/>
      <c r="P11" s="330"/>
    </row>
    <row r="12" spans="2:16" hidden="1" x14ac:dyDescent="0.25">
      <c r="B12" s="7" t="s">
        <v>721</v>
      </c>
      <c r="D12" s="75">
        <f>IF(D8=TRUE(),IF(D7=TRUE(),1,0),0)</f>
        <v>1</v>
      </c>
      <c r="F12" s="75">
        <f>IF(F8=TRUE(),IF(F7=TRUE(),1,0),0)</f>
        <v>1</v>
      </c>
      <c r="H12" s="75">
        <f>IF(H8=TRUE(),IF(H7=TRUE(),1,0),0)</f>
        <v>0</v>
      </c>
      <c r="J12" s="75">
        <f>IF(J8=TRUE(),IF(J7=TRUE(),1,0),0)</f>
        <v>0</v>
      </c>
      <c r="L12" s="330"/>
      <c r="M12" s="330"/>
      <c r="N12" s="330"/>
      <c r="O12" s="330"/>
      <c r="P12" s="330"/>
    </row>
    <row r="13" spans="2:16" ht="18" x14ac:dyDescent="0.35">
      <c r="B13" s="9" t="s">
        <v>1632</v>
      </c>
      <c r="D13" s="152">
        <v>4</v>
      </c>
      <c r="E13" s="6" t="s">
        <v>243</v>
      </c>
      <c r="F13" s="152">
        <v>2</v>
      </c>
      <c r="G13" s="6" t="s">
        <v>243</v>
      </c>
      <c r="H13" s="152">
        <v>2</v>
      </c>
      <c r="I13" s="6" t="s">
        <v>243</v>
      </c>
      <c r="J13" s="152">
        <v>2</v>
      </c>
      <c r="K13" s="6" t="s">
        <v>243</v>
      </c>
      <c r="L13" s="330"/>
      <c r="M13" s="330"/>
      <c r="N13" s="330"/>
      <c r="O13" s="330"/>
      <c r="P13" s="330"/>
    </row>
    <row r="14" spans="2:16" x14ac:dyDescent="0.25">
      <c r="B14" s="9" t="s">
        <v>1631</v>
      </c>
      <c r="D14" s="170" t="str">
        <f>IF(D13&lt;3,"350Ω ≤ RP ≤ 4kΩ","800Ω ≤ RP ≤ 10kΩ")</f>
        <v>800Ω ≤ RP ≤ 10kΩ</v>
      </c>
      <c r="E14" s="6"/>
      <c r="F14" s="170" t="str">
        <f>IF(F13&lt;3,"350Ω ≤ RP ≤ 4kΩ","800Ω ≤ RP ≤ 10kΩ")</f>
        <v>350Ω ≤ RP ≤ 4kΩ</v>
      </c>
      <c r="G14" s="6"/>
      <c r="H14" s="170" t="str">
        <f>IF(H13&lt;3,"350Ω ≤ RP ≤ 4kΩ","800Ω ≤ RP ≤ 10kΩ")</f>
        <v>350Ω ≤ RP ≤ 4kΩ</v>
      </c>
      <c r="I14" s="6"/>
      <c r="J14" s="170" t="str">
        <f>IF(J13&lt;3,"350Ω ≤ RP ≤ 4kΩ","800Ω ≤ RP ≤ 10kΩ")</f>
        <v>350Ω ≤ RP ≤ 4kΩ</v>
      </c>
      <c r="K14" s="6"/>
      <c r="L14" s="330"/>
      <c r="M14" s="330"/>
      <c r="N14" s="330"/>
      <c r="O14" s="330"/>
      <c r="P14" s="330"/>
    </row>
    <row r="15" spans="2:16" ht="18" x14ac:dyDescent="0.35">
      <c r="B15" s="9" t="s">
        <v>640</v>
      </c>
      <c r="D15" s="51">
        <v>18</v>
      </c>
      <c r="E15" s="6" t="s">
        <v>0</v>
      </c>
      <c r="F15" s="51">
        <v>20</v>
      </c>
      <c r="G15" s="6" t="s">
        <v>0</v>
      </c>
      <c r="H15" s="51">
        <v>20</v>
      </c>
      <c r="I15" s="6" t="s">
        <v>0</v>
      </c>
      <c r="J15" s="51">
        <v>20</v>
      </c>
      <c r="K15" s="6" t="s">
        <v>0</v>
      </c>
      <c r="L15" s="330"/>
      <c r="M15" s="330"/>
      <c r="N15" s="330"/>
      <c r="O15" s="330"/>
      <c r="P15" s="330"/>
    </row>
    <row r="16" spans="2:16" x14ac:dyDescent="0.25">
      <c r="B16" s="9" t="s">
        <v>638</v>
      </c>
      <c r="D16" s="358">
        <v>1</v>
      </c>
      <c r="E16" s="6" t="s">
        <v>229</v>
      </c>
      <c r="F16" s="358">
        <v>1</v>
      </c>
      <c r="G16" s="6" t="s">
        <v>229</v>
      </c>
      <c r="H16" s="358">
        <v>1</v>
      </c>
      <c r="I16" s="6" t="s">
        <v>229</v>
      </c>
      <c r="J16" s="358">
        <v>1</v>
      </c>
      <c r="K16" s="6" t="s">
        <v>229</v>
      </c>
      <c r="L16" s="330"/>
      <c r="M16" s="330"/>
      <c r="N16" s="330"/>
      <c r="O16" s="330"/>
      <c r="P16" s="330"/>
    </row>
    <row r="17" spans="2:16" hidden="1" x14ac:dyDescent="0.25">
      <c r="B17" s="7" t="s">
        <v>616</v>
      </c>
      <c r="D17" s="354">
        <f>IF(D14="800Ω ≤ RP ≤ 10kΩ",1,0)</f>
        <v>1</v>
      </c>
      <c r="E17" s="6"/>
      <c r="F17" s="354">
        <f>IF(F14="800Ω ≤ RP ≤ 10kΩ",1,0)</f>
        <v>0</v>
      </c>
      <c r="G17" s="6"/>
      <c r="H17" s="354">
        <f>IF(H14="800Ω ≤ RP ≤ 10kΩ",1,0)</f>
        <v>0</v>
      </c>
      <c r="I17" s="6"/>
      <c r="J17" s="354">
        <f>IF(J14="800Ω ≤ RP ≤ 10kΩ",1,0)</f>
        <v>0</v>
      </c>
      <c r="K17" s="6"/>
      <c r="L17" s="330"/>
      <c r="M17" s="330"/>
      <c r="N17" s="330"/>
      <c r="O17" s="330"/>
      <c r="P17" s="330"/>
    </row>
    <row r="18" spans="2:16" hidden="1" x14ac:dyDescent="0.25">
      <c r="B18" s="7" t="s">
        <v>619</v>
      </c>
      <c r="D18" s="355">
        <f>IF(D15&lt;3.3,0,IF(D15&lt;10,1,2))</f>
        <v>2</v>
      </c>
      <c r="E18" s="6"/>
      <c r="F18" s="355">
        <f>IF(F15&lt;3.3,0,IF(F15&lt;10,1,2))</f>
        <v>2</v>
      </c>
      <c r="G18" s="6"/>
      <c r="H18" s="355">
        <f>IF(H15&lt;3.3,0,IF(H15&lt;10,1,2))</f>
        <v>2</v>
      </c>
      <c r="I18" s="6"/>
      <c r="J18" s="355">
        <f>IF(J15&lt;3.3,0,IF(J15&lt;10,1,2))</f>
        <v>2</v>
      </c>
      <c r="K18" s="6"/>
      <c r="L18" s="330"/>
      <c r="M18" s="330"/>
      <c r="N18" s="330"/>
      <c r="O18" s="330"/>
      <c r="P18" s="330"/>
    </row>
    <row r="19" spans="2:16" hidden="1" x14ac:dyDescent="0.25">
      <c r="B19" s="97" t="s">
        <v>620</v>
      </c>
      <c r="D19" s="76">
        <f>CEILING(LOG(D15*D16/4.096,2),1)</f>
        <v>3</v>
      </c>
      <c r="E19" s="6"/>
      <c r="F19" s="76">
        <f>CEILING(LOG(F15*F16/4.096,2),1)</f>
        <v>3</v>
      </c>
      <c r="G19" s="6"/>
      <c r="H19" s="76">
        <f>CEILING(LOG(H15*H16/4.096,2),1)</f>
        <v>3</v>
      </c>
      <c r="I19" s="6"/>
      <c r="J19" s="76">
        <f>CEILING(LOG(J15*J16/4.096,2),1)</f>
        <v>3</v>
      </c>
      <c r="K19" s="6"/>
      <c r="L19" s="330"/>
      <c r="M19" s="330"/>
      <c r="N19" s="330"/>
      <c r="O19" s="330"/>
      <c r="P19" s="330"/>
    </row>
    <row r="20" spans="2:16" x14ac:dyDescent="0.25">
      <c r="B20" s="58" t="s">
        <v>620</v>
      </c>
      <c r="D20" s="404">
        <f>IF(D19&lt;0,0,ROUND(D19,1))</f>
        <v>3</v>
      </c>
      <c r="E20" s="6"/>
      <c r="F20" s="404">
        <f>IF(F19&lt;0,0,ROUND(F19,1))</f>
        <v>3</v>
      </c>
      <c r="G20" s="6"/>
      <c r="H20" s="404">
        <f>IF(H19&lt;0,0,ROUND(H19,1))</f>
        <v>3</v>
      </c>
      <c r="I20" s="6"/>
      <c r="J20" s="404">
        <f>IF(J19&lt;0,0,ROUND(J19,1))</f>
        <v>3</v>
      </c>
      <c r="K20" s="399" t="str">
        <f>IF(K21&lt;L21,"Error - Adjust Sample intervals to match LCDIV","")</f>
        <v/>
      </c>
      <c r="L20" s="330"/>
      <c r="M20" s="330"/>
      <c r="N20" s="330"/>
      <c r="O20" s="330"/>
      <c r="P20" s="330"/>
    </row>
    <row r="21" spans="2:16" hidden="1" x14ac:dyDescent="0.25">
      <c r="B21" s="58" t="s">
        <v>811</v>
      </c>
      <c r="D21" s="478">
        <f>IF(D7,D20,)</f>
        <v>3</v>
      </c>
      <c r="E21" s="6"/>
      <c r="F21" s="478">
        <f>IF(F7,F20,FALSE)</f>
        <v>3</v>
      </c>
      <c r="G21" s="6"/>
      <c r="H21" s="478">
        <f>IF(H7,H20,"")</f>
        <v>3</v>
      </c>
      <c r="I21" s="6"/>
      <c r="J21" s="478" t="str">
        <f>IF(J7,J20,"")</f>
        <v/>
      </c>
      <c r="K21" s="778">
        <f>MIN(D21,F21,H21,J21)</f>
        <v>3</v>
      </c>
      <c r="L21" s="784">
        <f>MAX(D21,F21,H21,J21)</f>
        <v>3</v>
      </c>
      <c r="M21" s="330"/>
      <c r="N21" s="330"/>
      <c r="O21" s="330"/>
      <c r="P21" s="330"/>
    </row>
    <row r="22" spans="2:16" hidden="1" x14ac:dyDescent="0.25">
      <c r="B22" s="97" t="s">
        <v>621</v>
      </c>
      <c r="D22" s="405">
        <f>D15*1000*D16*2^(-7-D19)-1</f>
        <v>16.578125</v>
      </c>
      <c r="E22" s="6"/>
      <c r="F22" s="405">
        <f>F15*1000*F16*2^(-7-F19)-1</f>
        <v>18.53125</v>
      </c>
      <c r="G22" s="6"/>
      <c r="H22" s="405">
        <f>H15*1000*H16*2^(-7-H19)-1</f>
        <v>18.53125</v>
      </c>
      <c r="I22" s="6"/>
      <c r="J22" s="405">
        <f>J15*1000*J16*2^(-7-J19)-1</f>
        <v>18.53125</v>
      </c>
      <c r="K22" s="6"/>
      <c r="L22" s="330"/>
      <c r="M22" s="330"/>
      <c r="N22" s="330"/>
      <c r="O22" s="330"/>
      <c r="P22" s="330"/>
    </row>
    <row r="23" spans="2:16" x14ac:dyDescent="0.25">
      <c r="B23" s="9" t="s">
        <v>617</v>
      </c>
      <c r="D23" s="406">
        <f>IF(D22&lt;0,0,IF(D22&gt;31,31,ROUND(D22,0)))</f>
        <v>17</v>
      </c>
      <c r="E23" s="6"/>
      <c r="F23" s="406">
        <f>IF(F22&lt;0,0,IF(F22&gt;31,31,ROUND(F22,0)))</f>
        <v>19</v>
      </c>
      <c r="G23" s="6"/>
      <c r="H23" s="406">
        <f>IF(H22&lt;0,0,IF(H22&gt;31,31,ROUND(H22,0)))</f>
        <v>19</v>
      </c>
      <c r="I23" s="6"/>
      <c r="J23" s="406">
        <f>IF(J22&lt;0,0,IF(J22&gt;31,31,ROUND(J22,0)))</f>
        <v>19</v>
      </c>
      <c r="K23" s="6"/>
      <c r="L23" s="330"/>
      <c r="M23" s="330"/>
      <c r="N23" s="330"/>
      <c r="O23" s="330"/>
      <c r="P23" s="330"/>
    </row>
    <row r="24" spans="2:16" x14ac:dyDescent="0.25">
      <c r="B24" s="58" t="s">
        <v>639</v>
      </c>
      <c r="D24" s="27">
        <f>0.6/D15+(2^(7+D20))*(D23+1)/D15/1000</f>
        <v>1.0573333333333335</v>
      </c>
      <c r="E24" s="6" t="s">
        <v>229</v>
      </c>
      <c r="F24" s="27">
        <f>0.6/F15+(2^(7+F20))*(F23+1)/F15/1000</f>
        <v>1.054</v>
      </c>
      <c r="G24" s="6" t="s">
        <v>229</v>
      </c>
      <c r="H24" s="27">
        <f>0.6/H15+(2^(7+H20))*(H23+1)/H15/1000</f>
        <v>1.054</v>
      </c>
      <c r="I24" s="6" t="s">
        <v>229</v>
      </c>
      <c r="J24" s="27">
        <f>0.6/J15+(2^(7+J20))*(J23+1)/J15/1000</f>
        <v>1.054</v>
      </c>
      <c r="K24" s="6" t="s">
        <v>229</v>
      </c>
      <c r="L24" s="785" t="str">
        <f>IF(D34&lt;0,"The total active time exceeds the time available in the scan interval","")</f>
        <v/>
      </c>
      <c r="M24" s="330"/>
      <c r="N24" s="330"/>
      <c r="O24" s="330"/>
      <c r="P24" s="330"/>
    </row>
    <row r="25" spans="2:16" hidden="1" x14ac:dyDescent="0.25">
      <c r="B25" s="97" t="s">
        <v>1571</v>
      </c>
      <c r="D25" s="357">
        <f>CEILING(LOG(30*(1+D23)*2^(14+D20)*47/D15,2),1)-28</f>
        <v>0</v>
      </c>
      <c r="E25" s="6"/>
      <c r="F25" s="357">
        <f>CEILING(LOG(30*(1+F23)*2^(14+F20)*47/F15,2),1)-28</f>
        <v>0</v>
      </c>
      <c r="G25" s="6"/>
      <c r="H25" s="357">
        <f>CEILING(LOG(30*(1+H23)*2^(14+H20)*47/H15,2),1)-28</f>
        <v>0</v>
      </c>
      <c r="I25" s="6"/>
      <c r="J25" s="357">
        <f>CEILING(LOG(30*(1+J23)*2^(14+J20)*47/J15,2),1)-28</f>
        <v>0</v>
      </c>
      <c r="K25" s="6"/>
      <c r="L25" s="330"/>
      <c r="M25" s="330"/>
      <c r="N25" s="330"/>
      <c r="O25" s="330"/>
      <c r="P25" s="330"/>
    </row>
    <row r="26" spans="2:16" x14ac:dyDescent="0.25">
      <c r="B26" s="58" t="s">
        <v>618</v>
      </c>
      <c r="D26" s="407">
        <f>IF(D25&lt;0,0,IF(D25&gt;3,3,ROUND(D25,1)))</f>
        <v>0</v>
      </c>
      <c r="E26" s="6"/>
      <c r="F26" s="407">
        <f>IF(F25&lt;0,0,IF(F25&gt;3,3,ROUND(F25,1)))</f>
        <v>0</v>
      </c>
      <c r="G26" s="6"/>
      <c r="H26" s="407">
        <f>IF(H25&lt;0,0,IF(H25&gt;3,3,ROUND(H25,1)))</f>
        <v>0</v>
      </c>
      <c r="I26" s="6"/>
      <c r="J26" s="407">
        <f>IF(J25&lt;0,0,IF(J25&gt;3,3,ROUND(J25,1)))</f>
        <v>0</v>
      </c>
      <c r="K26" s="6"/>
      <c r="L26" s="330"/>
      <c r="M26" s="330"/>
      <c r="N26" s="330"/>
      <c r="O26" s="330"/>
      <c r="P26" s="330"/>
    </row>
    <row r="27" spans="2:16" hidden="1" x14ac:dyDescent="0.25">
      <c r="B27" s="97" t="s">
        <v>723</v>
      </c>
      <c r="D27" s="400">
        <f xml:space="preserve"> 1.630124 + (13.25536 - 1.630124)/(1 + (D13/0.08957141)^1.210902)+(10.23*D15+19)/1000</f>
        <v>1.9489293613388614</v>
      </c>
      <c r="E27" s="401"/>
      <c r="F27" s="400">
        <f xml:space="preserve"> 1.630124 + (13.25536 - 1.630124)/(1 + (F13/0.08957141)^1.210902)+(10.23*F15+19)/1000</f>
        <v>2.1180114930942393</v>
      </c>
      <c r="G27" s="401"/>
      <c r="H27" s="400">
        <f xml:space="preserve"> 1.630124 + (13.25536 - 1.630124)/(1 + (H13/0.08957141)^1.210902)+(10.23*H15+19)/1000</f>
        <v>2.1180114930942393</v>
      </c>
      <c r="I27" s="401"/>
      <c r="J27" s="400">
        <f xml:space="preserve"> 1.630124 + (13.25536 - 1.630124)/(1 + (J13/0.08957141)^1.210902)+(10.23*J15+19)/1000</f>
        <v>2.1180114930942393</v>
      </c>
      <c r="K27" s="6"/>
      <c r="L27" s="330"/>
      <c r="M27" s="330"/>
      <c r="N27" s="330"/>
      <c r="O27" s="330"/>
      <c r="P27" s="330"/>
    </row>
    <row r="28" spans="2:16" hidden="1" x14ac:dyDescent="0.25">
      <c r="B28" s="97" t="s">
        <v>728</v>
      </c>
      <c r="D28" s="400">
        <f>(D24+0.01)*D27</f>
        <v>2.0801572716690115</v>
      </c>
      <c r="E28" s="401"/>
      <c r="F28" s="400">
        <f>F27*(F24+0.01)</f>
        <v>2.2535642286522708</v>
      </c>
      <c r="G28" s="401"/>
      <c r="H28" s="400">
        <f>(H24+0.01)*H27</f>
        <v>2.2535642286522708</v>
      </c>
      <c r="I28" s="401"/>
      <c r="J28" s="400">
        <f>(J24+0.01)*J27</f>
        <v>2.2535642286522708</v>
      </c>
      <c r="K28" s="6"/>
      <c r="L28" s="330"/>
      <c r="M28" s="330"/>
      <c r="N28" s="330"/>
      <c r="O28" s="330"/>
      <c r="P28" s="330"/>
    </row>
    <row r="29" spans="2:16" hidden="1" x14ac:dyDescent="0.25">
      <c r="B29" s="97" t="s">
        <v>729</v>
      </c>
      <c r="D29" s="400">
        <f>D28*D12</f>
        <v>2.0801572716690115</v>
      </c>
      <c r="E29" s="401"/>
      <c r="F29" s="400">
        <f>F28*F12</f>
        <v>2.2535642286522708</v>
      </c>
      <c r="G29" s="401"/>
      <c r="H29" s="400">
        <f>H28*H12</f>
        <v>0</v>
      </c>
      <c r="I29" s="401"/>
      <c r="J29" s="400">
        <f>J28*J12</f>
        <v>0</v>
      </c>
      <c r="K29" s="6"/>
      <c r="L29" s="330"/>
      <c r="M29" s="330"/>
      <c r="N29" s="330"/>
      <c r="O29" s="330"/>
      <c r="P29" s="330"/>
    </row>
    <row r="30" spans="2:16" hidden="1" x14ac:dyDescent="0.25">
      <c r="B30" s="97" t="s">
        <v>810</v>
      </c>
      <c r="D30" s="400">
        <f>D28*D10</f>
        <v>2.0801572716690115</v>
      </c>
      <c r="E30" s="401"/>
      <c r="F30" s="400">
        <f>F28*F10</f>
        <v>2.2535642286522708</v>
      </c>
      <c r="G30" s="401"/>
      <c r="H30" s="400">
        <f>H28*H10</f>
        <v>2.2535642286522708</v>
      </c>
      <c r="I30" s="401"/>
      <c r="J30" s="400">
        <f>J28*J10</f>
        <v>0</v>
      </c>
      <c r="K30" s="6"/>
      <c r="L30" s="330"/>
      <c r="M30" s="330"/>
      <c r="N30" s="330"/>
      <c r="O30" s="330"/>
      <c r="P30" s="330"/>
    </row>
    <row r="31" spans="2:16" hidden="1" x14ac:dyDescent="0.25">
      <c r="B31" s="97" t="s">
        <v>724</v>
      </c>
      <c r="D31" s="400">
        <f>(1000/$D$44)-(D24*D12+F24*F12+H24*H12+J24*J12)</f>
        <v>797.88866666666672</v>
      </c>
      <c r="E31" s="401"/>
      <c r="F31" s="400"/>
      <c r="G31" s="401"/>
      <c r="H31" s="400"/>
      <c r="I31" s="401"/>
      <c r="J31" s="400"/>
      <c r="K31" s="6"/>
      <c r="L31" s="330"/>
      <c r="M31" s="330"/>
      <c r="N31" s="330"/>
      <c r="O31" s="330"/>
      <c r="P31" s="330"/>
    </row>
    <row r="32" spans="2:16" hidden="1" x14ac:dyDescent="0.25">
      <c r="B32" s="97" t="s">
        <v>727</v>
      </c>
      <c r="D32" s="400">
        <f>D31*0.00483</f>
        <v>3.8538022600000001</v>
      </c>
      <c r="E32" s="401"/>
      <c r="F32" s="400"/>
      <c r="G32" s="401"/>
      <c r="H32" s="400"/>
      <c r="I32" s="401"/>
      <c r="J32" s="400"/>
      <c r="K32" s="6"/>
      <c r="L32" s="330"/>
      <c r="M32" s="330"/>
      <c r="N32" s="330"/>
      <c r="O32" s="330"/>
      <c r="P32" s="330"/>
    </row>
    <row r="33" spans="2:16" hidden="1" x14ac:dyDescent="0.25">
      <c r="B33" s="97" t="s">
        <v>730</v>
      </c>
      <c r="D33" s="400">
        <f>D32+D29+F29+H29+J29</f>
        <v>8.187523760321282</v>
      </c>
      <c r="E33" s="401"/>
      <c r="F33" s="400"/>
      <c r="G33" s="401"/>
      <c r="H33" s="400"/>
      <c r="I33" s="401"/>
      <c r="J33" s="400"/>
      <c r="K33" s="6"/>
      <c r="L33" s="330"/>
      <c r="M33" s="330"/>
      <c r="N33" s="330"/>
      <c r="O33" s="330"/>
      <c r="P33" s="330"/>
    </row>
    <row r="34" spans="2:16" hidden="1" x14ac:dyDescent="0.25">
      <c r="B34" s="97" t="s">
        <v>725</v>
      </c>
      <c r="D34" s="400">
        <f>(1000/$D$47)-(D24*D10+F24*F10+H24*H10+J24*J10)</f>
        <v>96.834666666666664</v>
      </c>
      <c r="E34" s="401"/>
      <c r="F34" s="400"/>
      <c r="G34" s="401"/>
      <c r="H34" s="400"/>
      <c r="I34" s="401"/>
      <c r="J34" s="400"/>
      <c r="K34" s="6"/>
      <c r="L34" s="330"/>
      <c r="M34" s="330"/>
      <c r="N34" s="330"/>
      <c r="O34" s="330"/>
      <c r="P34" s="330"/>
    </row>
    <row r="35" spans="2:16" hidden="1" x14ac:dyDescent="0.25">
      <c r="B35" s="97" t="s">
        <v>726</v>
      </c>
      <c r="D35" s="400">
        <f>0.00483*D34</f>
        <v>0.46771143999999998</v>
      </c>
      <c r="E35" s="401"/>
      <c r="F35" s="400"/>
      <c r="G35" s="401"/>
      <c r="H35" s="400"/>
      <c r="I35" s="401"/>
      <c r="J35" s="400"/>
      <c r="K35" s="6"/>
      <c r="L35" s="330"/>
      <c r="M35" s="330"/>
      <c r="N35" s="330"/>
      <c r="O35" s="330"/>
      <c r="P35" s="330"/>
    </row>
    <row r="36" spans="2:16" hidden="1" x14ac:dyDescent="0.25">
      <c r="B36" s="97" t="s">
        <v>731</v>
      </c>
      <c r="D36" s="80">
        <f>D35+D30+F30+H30+J30</f>
        <v>7.0549971689735536</v>
      </c>
      <c r="E36" s="6"/>
      <c r="G36" s="57"/>
      <c r="I36" s="12"/>
      <c r="L36" s="330"/>
      <c r="M36" s="330"/>
      <c r="N36" s="330"/>
      <c r="O36" s="330"/>
      <c r="P36" s="330"/>
    </row>
    <row r="37" spans="2:16" x14ac:dyDescent="0.25">
      <c r="B37" s="58" t="s">
        <v>1589</v>
      </c>
      <c r="D37" s="782">
        <v>40</v>
      </c>
      <c r="E37" s="6"/>
      <c r="F37" s="45">
        <v>40</v>
      </c>
      <c r="G37" s="57"/>
      <c r="H37" s="45">
        <v>40</v>
      </c>
      <c r="I37" s="12"/>
      <c r="J37" s="45">
        <v>40</v>
      </c>
      <c r="L37" s="330"/>
      <c r="M37" s="330"/>
      <c r="N37" s="330"/>
      <c r="O37" s="330"/>
      <c r="P37" s="330"/>
    </row>
    <row r="38" spans="2:16" x14ac:dyDescent="0.25">
      <c r="B38" s="58" t="s">
        <v>1576</v>
      </c>
      <c r="D38" s="793">
        <f ca="1">OFFSET(D150,D37,0)</f>
        <v>32</v>
      </c>
      <c r="E38" s="6"/>
      <c r="F38" s="37">
        <f ca="1">OFFSET(D150,F37,0)</f>
        <v>32</v>
      </c>
      <c r="G38" s="57"/>
      <c r="H38" s="794">
        <f ca="1">OFFSET(D150,H37,0)</f>
        <v>32</v>
      </c>
      <c r="I38" s="12"/>
      <c r="J38" s="37">
        <f ca="1">OFFSET(D150,J37,0)</f>
        <v>32</v>
      </c>
      <c r="L38" s="330"/>
      <c r="M38" s="330"/>
      <c r="N38" s="330"/>
      <c r="O38" s="330"/>
      <c r="P38" s="330"/>
    </row>
    <row r="39" spans="2:16" x14ac:dyDescent="0.25">
      <c r="B39" s="58" t="s">
        <v>1608</v>
      </c>
      <c r="D39" s="150">
        <v>500</v>
      </c>
      <c r="E39" s="6"/>
      <c r="F39" s="264">
        <v>500</v>
      </c>
      <c r="G39" s="57"/>
      <c r="H39" s="783">
        <v>400</v>
      </c>
      <c r="I39" s="12"/>
      <c r="J39" s="264">
        <v>400</v>
      </c>
      <c r="L39" s="330"/>
      <c r="M39" s="330"/>
      <c r="N39" s="330"/>
      <c r="O39" s="330"/>
      <c r="P39" s="330"/>
    </row>
    <row r="40" spans="2:16" x14ac:dyDescent="0.25">
      <c r="B40" s="58" t="s">
        <v>1570</v>
      </c>
      <c r="D40" s="404">
        <f ca="1">D39*0.013*D38</f>
        <v>208</v>
      </c>
      <c r="E40" s="780"/>
      <c r="F40" s="404">
        <f ca="1">F39*0.013*F38</f>
        <v>208</v>
      </c>
      <c r="G40" s="780"/>
      <c r="H40" s="404">
        <f ca="1">H39*0.013*F38</f>
        <v>166.4</v>
      </c>
      <c r="I40" s="780"/>
      <c r="J40" s="404">
        <f ca="1">J39*0.013*F38</f>
        <v>166.4</v>
      </c>
      <c r="L40" s="330"/>
      <c r="M40" s="330"/>
      <c r="N40" s="330"/>
      <c r="O40" s="330"/>
      <c r="P40" s="330"/>
    </row>
    <row r="41" spans="2:16" x14ac:dyDescent="0.25">
      <c r="B41" s="58" t="s">
        <v>1588</v>
      </c>
      <c r="D41" s="576">
        <f ca="1">D38*1.8268/2^(7-D55)</f>
        <v>3.6536</v>
      </c>
      <c r="E41" s="780"/>
      <c r="F41" s="576">
        <f ca="1">F38*1.8268/2^(7-D55)</f>
        <v>3.6536</v>
      </c>
      <c r="G41" s="780"/>
      <c r="H41" s="576">
        <f ca="1">H38*1.8268/2^(7-D55)</f>
        <v>3.6536</v>
      </c>
      <c r="I41" s="780"/>
      <c r="J41" s="576">
        <f ca="1">J38*1.8268/2^(7-D55)</f>
        <v>3.6536</v>
      </c>
      <c r="L41" s="330"/>
      <c r="M41" s="330"/>
      <c r="N41" s="330"/>
      <c r="O41" s="330"/>
      <c r="P41" s="330"/>
    </row>
    <row r="42" spans="2:16" x14ac:dyDescent="0.25">
      <c r="B42" s="58" t="s">
        <v>1587</v>
      </c>
      <c r="D42" s="576">
        <f ca="1">D38*1.8268/2^(4-D54)</f>
        <v>29.2288</v>
      </c>
      <c r="E42" s="780"/>
      <c r="F42" s="576">
        <f ca="1">F38*1.8268/2^(4-D54)</f>
        <v>29.2288</v>
      </c>
      <c r="G42" s="780"/>
      <c r="H42" s="576">
        <f ca="1">H38*1.8268/2^(4-D54)</f>
        <v>29.2288</v>
      </c>
      <c r="I42" s="780"/>
      <c r="J42" s="576">
        <f ca="1">J38*1.8268/2^(4-D54)</f>
        <v>29.2288</v>
      </c>
      <c r="L42" s="330"/>
      <c r="M42" s="330"/>
      <c r="N42" s="330"/>
      <c r="O42" s="330"/>
      <c r="P42" s="330"/>
    </row>
    <row r="43" spans="2:16" ht="9.6" customHeight="1" x14ac:dyDescent="0.25">
      <c r="B43" s="97"/>
      <c r="D43" s="779"/>
      <c r="E43" s="6"/>
      <c r="G43" s="57"/>
      <c r="I43" s="12"/>
      <c r="L43" s="330"/>
      <c r="M43" s="330"/>
      <c r="N43" s="330"/>
      <c r="O43" s="330"/>
      <c r="P43" s="330"/>
    </row>
    <row r="44" spans="2:16" x14ac:dyDescent="0.25">
      <c r="B44" s="58" t="s">
        <v>629</v>
      </c>
      <c r="D44" s="45">
        <v>1.25</v>
      </c>
      <c r="E44" s="8" t="s">
        <v>628</v>
      </c>
      <c r="G44" s="57"/>
      <c r="H44" s="9"/>
      <c r="I44" s="57"/>
      <c r="J44" s="9"/>
    </row>
    <row r="45" spans="2:16" hidden="1" x14ac:dyDescent="0.25">
      <c r="B45" s="97" t="s">
        <v>636</v>
      </c>
      <c r="D45" s="118">
        <f>8*J12+4*H12+2*F12+D12</f>
        <v>3</v>
      </c>
      <c r="E45" s="8"/>
      <c r="G45" s="97"/>
      <c r="H45" s="97"/>
      <c r="I45" s="97"/>
      <c r="J45" s="97"/>
      <c r="K45" s="397"/>
      <c r="L45" s="13"/>
    </row>
    <row r="46" spans="2:16" hidden="1" x14ac:dyDescent="0.25">
      <c r="B46" s="97" t="s">
        <v>634</v>
      </c>
      <c r="D46" s="78">
        <f>D10+F10+H10+J10</f>
        <v>3</v>
      </c>
      <c r="E46" s="8"/>
      <c r="G46" s="396"/>
      <c r="H46" s="396"/>
      <c r="I46" s="396"/>
      <c r="J46" s="396"/>
      <c r="K46" s="398"/>
      <c r="L46" s="13"/>
    </row>
    <row r="47" spans="2:16" x14ac:dyDescent="0.25">
      <c r="B47" s="9" t="s">
        <v>627</v>
      </c>
      <c r="D47" s="45">
        <v>10</v>
      </c>
      <c r="E47" s="8" t="s">
        <v>628</v>
      </c>
      <c r="G47" s="25"/>
      <c r="H47" s="25"/>
      <c r="I47" s="25"/>
      <c r="J47" s="25"/>
      <c r="K47" s="13"/>
      <c r="L47" s="13"/>
    </row>
    <row r="48" spans="2:16" hidden="1" x14ac:dyDescent="0.25">
      <c r="B48" s="7" t="s">
        <v>637</v>
      </c>
      <c r="D48" s="118">
        <f>8*J10+4*H10+2*F10+D10</f>
        <v>7</v>
      </c>
      <c r="E48" s="8"/>
      <c r="G48" s="25"/>
      <c r="H48" s="25"/>
      <c r="I48" s="25"/>
      <c r="J48" s="25"/>
      <c r="K48" s="13"/>
      <c r="L48" s="13"/>
    </row>
    <row r="49" spans="2:12" hidden="1" x14ac:dyDescent="0.25">
      <c r="B49" s="97" t="s">
        <v>635</v>
      </c>
      <c r="D49" s="781">
        <f>D12+F12+H12+J12</f>
        <v>2</v>
      </c>
      <c r="G49" s="396"/>
      <c r="H49" s="396"/>
      <c r="I49" s="396"/>
      <c r="J49" s="396"/>
      <c r="K49" s="13"/>
      <c r="L49" s="13"/>
    </row>
    <row r="50" spans="2:12" ht="3.95" customHeight="1" x14ac:dyDescent="0.25">
      <c r="B50" s="58"/>
      <c r="D50" s="25"/>
      <c r="G50" s="25"/>
      <c r="H50" s="25"/>
      <c r="I50" s="25"/>
      <c r="J50" s="25"/>
    </row>
    <row r="51" spans="2:12" x14ac:dyDescent="0.25">
      <c r="B51" s="58" t="s">
        <v>631</v>
      </c>
      <c r="D51" s="360">
        <f>D33*D44</f>
        <v>10.234404700401603</v>
      </c>
      <c r="E51" s="19" t="s">
        <v>633</v>
      </c>
    </row>
    <row r="52" spans="2:12" x14ac:dyDescent="0.25">
      <c r="B52" s="58" t="s">
        <v>632</v>
      </c>
      <c r="D52" s="35">
        <f>D36*D47</f>
        <v>70.549971689735543</v>
      </c>
      <c r="E52" s="19" t="s">
        <v>633</v>
      </c>
    </row>
    <row r="54" spans="2:12" x14ac:dyDescent="0.25">
      <c r="B54" s="58" t="s">
        <v>1572</v>
      </c>
      <c r="D54" s="265">
        <v>3</v>
      </c>
    </row>
    <row r="55" spans="2:12" x14ac:dyDescent="0.25">
      <c r="B55" s="58" t="s">
        <v>1573</v>
      </c>
      <c r="D55" s="265">
        <v>3</v>
      </c>
    </row>
    <row r="56" spans="2:12" x14ac:dyDescent="0.25">
      <c r="B56" s="58" t="s">
        <v>1574</v>
      </c>
      <c r="D56" s="501" t="s">
        <v>1575</v>
      </c>
    </row>
    <row r="57" spans="2:12" x14ac:dyDescent="0.25">
      <c r="B57" s="58" t="s">
        <v>1639</v>
      </c>
      <c r="D57" s="52">
        <v>8</v>
      </c>
    </row>
    <row r="58" spans="2:12" x14ac:dyDescent="0.25">
      <c r="B58" s="58" t="s">
        <v>1633</v>
      </c>
      <c r="D58" s="802">
        <f>D57*4</f>
        <v>32</v>
      </c>
      <c r="E58" t="s">
        <v>1167</v>
      </c>
    </row>
    <row r="59" spans="2:12" x14ac:dyDescent="0.25">
      <c r="B59" s="58" t="s">
        <v>1635</v>
      </c>
      <c r="D59" s="802">
        <f>128-D58</f>
        <v>96</v>
      </c>
      <c r="E59" t="s">
        <v>1167</v>
      </c>
    </row>
    <row r="60" spans="2:12" x14ac:dyDescent="0.25">
      <c r="B60" s="58" t="s">
        <v>1634</v>
      </c>
      <c r="D60" s="802">
        <f>D58+128</f>
        <v>160</v>
      </c>
      <c r="E60" t="s">
        <v>1167</v>
      </c>
    </row>
    <row r="62" spans="2:12" ht="15.75" x14ac:dyDescent="0.25">
      <c r="B62" s="451" t="s">
        <v>630</v>
      </c>
    </row>
    <row r="63" spans="2:12" x14ac:dyDescent="0.25">
      <c r="B63" s="427" t="s">
        <v>1609</v>
      </c>
      <c r="C63" s="427" t="s">
        <v>1610</v>
      </c>
      <c r="D63" s="427" t="s">
        <v>768</v>
      </c>
    </row>
    <row r="64" spans="2:12" x14ac:dyDescent="0.25">
      <c r="B64" s="796" t="s">
        <v>1593</v>
      </c>
      <c r="C64" s="795" t="s">
        <v>1009</v>
      </c>
      <c r="D64" s="797" t="str">
        <f>"0x" &amp; DEC2HEX((D48+D45*16),2)</f>
        <v>0x37</v>
      </c>
    </row>
    <row r="65" spans="2:10" x14ac:dyDescent="0.25">
      <c r="B65" s="796" t="s">
        <v>1594</v>
      </c>
      <c r="C65" s="795" t="s">
        <v>1010</v>
      </c>
      <c r="D65" s="797" t="str">
        <f>"0x" &amp; DEC2HEX(3-LOG((D47/10),2),2)</f>
        <v>0x03</v>
      </c>
    </row>
    <row r="66" spans="2:10" x14ac:dyDescent="0.25">
      <c r="B66" s="796" t="s">
        <v>1595</v>
      </c>
      <c r="C66" s="795" t="s">
        <v>1011</v>
      </c>
      <c r="D66" s="797" t="str">
        <f>"0x"&amp;DEC2HEX(D37)</f>
        <v>0x28</v>
      </c>
    </row>
    <row r="67" spans="2:10" x14ac:dyDescent="0.25">
      <c r="B67" s="796" t="s">
        <v>1596</v>
      </c>
      <c r="C67" s="795" t="s">
        <v>1012</v>
      </c>
      <c r="D67" s="797" t="str">
        <f>"0x" &amp; DEC2HEX(3-LOG((D44/0.625),2),2)</f>
        <v>0x02</v>
      </c>
    </row>
    <row r="68" spans="2:10" x14ac:dyDescent="0.25">
      <c r="B68" s="796" t="s">
        <v>1597</v>
      </c>
      <c r="C68" s="795" t="s">
        <v>897</v>
      </c>
      <c r="D68" s="797" t="str">
        <f>"0x"&amp;DEC2HEX(F37)</f>
        <v>0x28</v>
      </c>
    </row>
    <row r="69" spans="2:10" x14ac:dyDescent="0.25">
      <c r="B69" s="796" t="s">
        <v>1598</v>
      </c>
      <c r="C69" s="795" t="s">
        <v>898</v>
      </c>
      <c r="D69" s="797" t="str">
        <f>IF(D56="Active Low","0x01","0x05")</f>
        <v>0x01</v>
      </c>
    </row>
    <row r="70" spans="2:10" x14ac:dyDescent="0.25">
      <c r="B70" s="796" t="s">
        <v>1599</v>
      </c>
      <c r="C70" s="795" t="s">
        <v>899</v>
      </c>
      <c r="D70" s="797" t="str">
        <f>"0x"&amp;DEC2HEX(H37)</f>
        <v>0x28</v>
      </c>
    </row>
    <row r="71" spans="2:10" x14ac:dyDescent="0.25">
      <c r="B71" s="796" t="s">
        <v>1600</v>
      </c>
      <c r="C71" s="795" t="s">
        <v>900</v>
      </c>
      <c r="D71" s="797" t="str">
        <f>"0x"&amp;DEC2HEX(D54,2)</f>
        <v>0x03</v>
      </c>
    </row>
    <row r="72" spans="2:10" x14ac:dyDescent="0.25">
      <c r="B72" s="796" t="s">
        <v>1601</v>
      </c>
      <c r="C72" s="795" t="s">
        <v>905</v>
      </c>
      <c r="D72" s="797" t="str">
        <f>"0x"&amp;DEC2HEX(J37)</f>
        <v>0x28</v>
      </c>
    </row>
    <row r="73" spans="2:10" x14ac:dyDescent="0.25">
      <c r="B73" s="796" t="s">
        <v>1602</v>
      </c>
      <c r="C73" s="795" t="s">
        <v>906</v>
      </c>
      <c r="D73" s="797" t="str">
        <f>"0x"&amp;DEC2HEX(D55,2)</f>
        <v>0x03</v>
      </c>
    </row>
    <row r="74" spans="2:10" x14ac:dyDescent="0.25">
      <c r="B74" s="796" t="s">
        <v>1603</v>
      </c>
      <c r="C74" s="795" t="s">
        <v>908</v>
      </c>
      <c r="D74" s="797" t="str">
        <f>"0x" &amp; DEC2HEX(D20,2)</f>
        <v>0x03</v>
      </c>
    </row>
    <row r="75" spans="2:10" x14ac:dyDescent="0.25">
      <c r="B75" s="796" t="s">
        <v>1636</v>
      </c>
      <c r="C75" s="795" t="s">
        <v>1637</v>
      </c>
      <c r="D75" s="797" t="str">
        <f>"0x"&amp;DEC2HEX(D57,2)</f>
        <v>0x08</v>
      </c>
    </row>
    <row r="76" spans="2:10" x14ac:dyDescent="0.25">
      <c r="B76" s="796" t="s">
        <v>618</v>
      </c>
      <c r="C76" s="795" t="s">
        <v>917</v>
      </c>
      <c r="D76" s="797" t="str">
        <f>"0x"&amp;DEC2HEX(J26*2^6+H26*2^4+F26*2^2+D26,2)</f>
        <v>0x00</v>
      </c>
    </row>
    <row r="77" spans="2:10" hidden="1" x14ac:dyDescent="0.25">
      <c r="B77" s="408" t="s">
        <v>732</v>
      </c>
      <c r="C77" s="795"/>
      <c r="D77" s="798">
        <f>D17*128+32*D18+D23</f>
        <v>209</v>
      </c>
      <c r="E77" s="356"/>
      <c r="F77" s="356">
        <f>F17*128+32*F18+F23</f>
        <v>83</v>
      </c>
      <c r="G77" s="356"/>
      <c r="H77" s="356">
        <f>H17*128+32*H18+H23</f>
        <v>83</v>
      </c>
      <c r="I77" s="356"/>
      <c r="J77" s="356">
        <f>J17*128+32*J18+J23</f>
        <v>83</v>
      </c>
    </row>
    <row r="78" spans="2:10" x14ac:dyDescent="0.25">
      <c r="B78" s="796" t="s">
        <v>1604</v>
      </c>
      <c r="C78" s="795" t="s">
        <v>919</v>
      </c>
      <c r="D78" s="797" t="str">
        <f>"0x" &amp; DEC2HEX(D77)</f>
        <v>0xD1</v>
      </c>
    </row>
    <row r="79" spans="2:10" x14ac:dyDescent="0.25">
      <c r="B79" s="796" t="s">
        <v>1605</v>
      </c>
      <c r="C79" s="795" t="s">
        <v>1590</v>
      </c>
      <c r="D79" s="797" t="str">
        <f>"0x" &amp; DEC2HEX(F77)</f>
        <v>0x53</v>
      </c>
    </row>
    <row r="80" spans="2:10" x14ac:dyDescent="0.25">
      <c r="B80" s="796" t="s">
        <v>1606</v>
      </c>
      <c r="C80" s="795" t="s">
        <v>1591</v>
      </c>
      <c r="D80" s="797" t="str">
        <f>"0x" &amp; DEC2HEX(H77)</f>
        <v>0x53</v>
      </c>
      <c r="E80" s="330"/>
      <c r="F80" s="330"/>
    </row>
    <row r="81" spans="2:6" x14ac:dyDescent="0.25">
      <c r="B81" s="796" t="s">
        <v>1607</v>
      </c>
      <c r="C81" s="795" t="s">
        <v>1592</v>
      </c>
      <c r="D81" s="797" t="str">
        <f>"0x" &amp; DEC2HEX(J77)</f>
        <v>0x53</v>
      </c>
      <c r="E81" s="330"/>
      <c r="F81" s="330"/>
    </row>
    <row r="82" spans="2:6" x14ac:dyDescent="0.25">
      <c r="C82" s="361"/>
      <c r="D82" s="330"/>
      <c r="E82" s="330"/>
      <c r="F82" s="330"/>
    </row>
    <row r="83" spans="2:6" ht="15.75" x14ac:dyDescent="0.25">
      <c r="B83" s="251" t="s">
        <v>277</v>
      </c>
      <c r="C83" s="2"/>
      <c r="D83" s="2"/>
      <c r="F83" s="330"/>
    </row>
    <row r="84" spans="2:6" x14ac:dyDescent="0.25">
      <c r="B84" s="256" t="s">
        <v>69</v>
      </c>
      <c r="C84" s="152">
        <v>23</v>
      </c>
      <c r="D84" s="257" t="s">
        <v>96</v>
      </c>
      <c r="F84" s="330"/>
    </row>
    <row r="85" spans="2:6" x14ac:dyDescent="0.25">
      <c r="B85" s="256" t="s">
        <v>26</v>
      </c>
      <c r="C85" s="152">
        <v>380</v>
      </c>
      <c r="D85" s="171" t="s">
        <v>27</v>
      </c>
      <c r="F85" s="330"/>
    </row>
    <row r="86" spans="2:6" x14ac:dyDescent="0.25">
      <c r="B86" s="256" t="str">
        <f>IF(B87="Rp","Rs","Rp")</f>
        <v>Rs</v>
      </c>
      <c r="C86" s="152">
        <v>10</v>
      </c>
      <c r="D86" s="257" t="str">
        <f>IF(B87="Rp","Ω","kΩ")</f>
        <v>Ω</v>
      </c>
      <c r="F86" s="330"/>
    </row>
    <row r="87" spans="2:6" x14ac:dyDescent="0.25">
      <c r="B87" s="250" t="s">
        <v>81</v>
      </c>
      <c r="C87" s="258">
        <f>1000/C86*C84/C85</f>
        <v>6.0526315789473681</v>
      </c>
      <c r="D87" s="171" t="str">
        <f>IF(B87="Rp","kΩ","Ω")</f>
        <v>kΩ</v>
      </c>
      <c r="F87" s="330"/>
    </row>
    <row r="88" spans="2:6" x14ac:dyDescent="0.25">
      <c r="B88" s="256" t="s">
        <v>228</v>
      </c>
      <c r="C88" s="170">
        <f>(0.000001/(2*PI()*SQRT(C84*0.000001*C85*0.000000000001)))</f>
        <v>1.7024109942756815</v>
      </c>
      <c r="D88" s="171" t="s">
        <v>0</v>
      </c>
      <c r="F88" s="330"/>
    </row>
    <row r="89" spans="2:6" x14ac:dyDescent="0.25">
      <c r="B89" s="256" t="s">
        <v>83</v>
      </c>
      <c r="C89" s="172">
        <f>IF(B87="Rs",(1000/C87)*SQRT(C84/C85),(1000/C86)*SQRT(C84/C85))</f>
        <v>24.602096615832092</v>
      </c>
      <c r="D89" s="259"/>
    </row>
    <row r="90" spans="2:6" x14ac:dyDescent="0.25">
      <c r="B90" s="256" t="s">
        <v>1582</v>
      </c>
      <c r="C90" s="37">
        <f>100*C85/C89</f>
        <v>1544.5838049244146</v>
      </c>
      <c r="D90" s="28" t="s">
        <v>27</v>
      </c>
    </row>
    <row r="91" spans="2:6" x14ac:dyDescent="0.25">
      <c r="B91" s="256" t="s">
        <v>1583</v>
      </c>
      <c r="C91" s="37">
        <f>1250*C85/C89</f>
        <v>19307.297561555184</v>
      </c>
      <c r="D91" s="28" t="s">
        <v>27</v>
      </c>
    </row>
    <row r="108" spans="3:22" hidden="1" x14ac:dyDescent="0.25">
      <c r="C108" s="574" t="s">
        <v>1579</v>
      </c>
    </row>
    <row r="109" spans="3:22" hidden="1" x14ac:dyDescent="0.25">
      <c r="C109" s="574" t="s">
        <v>743</v>
      </c>
      <c r="D109" s="574" t="s">
        <v>744</v>
      </c>
      <c r="E109" s="574"/>
      <c r="F109" s="574" t="s">
        <v>745</v>
      </c>
      <c r="G109" s="574" t="s">
        <v>746</v>
      </c>
      <c r="H109" s="574" t="s">
        <v>747</v>
      </c>
      <c r="I109" s="574" t="s">
        <v>748</v>
      </c>
      <c r="J109" s="574" t="s">
        <v>749</v>
      </c>
      <c r="K109" s="574" t="s">
        <v>750</v>
      </c>
      <c r="L109" s="574" t="s">
        <v>751</v>
      </c>
      <c r="M109" s="574" t="s">
        <v>752</v>
      </c>
      <c r="N109" s="574" t="s">
        <v>753</v>
      </c>
      <c r="O109" s="574" t="s">
        <v>754</v>
      </c>
      <c r="P109" s="574" t="s">
        <v>758</v>
      </c>
      <c r="Q109" s="574" t="s">
        <v>755</v>
      </c>
      <c r="R109" s="574" t="s">
        <v>759</v>
      </c>
      <c r="S109" s="574" t="s">
        <v>756</v>
      </c>
      <c r="T109" s="574" t="s">
        <v>760</v>
      </c>
      <c r="U109" s="574" t="s">
        <v>757</v>
      </c>
      <c r="V109" s="574" t="s">
        <v>761</v>
      </c>
    </row>
    <row r="110" spans="3:22" hidden="1" x14ac:dyDescent="0.25">
      <c r="C110" s="75">
        <v>1</v>
      </c>
      <c r="D110" s="75">
        <v>30</v>
      </c>
      <c r="E110" s="75"/>
      <c r="F110" s="75">
        <v>0.01</v>
      </c>
      <c r="G110" s="75">
        <v>30</v>
      </c>
      <c r="H110" s="75">
        <v>30</v>
      </c>
      <c r="I110" s="75">
        <v>30</v>
      </c>
      <c r="J110" s="75">
        <v>30</v>
      </c>
      <c r="K110" s="75">
        <v>30</v>
      </c>
      <c r="L110" s="75">
        <v>30</v>
      </c>
      <c r="M110" s="75">
        <v>30</v>
      </c>
      <c r="N110" s="75">
        <v>30</v>
      </c>
      <c r="O110" s="80">
        <f>D24</f>
        <v>1.0573333333333335</v>
      </c>
      <c r="P110" s="575">
        <f>IF(D7=TRUE(),D15,-100)</f>
        <v>18</v>
      </c>
      <c r="Q110" s="80">
        <f>F24</f>
        <v>1.054</v>
      </c>
      <c r="R110" s="575">
        <f>IF(F7=TRUE(),F15,-100)</f>
        <v>20</v>
      </c>
      <c r="S110" s="80">
        <f>IF(H7=TRUE(),H24,-100)</f>
        <v>1.054</v>
      </c>
      <c r="T110" s="575">
        <f>H15</f>
        <v>20</v>
      </c>
      <c r="U110" s="80">
        <f>J16</f>
        <v>1</v>
      </c>
      <c r="V110" s="575">
        <f>IF(J7=TRUE(),J15,-100)</f>
        <v>-100</v>
      </c>
    </row>
    <row r="111" spans="3:22" hidden="1" x14ac:dyDescent="0.25">
      <c r="C111" s="75">
        <v>1</v>
      </c>
      <c r="D111" s="75">
        <v>30</v>
      </c>
      <c r="E111" s="75"/>
      <c r="F111" s="75">
        <v>0.1</v>
      </c>
      <c r="G111" s="75">
        <v>30</v>
      </c>
      <c r="H111" s="75">
        <v>30</v>
      </c>
      <c r="I111" s="75">
        <v>30</v>
      </c>
      <c r="J111" s="75">
        <v>30</v>
      </c>
      <c r="K111" s="75">
        <v>30</v>
      </c>
      <c r="L111" s="75">
        <v>30</v>
      </c>
      <c r="M111" s="75">
        <v>30</v>
      </c>
      <c r="N111" s="75">
        <v>30</v>
      </c>
      <c r="O111" s="75">
        <f>O110*1.001</f>
        <v>1.0583906666666667</v>
      </c>
      <c r="P111" s="575">
        <f>IF(D7=TRUE(),0.9999*D15,-100)</f>
        <v>17.998200000000001</v>
      </c>
      <c r="Q111" s="75">
        <f t="shared" ref="Q111:V111" si="0">Q110*1.001</f>
        <v>1.0550539999999999</v>
      </c>
      <c r="R111" s="75">
        <f>IF(F7=TRUE(),F15,-100)</f>
        <v>20</v>
      </c>
      <c r="S111" s="75">
        <f t="shared" si="0"/>
        <v>1.0550539999999999</v>
      </c>
      <c r="T111" s="75">
        <f t="shared" si="0"/>
        <v>20.019999999999996</v>
      </c>
      <c r="U111" s="75">
        <f t="shared" si="0"/>
        <v>1.0009999999999999</v>
      </c>
      <c r="V111" s="75">
        <f t="shared" si="0"/>
        <v>-100.1</v>
      </c>
    </row>
    <row r="112" spans="3:22" hidden="1" x14ac:dyDescent="0.25">
      <c r="C112" s="75">
        <v>1</v>
      </c>
      <c r="D112" s="75">
        <v>30</v>
      </c>
      <c r="E112" s="75"/>
      <c r="F112" s="75">
        <v>0.25</v>
      </c>
      <c r="G112" s="75">
        <v>16.384</v>
      </c>
      <c r="H112" s="75">
        <v>30</v>
      </c>
      <c r="I112" s="75">
        <v>30</v>
      </c>
      <c r="J112" s="75">
        <v>30</v>
      </c>
      <c r="K112" s="75">
        <v>30</v>
      </c>
      <c r="L112" s="75">
        <v>30</v>
      </c>
      <c r="M112" s="75">
        <v>30</v>
      </c>
      <c r="N112" s="75">
        <v>30</v>
      </c>
    </row>
    <row r="113" spans="3:14" hidden="1" x14ac:dyDescent="0.25">
      <c r="C113" s="75">
        <v>1</v>
      </c>
      <c r="D113" s="75">
        <v>30</v>
      </c>
      <c r="E113" s="75"/>
      <c r="F113" s="75">
        <v>0.5</v>
      </c>
      <c r="G113" s="75">
        <v>8.1920000000000002</v>
      </c>
      <c r="H113" s="75">
        <v>16.384</v>
      </c>
      <c r="I113" s="75">
        <v>30</v>
      </c>
      <c r="J113" s="75">
        <v>30</v>
      </c>
      <c r="K113" s="75">
        <v>30</v>
      </c>
      <c r="L113" s="75">
        <v>30</v>
      </c>
      <c r="M113" s="75">
        <v>30</v>
      </c>
      <c r="N113" s="75">
        <v>30</v>
      </c>
    </row>
    <row r="114" spans="3:14" hidden="1" x14ac:dyDescent="0.25">
      <c r="C114" s="75">
        <v>1</v>
      </c>
      <c r="D114" s="75">
        <v>30</v>
      </c>
      <c r="E114" s="75"/>
      <c r="F114" s="75">
        <v>0.75</v>
      </c>
      <c r="G114" s="75">
        <v>5.4613333333333332</v>
      </c>
      <c r="H114" s="75">
        <v>10.922666666666666</v>
      </c>
      <c r="I114" s="75">
        <v>21.845333333333333</v>
      </c>
      <c r="J114" s="75">
        <v>30</v>
      </c>
      <c r="K114" s="75">
        <v>30</v>
      </c>
      <c r="L114" s="75">
        <v>30</v>
      </c>
      <c r="M114" s="75">
        <v>30</v>
      </c>
      <c r="N114" s="75">
        <v>30</v>
      </c>
    </row>
    <row r="115" spans="3:14" hidden="1" x14ac:dyDescent="0.25">
      <c r="C115" s="75">
        <v>1</v>
      </c>
      <c r="D115" s="75">
        <v>30</v>
      </c>
      <c r="E115" s="75"/>
      <c r="F115" s="75">
        <v>1</v>
      </c>
      <c r="G115" s="75">
        <v>4.0960000000000001</v>
      </c>
      <c r="H115" s="75">
        <v>8.1920000000000002</v>
      </c>
      <c r="I115" s="75">
        <v>16.384</v>
      </c>
      <c r="J115" s="75">
        <v>30</v>
      </c>
      <c r="K115" s="75">
        <v>30</v>
      </c>
      <c r="L115" s="75">
        <v>30</v>
      </c>
      <c r="M115" s="75">
        <v>30</v>
      </c>
      <c r="N115" s="75">
        <v>30</v>
      </c>
    </row>
    <row r="116" spans="3:14" hidden="1" x14ac:dyDescent="0.25">
      <c r="C116" s="75">
        <v>1</v>
      </c>
      <c r="D116" s="75">
        <v>30</v>
      </c>
      <c r="E116" s="75"/>
      <c r="F116" s="75">
        <v>1.25</v>
      </c>
      <c r="G116" s="75">
        <v>3.2767999999999997</v>
      </c>
      <c r="H116" s="75">
        <v>6.5535999999999994</v>
      </c>
      <c r="I116" s="75">
        <v>13.107199999999999</v>
      </c>
      <c r="J116" s="75">
        <v>26.214399999999998</v>
      </c>
      <c r="K116" s="75">
        <v>30</v>
      </c>
      <c r="L116" s="75">
        <v>30</v>
      </c>
      <c r="M116" s="75">
        <v>30</v>
      </c>
      <c r="N116" s="75">
        <v>30</v>
      </c>
    </row>
    <row r="117" spans="3:14" hidden="1" x14ac:dyDescent="0.25">
      <c r="C117" s="75">
        <v>1</v>
      </c>
      <c r="D117" s="75">
        <v>30</v>
      </c>
      <c r="E117" s="75"/>
      <c r="F117" s="75">
        <v>1.5</v>
      </c>
      <c r="G117" s="75">
        <v>2.7306666666666666</v>
      </c>
      <c r="H117" s="75">
        <v>5.4613333333333332</v>
      </c>
      <c r="I117" s="75">
        <v>10.922666666666666</v>
      </c>
      <c r="J117" s="75">
        <v>21.845333333333333</v>
      </c>
      <c r="K117" s="75">
        <v>30</v>
      </c>
      <c r="L117" s="75">
        <v>30</v>
      </c>
      <c r="M117" s="75">
        <v>30</v>
      </c>
      <c r="N117" s="75">
        <v>30</v>
      </c>
    </row>
    <row r="118" spans="3:14" hidden="1" x14ac:dyDescent="0.25">
      <c r="C118" s="75">
        <v>1</v>
      </c>
      <c r="D118" s="75">
        <v>30</v>
      </c>
      <c r="E118" s="75"/>
      <c r="F118" s="75">
        <v>1.75</v>
      </c>
      <c r="G118" s="75">
        <v>2.3405714285714283</v>
      </c>
      <c r="H118" s="75">
        <v>4.6811428571428566</v>
      </c>
      <c r="I118" s="75">
        <v>9.3622857142857132</v>
      </c>
      <c r="J118" s="75">
        <v>18.724571428571426</v>
      </c>
      <c r="K118" s="75">
        <v>30</v>
      </c>
      <c r="L118" s="75">
        <v>30</v>
      </c>
      <c r="M118" s="75">
        <v>30</v>
      </c>
      <c r="N118" s="75">
        <v>30</v>
      </c>
    </row>
    <row r="119" spans="3:14" hidden="1" x14ac:dyDescent="0.25">
      <c r="C119" s="75">
        <v>1</v>
      </c>
      <c r="D119" s="75">
        <v>30</v>
      </c>
      <c r="E119" s="75"/>
      <c r="F119" s="75">
        <v>2.1</v>
      </c>
      <c r="G119" s="75">
        <v>1.95047619047619</v>
      </c>
      <c r="H119" s="75">
        <v>3.9009523809523801</v>
      </c>
      <c r="I119" s="75">
        <v>7.8019047619047601</v>
      </c>
      <c r="J119" s="75">
        <v>15.60380952380952</v>
      </c>
      <c r="K119" s="75">
        <v>30</v>
      </c>
      <c r="L119" s="75">
        <v>30</v>
      </c>
      <c r="M119" s="75">
        <v>30</v>
      </c>
      <c r="N119" s="75">
        <v>30</v>
      </c>
    </row>
    <row r="120" spans="3:14" hidden="1" x14ac:dyDescent="0.25">
      <c r="C120" s="75">
        <v>1</v>
      </c>
      <c r="D120" s="75">
        <v>30</v>
      </c>
      <c r="E120" s="75"/>
      <c r="F120" s="75">
        <v>2.5</v>
      </c>
      <c r="G120" s="75">
        <v>1.6383999999999999</v>
      </c>
      <c r="H120" s="75">
        <v>3.2767999999999997</v>
      </c>
      <c r="I120" s="75">
        <v>6.5535999999999994</v>
      </c>
      <c r="J120" s="75">
        <v>13.107199999999999</v>
      </c>
      <c r="K120" s="75">
        <v>26.214399999999998</v>
      </c>
      <c r="L120" s="75">
        <v>30</v>
      </c>
      <c r="M120" s="75">
        <v>30</v>
      </c>
      <c r="N120" s="75">
        <v>30</v>
      </c>
    </row>
    <row r="121" spans="3:14" hidden="1" x14ac:dyDescent="0.25">
      <c r="C121" s="75">
        <v>1</v>
      </c>
      <c r="D121" s="75">
        <v>30</v>
      </c>
      <c r="E121" s="75"/>
      <c r="F121" s="75">
        <v>2.75</v>
      </c>
      <c r="G121" s="75">
        <v>1.4894545454545454</v>
      </c>
      <c r="H121" s="75">
        <v>2.9789090909090907</v>
      </c>
      <c r="I121" s="75">
        <v>5.9578181818181815</v>
      </c>
      <c r="J121" s="75">
        <v>11.915636363636363</v>
      </c>
      <c r="K121" s="75">
        <v>23.831272727272726</v>
      </c>
      <c r="L121" s="75">
        <v>30</v>
      </c>
      <c r="M121" s="75">
        <v>30</v>
      </c>
      <c r="N121" s="75">
        <v>30</v>
      </c>
    </row>
    <row r="122" spans="3:14" hidden="1" x14ac:dyDescent="0.25">
      <c r="C122" s="75">
        <v>1</v>
      </c>
      <c r="D122" s="75">
        <v>30</v>
      </c>
      <c r="E122" s="75"/>
      <c r="F122" s="75">
        <v>3</v>
      </c>
      <c r="G122" s="75">
        <v>1.3653333333333333</v>
      </c>
      <c r="H122" s="75">
        <v>2.7306666666666666</v>
      </c>
      <c r="I122" s="75">
        <v>5.4613333333333332</v>
      </c>
      <c r="J122" s="75">
        <v>10.922666666666666</v>
      </c>
      <c r="K122" s="75">
        <v>21.845333333333333</v>
      </c>
      <c r="L122" s="75">
        <v>30</v>
      </c>
      <c r="M122" s="75">
        <v>30</v>
      </c>
      <c r="N122" s="75">
        <v>30</v>
      </c>
    </row>
    <row r="123" spans="3:14" hidden="1" x14ac:dyDescent="0.25">
      <c r="C123" s="75">
        <v>1</v>
      </c>
      <c r="D123" s="75">
        <v>30</v>
      </c>
      <c r="E123" s="75"/>
      <c r="F123" s="75">
        <v>3.25</v>
      </c>
      <c r="G123" s="75">
        <v>1.2603076923076924</v>
      </c>
      <c r="H123" s="75">
        <v>2.5206153846153847</v>
      </c>
      <c r="I123" s="75">
        <v>5.0412307692307694</v>
      </c>
      <c r="J123" s="75">
        <v>10.082461538461539</v>
      </c>
      <c r="K123" s="75">
        <v>20.164923076923078</v>
      </c>
      <c r="L123" s="75">
        <v>30</v>
      </c>
      <c r="M123" s="75">
        <v>30</v>
      </c>
      <c r="N123" s="75">
        <v>30</v>
      </c>
    </row>
    <row r="124" spans="3:14" hidden="1" x14ac:dyDescent="0.25">
      <c r="C124" s="75">
        <v>1</v>
      </c>
      <c r="D124" s="75">
        <v>30</v>
      </c>
      <c r="E124" s="75"/>
      <c r="F124" s="75">
        <v>3.5</v>
      </c>
      <c r="G124" s="75">
        <v>1.1702857142857142</v>
      </c>
      <c r="H124" s="75">
        <v>2.3405714285714283</v>
      </c>
      <c r="I124" s="75">
        <v>4.6811428571428566</v>
      </c>
      <c r="J124" s="75">
        <v>9.3622857142857132</v>
      </c>
      <c r="K124" s="75">
        <v>18.724571428571426</v>
      </c>
      <c r="L124" s="75">
        <v>30</v>
      </c>
      <c r="M124" s="75">
        <v>30</v>
      </c>
      <c r="N124" s="75">
        <v>30</v>
      </c>
    </row>
    <row r="125" spans="3:14" hidden="1" x14ac:dyDescent="0.25">
      <c r="C125" s="75">
        <v>1</v>
      </c>
      <c r="D125" s="75">
        <v>30</v>
      </c>
      <c r="E125" s="75"/>
      <c r="F125" s="75">
        <v>3.75</v>
      </c>
      <c r="G125" s="75">
        <v>1.0922666666666667</v>
      </c>
      <c r="H125" s="75">
        <v>2.1845333333333334</v>
      </c>
      <c r="I125" s="75">
        <v>4.3690666666666669</v>
      </c>
      <c r="J125" s="75">
        <v>8.7381333333333338</v>
      </c>
      <c r="K125" s="75">
        <v>17.476266666666668</v>
      </c>
      <c r="L125" s="75">
        <v>30</v>
      </c>
      <c r="M125" s="75">
        <v>30</v>
      </c>
      <c r="N125" s="75">
        <v>30</v>
      </c>
    </row>
    <row r="126" spans="3:14" hidden="1" x14ac:dyDescent="0.25">
      <c r="C126" s="75">
        <v>1</v>
      </c>
      <c r="D126" s="75">
        <v>30</v>
      </c>
      <c r="E126" s="75"/>
      <c r="F126" s="75">
        <v>4</v>
      </c>
      <c r="G126" s="75">
        <v>1.024</v>
      </c>
      <c r="H126" s="75">
        <v>2.048</v>
      </c>
      <c r="I126" s="75">
        <v>4.0960000000000001</v>
      </c>
      <c r="J126" s="75">
        <v>8.1920000000000002</v>
      </c>
      <c r="K126" s="75">
        <v>16.384</v>
      </c>
      <c r="L126" s="75">
        <v>30</v>
      </c>
      <c r="M126" s="75">
        <v>30</v>
      </c>
      <c r="N126" s="75">
        <v>30</v>
      </c>
    </row>
    <row r="127" spans="3:14" hidden="1" x14ac:dyDescent="0.25">
      <c r="C127" s="75">
        <v>1</v>
      </c>
      <c r="D127" s="75">
        <v>30</v>
      </c>
      <c r="E127" s="75"/>
      <c r="F127" s="75">
        <v>4.33</v>
      </c>
      <c r="G127" s="75">
        <v>1</v>
      </c>
      <c r="H127" s="75">
        <v>1.8919168591224018</v>
      </c>
      <c r="I127" s="75">
        <v>3.7838337182448036</v>
      </c>
      <c r="J127" s="75">
        <v>7.5676674364896073</v>
      </c>
      <c r="K127" s="75">
        <v>15.135334872979215</v>
      </c>
      <c r="L127" s="75">
        <v>30</v>
      </c>
      <c r="M127" s="75">
        <v>30</v>
      </c>
      <c r="N127" s="75">
        <v>30</v>
      </c>
    </row>
    <row r="128" spans="3:14" hidden="1" x14ac:dyDescent="0.25">
      <c r="C128" s="75">
        <v>1</v>
      </c>
      <c r="D128" s="75">
        <v>30</v>
      </c>
      <c r="E128" s="75"/>
      <c r="F128" s="75">
        <v>4.5</v>
      </c>
      <c r="G128" s="75">
        <v>1</v>
      </c>
      <c r="H128" s="75">
        <v>1.8204444444444445</v>
      </c>
      <c r="I128" s="75">
        <v>3.6408888888888891</v>
      </c>
      <c r="J128" s="75">
        <v>7.2817777777777781</v>
      </c>
      <c r="K128" s="75">
        <v>14.563555555555556</v>
      </c>
      <c r="L128" s="75">
        <v>29.127111111111113</v>
      </c>
      <c r="M128" s="75">
        <v>30</v>
      </c>
      <c r="N128" s="75">
        <v>30</v>
      </c>
    </row>
    <row r="129" spans="3:14" hidden="1" x14ac:dyDescent="0.25">
      <c r="C129" s="75">
        <v>1</v>
      </c>
      <c r="D129" s="75">
        <v>30</v>
      </c>
      <c r="E129" s="75"/>
      <c r="F129" s="75">
        <v>4.75</v>
      </c>
      <c r="G129" s="75">
        <v>1</v>
      </c>
      <c r="H129" s="75">
        <v>1.7246315789473683</v>
      </c>
      <c r="I129" s="75">
        <v>3.4492631578947366</v>
      </c>
      <c r="J129" s="75">
        <v>6.8985263157894732</v>
      </c>
      <c r="K129" s="75">
        <v>13.797052631578946</v>
      </c>
      <c r="L129" s="75">
        <v>27.594105263157893</v>
      </c>
      <c r="M129" s="75">
        <v>30</v>
      </c>
      <c r="N129" s="75">
        <v>30</v>
      </c>
    </row>
    <row r="130" spans="3:14" hidden="1" x14ac:dyDescent="0.25">
      <c r="C130" s="75">
        <v>1</v>
      </c>
      <c r="D130" s="75">
        <v>30</v>
      </c>
      <c r="E130" s="75"/>
      <c r="F130" s="75">
        <v>5</v>
      </c>
      <c r="G130" s="75">
        <v>1</v>
      </c>
      <c r="H130" s="75">
        <v>1.6383999999999999</v>
      </c>
      <c r="I130" s="75">
        <v>3.2767999999999997</v>
      </c>
      <c r="J130" s="75">
        <v>6.5535999999999994</v>
      </c>
      <c r="K130" s="75">
        <v>13.107199999999999</v>
      </c>
      <c r="L130" s="75">
        <v>26.214399999999998</v>
      </c>
      <c r="M130" s="75">
        <v>30</v>
      </c>
      <c r="N130" s="75">
        <v>30</v>
      </c>
    </row>
    <row r="131" spans="3:14" hidden="1" x14ac:dyDescent="0.25">
      <c r="C131" s="75">
        <v>1</v>
      </c>
      <c r="D131" s="75">
        <v>30</v>
      </c>
      <c r="E131" s="75"/>
      <c r="F131" s="75">
        <v>5.25</v>
      </c>
      <c r="G131" s="75">
        <v>1</v>
      </c>
      <c r="H131" s="75">
        <v>1.5603809523809522</v>
      </c>
      <c r="I131" s="75">
        <v>3.1207619047619044</v>
      </c>
      <c r="J131" s="75">
        <v>6.2415238095238088</v>
      </c>
      <c r="K131" s="75">
        <v>12.483047619047618</v>
      </c>
      <c r="L131" s="75">
        <v>24.966095238095235</v>
      </c>
      <c r="M131" s="75">
        <v>30</v>
      </c>
      <c r="N131" s="75">
        <v>30</v>
      </c>
    </row>
    <row r="132" spans="3:14" hidden="1" x14ac:dyDescent="0.25">
      <c r="C132" s="75">
        <v>1</v>
      </c>
      <c r="D132" s="75">
        <v>30</v>
      </c>
      <c r="E132" s="75"/>
      <c r="F132" s="75">
        <v>5.5</v>
      </c>
      <c r="G132" s="75">
        <v>1</v>
      </c>
      <c r="H132" s="75">
        <v>1.4894545454545454</v>
      </c>
      <c r="I132" s="75">
        <v>2.9789090909090907</v>
      </c>
      <c r="J132" s="75">
        <v>5.9578181818181815</v>
      </c>
      <c r="K132" s="75">
        <v>11.915636363636363</v>
      </c>
      <c r="L132" s="75">
        <v>23.831272727272726</v>
      </c>
      <c r="M132" s="75">
        <v>30</v>
      </c>
      <c r="N132" s="75">
        <v>30</v>
      </c>
    </row>
    <row r="133" spans="3:14" hidden="1" x14ac:dyDescent="0.25">
      <c r="C133" s="75">
        <v>1</v>
      </c>
      <c r="D133" s="75">
        <v>30</v>
      </c>
      <c r="E133" s="75"/>
      <c r="F133" s="75">
        <v>5.75</v>
      </c>
      <c r="G133" s="75">
        <v>1</v>
      </c>
      <c r="H133" s="75">
        <v>1.4246956521739129</v>
      </c>
      <c r="I133" s="75">
        <v>2.8493913043478258</v>
      </c>
      <c r="J133" s="75">
        <v>5.6987826086956517</v>
      </c>
      <c r="K133" s="75">
        <v>11.397565217391303</v>
      </c>
      <c r="L133" s="75">
        <v>22.795130434782607</v>
      </c>
      <c r="M133" s="75">
        <v>30</v>
      </c>
      <c r="N133" s="75">
        <v>30</v>
      </c>
    </row>
    <row r="134" spans="3:14" hidden="1" x14ac:dyDescent="0.25">
      <c r="C134" s="75">
        <v>1</v>
      </c>
      <c r="D134" s="75">
        <v>30</v>
      </c>
      <c r="E134" s="75"/>
      <c r="F134" s="75">
        <v>6</v>
      </c>
      <c r="G134" s="75">
        <v>1</v>
      </c>
      <c r="H134" s="75">
        <v>1.3653333333333333</v>
      </c>
      <c r="I134" s="75">
        <v>2.7306666666666666</v>
      </c>
      <c r="J134" s="75">
        <v>5.4613333333333332</v>
      </c>
      <c r="K134" s="75">
        <v>10.922666666666666</v>
      </c>
      <c r="L134" s="75">
        <v>21.845333333333333</v>
      </c>
      <c r="M134" s="75">
        <v>30</v>
      </c>
      <c r="N134" s="75">
        <v>30</v>
      </c>
    </row>
    <row r="135" spans="3:14" hidden="1" x14ac:dyDescent="0.25">
      <c r="C135" s="75">
        <v>1</v>
      </c>
      <c r="D135" s="75">
        <v>30</v>
      </c>
      <c r="E135" s="75"/>
      <c r="F135" s="75">
        <v>6.25</v>
      </c>
      <c r="G135" s="75">
        <v>1</v>
      </c>
      <c r="H135" s="75">
        <v>1.3107199999999999</v>
      </c>
      <c r="I135" s="75">
        <v>2.6214399999999998</v>
      </c>
      <c r="J135" s="75">
        <v>5.2428799999999995</v>
      </c>
      <c r="K135" s="75">
        <v>10.485759999999999</v>
      </c>
      <c r="L135" s="75">
        <v>20.971519999999998</v>
      </c>
      <c r="M135" s="75">
        <v>30</v>
      </c>
      <c r="N135" s="75">
        <v>30</v>
      </c>
    </row>
    <row r="136" spans="3:14" hidden="1" x14ac:dyDescent="0.25">
      <c r="C136" s="75">
        <v>1</v>
      </c>
      <c r="D136" s="75">
        <v>30</v>
      </c>
      <c r="E136" s="75"/>
      <c r="F136" s="75">
        <v>6.5</v>
      </c>
      <c r="G136" s="75">
        <v>1</v>
      </c>
      <c r="H136" s="75">
        <v>1.2603076923076924</v>
      </c>
      <c r="I136" s="75">
        <v>2.5206153846153847</v>
      </c>
      <c r="J136" s="75">
        <v>5.0412307692307694</v>
      </c>
      <c r="K136" s="75">
        <v>10.082461538461539</v>
      </c>
      <c r="L136" s="75">
        <v>20.164923076923078</v>
      </c>
      <c r="M136" s="75">
        <v>30</v>
      </c>
      <c r="N136" s="75">
        <v>30</v>
      </c>
    </row>
    <row r="137" spans="3:14" hidden="1" x14ac:dyDescent="0.25">
      <c r="C137" s="75">
        <v>1</v>
      </c>
      <c r="D137" s="75">
        <v>30</v>
      </c>
      <c r="E137" s="75"/>
      <c r="F137" s="75">
        <v>6.75</v>
      </c>
      <c r="G137" s="75">
        <v>1</v>
      </c>
      <c r="H137" s="75">
        <v>1.2136296296296296</v>
      </c>
      <c r="I137" s="75">
        <v>2.4272592592592592</v>
      </c>
      <c r="J137" s="75">
        <v>4.8545185185185185</v>
      </c>
      <c r="K137" s="75">
        <v>9.7090370370370369</v>
      </c>
      <c r="L137" s="75">
        <v>19.418074074074074</v>
      </c>
      <c r="M137" s="75">
        <v>30</v>
      </c>
      <c r="N137" s="75">
        <v>30</v>
      </c>
    </row>
    <row r="138" spans="3:14" hidden="1" x14ac:dyDescent="0.25">
      <c r="C138" s="75">
        <v>1</v>
      </c>
      <c r="D138" s="75">
        <v>30</v>
      </c>
      <c r="E138" s="75"/>
      <c r="F138" s="75">
        <v>7</v>
      </c>
      <c r="G138" s="75">
        <v>1</v>
      </c>
      <c r="H138" s="75">
        <v>1.1702857142857142</v>
      </c>
      <c r="I138" s="75">
        <v>2.3405714285714283</v>
      </c>
      <c r="J138" s="75">
        <v>4.6811428571428566</v>
      </c>
      <c r="K138" s="75">
        <v>9.3622857142857132</v>
      </c>
      <c r="L138" s="75">
        <v>18.724571428571426</v>
      </c>
      <c r="M138" s="75">
        <v>30</v>
      </c>
      <c r="N138" s="75">
        <v>30</v>
      </c>
    </row>
    <row r="139" spans="3:14" hidden="1" x14ac:dyDescent="0.25">
      <c r="C139" s="75">
        <v>1</v>
      </c>
      <c r="D139" s="75">
        <v>30</v>
      </c>
      <c r="E139" s="75"/>
      <c r="F139" s="75">
        <v>7.25</v>
      </c>
      <c r="G139" s="75">
        <v>1</v>
      </c>
      <c r="H139" s="75">
        <v>1.1299310344827584</v>
      </c>
      <c r="I139" s="75">
        <v>2.2598620689655169</v>
      </c>
      <c r="J139" s="75">
        <v>4.5197241379310338</v>
      </c>
      <c r="K139" s="75">
        <v>9.0394482758620676</v>
      </c>
      <c r="L139" s="75">
        <v>18.078896551724135</v>
      </c>
      <c r="M139" s="75">
        <v>30</v>
      </c>
      <c r="N139" s="75">
        <v>30</v>
      </c>
    </row>
    <row r="140" spans="3:14" hidden="1" x14ac:dyDescent="0.25">
      <c r="C140" s="75">
        <v>1</v>
      </c>
      <c r="D140" s="75">
        <v>30</v>
      </c>
      <c r="E140" s="75"/>
      <c r="F140" s="75">
        <v>7.5</v>
      </c>
      <c r="G140" s="75">
        <v>1</v>
      </c>
      <c r="H140" s="75">
        <v>1.0922666666666667</v>
      </c>
      <c r="I140" s="75">
        <v>2.1845333333333334</v>
      </c>
      <c r="J140" s="75">
        <v>4.3690666666666669</v>
      </c>
      <c r="K140" s="75">
        <v>8.7381333333333338</v>
      </c>
      <c r="L140" s="75">
        <v>17.476266666666668</v>
      </c>
      <c r="M140" s="75">
        <v>30</v>
      </c>
      <c r="N140" s="75">
        <v>30</v>
      </c>
    </row>
    <row r="141" spans="3:14" hidden="1" x14ac:dyDescent="0.25">
      <c r="C141" s="75">
        <v>1</v>
      </c>
      <c r="D141" s="75">
        <v>30</v>
      </c>
      <c r="E141" s="75"/>
      <c r="F141" s="75">
        <v>7.75</v>
      </c>
      <c r="G141" s="75">
        <v>1</v>
      </c>
      <c r="H141" s="75">
        <v>1.0570322580645162</v>
      </c>
      <c r="I141" s="75">
        <v>2.1140645161290323</v>
      </c>
      <c r="J141" s="75">
        <v>4.2281290322580647</v>
      </c>
      <c r="K141" s="75">
        <v>8.4562580645161294</v>
      </c>
      <c r="L141" s="75">
        <v>16.912516129032259</v>
      </c>
      <c r="M141" s="75">
        <v>30</v>
      </c>
      <c r="N141" s="75">
        <v>30</v>
      </c>
    </row>
    <row r="142" spans="3:14" hidden="1" x14ac:dyDescent="0.25">
      <c r="C142" s="75">
        <v>1</v>
      </c>
      <c r="D142" s="75">
        <v>30</v>
      </c>
      <c r="E142" s="75"/>
      <c r="F142" s="75">
        <v>8</v>
      </c>
      <c r="G142" s="75">
        <v>1</v>
      </c>
      <c r="H142" s="75">
        <v>1.024</v>
      </c>
      <c r="I142" s="75">
        <v>2.048</v>
      </c>
      <c r="J142" s="75">
        <v>4.0960000000000001</v>
      </c>
      <c r="K142" s="75">
        <v>8.1920000000000002</v>
      </c>
      <c r="L142" s="75">
        <v>16.384</v>
      </c>
      <c r="M142" s="75">
        <v>30</v>
      </c>
      <c r="N142" s="75">
        <v>30</v>
      </c>
    </row>
    <row r="143" spans="3:14" hidden="1" x14ac:dyDescent="0.25">
      <c r="C143" s="75">
        <v>1</v>
      </c>
      <c r="D143" s="75">
        <v>30</v>
      </c>
      <c r="E143" s="75"/>
      <c r="F143" s="75">
        <v>8.25</v>
      </c>
      <c r="G143" s="75">
        <v>1</v>
      </c>
      <c r="H143" s="75">
        <v>1</v>
      </c>
      <c r="I143" s="75">
        <v>1.9859393939393937</v>
      </c>
      <c r="J143" s="75">
        <v>3.9718787878787873</v>
      </c>
      <c r="K143" s="75">
        <v>7.9437575757575747</v>
      </c>
      <c r="L143" s="75">
        <v>15.887515151515149</v>
      </c>
      <c r="M143" s="75">
        <v>30</v>
      </c>
      <c r="N143" s="75">
        <v>30</v>
      </c>
    </row>
    <row r="144" spans="3:14" hidden="1" x14ac:dyDescent="0.25">
      <c r="C144" s="75">
        <v>1</v>
      </c>
      <c r="D144" s="75">
        <v>30</v>
      </c>
      <c r="E144" s="75"/>
      <c r="F144" s="75">
        <v>8.5</v>
      </c>
      <c r="G144" s="75">
        <v>1</v>
      </c>
      <c r="H144" s="75">
        <v>1</v>
      </c>
      <c r="I144" s="75">
        <v>1.9275294117647057</v>
      </c>
      <c r="J144" s="75">
        <v>3.8550588235294114</v>
      </c>
      <c r="K144" s="75">
        <v>7.7101176470588229</v>
      </c>
      <c r="L144" s="75">
        <v>15.420235294117646</v>
      </c>
      <c r="M144" s="75">
        <v>30</v>
      </c>
      <c r="N144" s="75">
        <v>30</v>
      </c>
    </row>
    <row r="145" spans="3:14" hidden="1" x14ac:dyDescent="0.25">
      <c r="C145" s="75">
        <v>1</v>
      </c>
      <c r="D145" s="75">
        <v>30</v>
      </c>
      <c r="E145" s="75"/>
      <c r="F145" s="75">
        <v>9</v>
      </c>
      <c r="G145" s="75">
        <v>1</v>
      </c>
      <c r="H145" s="75">
        <v>1</v>
      </c>
      <c r="I145" s="75">
        <v>1.8204444444444445</v>
      </c>
      <c r="J145" s="75">
        <v>3.6408888888888891</v>
      </c>
      <c r="K145" s="75">
        <v>7.2817777777777781</v>
      </c>
      <c r="L145" s="75">
        <v>14.563555555555556</v>
      </c>
      <c r="M145" s="75">
        <v>29.127111111111113</v>
      </c>
      <c r="N145" s="75">
        <v>30</v>
      </c>
    </row>
    <row r="146" spans="3:14" hidden="1" x14ac:dyDescent="0.25"/>
    <row r="147" spans="3:14" hidden="1" x14ac:dyDescent="0.25"/>
    <row r="148" spans="3:14" hidden="1" x14ac:dyDescent="0.25">
      <c r="C148" s="574" t="s">
        <v>1580</v>
      </c>
    </row>
    <row r="149" spans="3:14" hidden="1" x14ac:dyDescent="0.25">
      <c r="C149" s="309" t="s">
        <v>1577</v>
      </c>
      <c r="D149" s="309" t="s">
        <v>1578</v>
      </c>
    </row>
    <row r="150" spans="3:14" hidden="1" x14ac:dyDescent="0.25">
      <c r="C150" s="118">
        <v>0</v>
      </c>
      <c r="D150" s="495">
        <v>1</v>
      </c>
    </row>
    <row r="151" spans="3:14" hidden="1" x14ac:dyDescent="0.25">
      <c r="C151" s="118">
        <v>1</v>
      </c>
      <c r="D151" s="495">
        <v>1.0625</v>
      </c>
    </row>
    <row r="152" spans="3:14" hidden="1" x14ac:dyDescent="0.25">
      <c r="C152" s="118">
        <v>2</v>
      </c>
      <c r="D152" s="495">
        <v>1.1875</v>
      </c>
    </row>
    <row r="153" spans="3:14" hidden="1" x14ac:dyDescent="0.25">
      <c r="C153" s="118">
        <v>3</v>
      </c>
      <c r="D153" s="495">
        <v>1.3125</v>
      </c>
    </row>
    <row r="154" spans="3:14" hidden="1" x14ac:dyDescent="0.25">
      <c r="C154" s="118">
        <v>4</v>
      </c>
      <c r="D154" s="495">
        <v>1.4375</v>
      </c>
    </row>
    <row r="155" spans="3:14" hidden="1" x14ac:dyDescent="0.25">
      <c r="C155" s="118">
        <v>5</v>
      </c>
      <c r="D155" s="495">
        <v>1.5625</v>
      </c>
    </row>
    <row r="156" spans="3:14" hidden="1" x14ac:dyDescent="0.25">
      <c r="C156" s="118">
        <v>6</v>
      </c>
      <c r="D156" s="495">
        <v>1.6875</v>
      </c>
    </row>
    <row r="157" spans="3:14" hidden="1" x14ac:dyDescent="0.25">
      <c r="C157" s="118">
        <v>7</v>
      </c>
      <c r="D157" s="495">
        <v>1.8125</v>
      </c>
    </row>
    <row r="158" spans="3:14" hidden="1" x14ac:dyDescent="0.25">
      <c r="C158" s="118">
        <v>8</v>
      </c>
      <c r="D158" s="495">
        <v>2</v>
      </c>
    </row>
    <row r="159" spans="3:14" hidden="1" x14ac:dyDescent="0.25">
      <c r="C159" s="118">
        <v>9</v>
      </c>
      <c r="D159" s="495">
        <v>2.125</v>
      </c>
    </row>
    <row r="160" spans="3:14" hidden="1" x14ac:dyDescent="0.25">
      <c r="C160" s="118">
        <v>10</v>
      </c>
      <c r="D160" s="495">
        <v>2.375</v>
      </c>
    </row>
    <row r="161" spans="3:4" hidden="1" x14ac:dyDescent="0.25">
      <c r="C161" s="118">
        <v>11</v>
      </c>
      <c r="D161" s="495">
        <v>2.625</v>
      </c>
    </row>
    <row r="162" spans="3:4" hidden="1" x14ac:dyDescent="0.25">
      <c r="C162" s="118">
        <v>12</v>
      </c>
      <c r="D162" s="495">
        <v>2.875</v>
      </c>
    </row>
    <row r="163" spans="3:4" hidden="1" x14ac:dyDescent="0.25">
      <c r="C163" s="118">
        <v>13</v>
      </c>
      <c r="D163" s="495">
        <v>3.125</v>
      </c>
    </row>
    <row r="164" spans="3:4" hidden="1" x14ac:dyDescent="0.25">
      <c r="C164" s="118">
        <v>14</v>
      </c>
      <c r="D164" s="495">
        <v>3.375</v>
      </c>
    </row>
    <row r="165" spans="3:4" hidden="1" x14ac:dyDescent="0.25">
      <c r="C165" s="118">
        <v>15</v>
      </c>
      <c r="D165" s="495">
        <v>3.625</v>
      </c>
    </row>
    <row r="166" spans="3:4" hidden="1" x14ac:dyDescent="0.25">
      <c r="C166" s="118">
        <v>16</v>
      </c>
      <c r="D166" s="495">
        <v>4</v>
      </c>
    </row>
    <row r="167" spans="3:4" hidden="1" x14ac:dyDescent="0.25">
      <c r="C167" s="118">
        <v>17</v>
      </c>
      <c r="D167" s="495">
        <v>4.25</v>
      </c>
    </row>
    <row r="168" spans="3:4" hidden="1" x14ac:dyDescent="0.25">
      <c r="C168" s="118">
        <v>18</v>
      </c>
      <c r="D168" s="495">
        <v>4.75</v>
      </c>
    </row>
    <row r="169" spans="3:4" hidden="1" x14ac:dyDescent="0.25">
      <c r="C169" s="118">
        <v>19</v>
      </c>
      <c r="D169" s="495">
        <v>5.25</v>
      </c>
    </row>
    <row r="170" spans="3:4" hidden="1" x14ac:dyDescent="0.25">
      <c r="C170" s="118">
        <v>20</v>
      </c>
      <c r="D170" s="495">
        <v>5.75</v>
      </c>
    </row>
    <row r="171" spans="3:4" hidden="1" x14ac:dyDescent="0.25">
      <c r="C171" s="118">
        <v>21</v>
      </c>
      <c r="D171" s="495">
        <v>6.25</v>
      </c>
    </row>
    <row r="172" spans="3:4" hidden="1" x14ac:dyDescent="0.25">
      <c r="C172" s="118">
        <v>22</v>
      </c>
      <c r="D172" s="495">
        <v>6.75</v>
      </c>
    </row>
    <row r="173" spans="3:4" hidden="1" x14ac:dyDescent="0.25">
      <c r="C173" s="118">
        <v>23</v>
      </c>
      <c r="D173" s="495">
        <v>7.25</v>
      </c>
    </row>
    <row r="174" spans="3:4" hidden="1" x14ac:dyDescent="0.25">
      <c r="C174" s="118">
        <v>24</v>
      </c>
      <c r="D174" s="495">
        <v>8</v>
      </c>
    </row>
    <row r="175" spans="3:4" hidden="1" x14ac:dyDescent="0.25">
      <c r="C175" s="118">
        <v>25</v>
      </c>
      <c r="D175" s="495">
        <v>8.5</v>
      </c>
    </row>
    <row r="176" spans="3:4" hidden="1" x14ac:dyDescent="0.25">
      <c r="C176" s="118">
        <v>26</v>
      </c>
      <c r="D176" s="495">
        <v>9.5</v>
      </c>
    </row>
    <row r="177" spans="3:4" hidden="1" x14ac:dyDescent="0.25">
      <c r="C177" s="118">
        <v>27</v>
      </c>
      <c r="D177" s="495">
        <v>10.5</v>
      </c>
    </row>
    <row r="178" spans="3:4" hidden="1" x14ac:dyDescent="0.25">
      <c r="C178" s="118">
        <v>28</v>
      </c>
      <c r="D178" s="495">
        <v>11.5</v>
      </c>
    </row>
    <row r="179" spans="3:4" hidden="1" x14ac:dyDescent="0.25">
      <c r="C179" s="118">
        <v>29</v>
      </c>
      <c r="D179" s="495">
        <v>12.5</v>
      </c>
    </row>
    <row r="180" spans="3:4" hidden="1" x14ac:dyDescent="0.25">
      <c r="C180" s="118">
        <v>30</v>
      </c>
      <c r="D180" s="495">
        <v>13.5</v>
      </c>
    </row>
    <row r="181" spans="3:4" hidden="1" x14ac:dyDescent="0.25">
      <c r="C181" s="118">
        <v>31</v>
      </c>
      <c r="D181" s="495">
        <v>14.5</v>
      </c>
    </row>
    <row r="182" spans="3:4" hidden="1" x14ac:dyDescent="0.25">
      <c r="C182" s="118">
        <v>32</v>
      </c>
      <c r="D182" s="495">
        <v>16</v>
      </c>
    </row>
    <row r="183" spans="3:4" hidden="1" x14ac:dyDescent="0.25">
      <c r="C183" s="118">
        <v>33</v>
      </c>
      <c r="D183" s="495">
        <v>17</v>
      </c>
    </row>
    <row r="184" spans="3:4" hidden="1" x14ac:dyDescent="0.25">
      <c r="C184" s="118">
        <v>34</v>
      </c>
      <c r="D184" s="495">
        <v>19</v>
      </c>
    </row>
    <row r="185" spans="3:4" hidden="1" x14ac:dyDescent="0.25">
      <c r="C185" s="118">
        <v>35</v>
      </c>
      <c r="D185" s="495">
        <v>21</v>
      </c>
    </row>
    <row r="186" spans="3:4" hidden="1" x14ac:dyDescent="0.25">
      <c r="C186" s="118">
        <v>36</v>
      </c>
      <c r="D186" s="495">
        <v>23</v>
      </c>
    </row>
    <row r="187" spans="3:4" hidden="1" x14ac:dyDescent="0.25">
      <c r="C187" s="118">
        <v>37</v>
      </c>
      <c r="D187" s="495">
        <v>25</v>
      </c>
    </row>
    <row r="188" spans="3:4" hidden="1" x14ac:dyDescent="0.25">
      <c r="C188" s="118">
        <v>38</v>
      </c>
      <c r="D188" s="495">
        <v>27</v>
      </c>
    </row>
    <row r="189" spans="3:4" hidden="1" x14ac:dyDescent="0.25">
      <c r="C189" s="118">
        <v>39</v>
      </c>
      <c r="D189" s="495">
        <v>29</v>
      </c>
    </row>
    <row r="190" spans="3:4" hidden="1" x14ac:dyDescent="0.25">
      <c r="C190" s="118">
        <v>40</v>
      </c>
      <c r="D190" s="495">
        <v>32</v>
      </c>
    </row>
    <row r="191" spans="3:4" hidden="1" x14ac:dyDescent="0.25">
      <c r="C191" s="118">
        <v>41</v>
      </c>
      <c r="D191" s="495">
        <v>34</v>
      </c>
    </row>
    <row r="192" spans="3:4" hidden="1" x14ac:dyDescent="0.25">
      <c r="C192" s="118">
        <v>42</v>
      </c>
      <c r="D192" s="495">
        <v>38</v>
      </c>
    </row>
    <row r="193" spans="3:4" hidden="1" x14ac:dyDescent="0.25">
      <c r="C193" s="118">
        <v>43</v>
      </c>
      <c r="D193" s="495">
        <v>42</v>
      </c>
    </row>
    <row r="194" spans="3:4" hidden="1" x14ac:dyDescent="0.25">
      <c r="C194" s="118">
        <v>44</v>
      </c>
      <c r="D194" s="495">
        <v>46</v>
      </c>
    </row>
    <row r="195" spans="3:4" hidden="1" x14ac:dyDescent="0.25">
      <c r="C195" s="118">
        <v>45</v>
      </c>
      <c r="D195" s="495">
        <v>50</v>
      </c>
    </row>
    <row r="196" spans="3:4" hidden="1" x14ac:dyDescent="0.25">
      <c r="C196" s="118">
        <v>46</v>
      </c>
      <c r="D196" s="495">
        <v>54</v>
      </c>
    </row>
    <row r="197" spans="3:4" hidden="1" x14ac:dyDescent="0.25">
      <c r="C197" s="118">
        <v>47</v>
      </c>
      <c r="D197" s="495">
        <v>58</v>
      </c>
    </row>
    <row r="198" spans="3:4" hidden="1" x14ac:dyDescent="0.25">
      <c r="C198" s="118">
        <v>48</v>
      </c>
      <c r="D198" s="495">
        <v>64</v>
      </c>
    </row>
    <row r="199" spans="3:4" hidden="1" x14ac:dyDescent="0.25">
      <c r="C199" s="118">
        <v>49</v>
      </c>
      <c r="D199" s="495">
        <v>68</v>
      </c>
    </row>
    <row r="200" spans="3:4" hidden="1" x14ac:dyDescent="0.25">
      <c r="C200" s="118">
        <v>50</v>
      </c>
      <c r="D200" s="495">
        <v>76</v>
      </c>
    </row>
    <row r="201" spans="3:4" hidden="1" x14ac:dyDescent="0.25">
      <c r="C201" s="118">
        <v>51</v>
      </c>
      <c r="D201" s="495">
        <v>84</v>
      </c>
    </row>
    <row r="202" spans="3:4" hidden="1" x14ac:dyDescent="0.25">
      <c r="C202" s="118">
        <v>52</v>
      </c>
      <c r="D202" s="495">
        <v>92</v>
      </c>
    </row>
    <row r="203" spans="3:4" hidden="1" x14ac:dyDescent="0.25">
      <c r="C203" s="118">
        <v>53</v>
      </c>
      <c r="D203" s="495">
        <v>100</v>
      </c>
    </row>
    <row r="204" spans="3:4" hidden="1" x14ac:dyDescent="0.25">
      <c r="C204" s="118">
        <v>54</v>
      </c>
      <c r="D204" s="495">
        <v>108</v>
      </c>
    </row>
    <row r="205" spans="3:4" hidden="1" x14ac:dyDescent="0.25">
      <c r="C205" s="118">
        <v>55</v>
      </c>
      <c r="D205" s="495">
        <v>116</v>
      </c>
    </row>
    <row r="206" spans="3:4" hidden="1" x14ac:dyDescent="0.25">
      <c r="C206" s="118">
        <v>56</v>
      </c>
      <c r="D206" s="495">
        <v>128</v>
      </c>
    </row>
    <row r="207" spans="3:4" hidden="1" x14ac:dyDescent="0.25">
      <c r="C207" s="118">
        <v>57</v>
      </c>
      <c r="D207" s="495">
        <v>136</v>
      </c>
    </row>
    <row r="208" spans="3:4" hidden="1" x14ac:dyDescent="0.25">
      <c r="C208" s="118">
        <v>58</v>
      </c>
      <c r="D208" s="495">
        <v>152</v>
      </c>
    </row>
    <row r="209" spans="3:4" hidden="1" x14ac:dyDescent="0.25">
      <c r="C209" s="118">
        <v>59</v>
      </c>
      <c r="D209" s="495">
        <v>168</v>
      </c>
    </row>
    <row r="210" spans="3:4" hidden="1" x14ac:dyDescent="0.25">
      <c r="C210" s="118">
        <v>60</v>
      </c>
      <c r="D210" s="495">
        <v>184</v>
      </c>
    </row>
    <row r="211" spans="3:4" hidden="1" x14ac:dyDescent="0.25">
      <c r="C211" s="118">
        <v>61</v>
      </c>
      <c r="D211" s="495">
        <v>200</v>
      </c>
    </row>
    <row r="212" spans="3:4" hidden="1" x14ac:dyDescent="0.25">
      <c r="C212" s="118">
        <v>62</v>
      </c>
      <c r="D212" s="495">
        <v>216</v>
      </c>
    </row>
    <row r="213" spans="3:4" hidden="1" x14ac:dyDescent="0.25">
      <c r="C213" s="118">
        <v>63</v>
      </c>
      <c r="D213" s="495">
        <v>232</v>
      </c>
    </row>
  </sheetData>
  <sheetProtection algorithmName="SHA-512" hashValue="Q6Uu786RQC1IOu0jWbOzvNLxzKIx3vSlrH5/b5a4Me06L1jYZ26jtrX6An6KUe9uW6F2yUrZHUQpe7jhwt38Jg==" saltValue="gQJKO/5YhW8UiF5CKMX1Aw==" spinCount="100000" sheet="1" objects="1" scenarios="1"/>
  <conditionalFormatting sqref="G46:K46">
    <cfRule type="expression" dxfId="65" priority="40">
      <formula>"OFF"</formula>
    </cfRule>
  </conditionalFormatting>
  <conditionalFormatting sqref="D8">
    <cfRule type="expression" dxfId="64" priority="39">
      <formula>AND($D$7=FALSE(),$D$8=TRUE())</formula>
    </cfRule>
  </conditionalFormatting>
  <conditionalFormatting sqref="F8">
    <cfRule type="expression" dxfId="63" priority="38">
      <formula>AND($F$8=TRUE(),$F$7=FALSE())</formula>
    </cfRule>
  </conditionalFormatting>
  <conditionalFormatting sqref="H8">
    <cfRule type="expression" dxfId="62" priority="37">
      <formula>AND($H$8=TRUE(),$H$7=FALSE())</formula>
    </cfRule>
  </conditionalFormatting>
  <conditionalFormatting sqref="J8">
    <cfRule type="expression" dxfId="61" priority="36">
      <formula>AND($J$8=TRUE(),$J$7=FALSE())</formula>
    </cfRule>
  </conditionalFormatting>
  <conditionalFormatting sqref="H7">
    <cfRule type="expression" dxfId="60" priority="35">
      <formula>AND($D$4="LDC2112",$H$7=TRUE())</formula>
    </cfRule>
  </conditionalFormatting>
  <conditionalFormatting sqref="J7">
    <cfRule type="expression" dxfId="59" priority="34">
      <formula>AND($D$4="LDC2112",$J$7=TRUE())</formula>
    </cfRule>
  </conditionalFormatting>
  <conditionalFormatting sqref="D80">
    <cfRule type="expression" dxfId="58" priority="33">
      <formula>(D4="LDC2112")</formula>
    </cfRule>
  </conditionalFormatting>
  <conditionalFormatting sqref="D81">
    <cfRule type="expression" dxfId="57" priority="32">
      <formula>$D$4="LDC2112"</formula>
    </cfRule>
  </conditionalFormatting>
  <conditionalFormatting sqref="D13:D42">
    <cfRule type="expression" dxfId="56" priority="25" stopIfTrue="1">
      <formula>NOT($D$7)</formula>
    </cfRule>
  </conditionalFormatting>
  <conditionalFormatting sqref="F14:F41">
    <cfRule type="expression" dxfId="55" priority="30">
      <formula>NOT($F$7)</formula>
    </cfRule>
  </conditionalFormatting>
  <conditionalFormatting sqref="H14:H42">
    <cfRule type="expression" dxfId="54" priority="29">
      <formula>NOT($H$7)</formula>
    </cfRule>
  </conditionalFormatting>
  <conditionalFormatting sqref="J14:J42">
    <cfRule type="expression" dxfId="53" priority="28">
      <formula>NOT($J$7)</formula>
    </cfRule>
  </conditionalFormatting>
  <conditionalFormatting sqref="F42">
    <cfRule type="expression" dxfId="52" priority="27">
      <formula>NOT($F$7)</formula>
    </cfRule>
  </conditionalFormatting>
  <conditionalFormatting sqref="D13">
    <cfRule type="expression" dxfId="51" priority="26">
      <formula>D13&gt;10</formula>
    </cfRule>
    <cfRule type="expression" dxfId="50" priority="31">
      <formula>D13&lt;0.35</formula>
    </cfRule>
  </conditionalFormatting>
  <conditionalFormatting sqref="F13">
    <cfRule type="expression" dxfId="49" priority="7" stopIfTrue="1">
      <formula>NOT(F7)</formula>
    </cfRule>
  </conditionalFormatting>
  <conditionalFormatting sqref="F13">
    <cfRule type="expression" dxfId="48" priority="8">
      <formula>F13&gt;10</formula>
    </cfRule>
    <cfRule type="expression" dxfId="47" priority="9">
      <formula>F13&lt;0.35</formula>
    </cfRule>
  </conditionalFormatting>
  <conditionalFormatting sqref="H13">
    <cfRule type="expression" dxfId="46" priority="4" stopIfTrue="1">
      <formula>NOT(H7)</formula>
    </cfRule>
  </conditionalFormatting>
  <conditionalFormatting sqref="H13">
    <cfRule type="expression" dxfId="45" priority="5">
      <formula>H13&gt;10</formula>
    </cfRule>
    <cfRule type="expression" dxfId="44" priority="6">
      <formula>H13&lt;0.35</formula>
    </cfRule>
  </conditionalFormatting>
  <conditionalFormatting sqref="J13">
    <cfRule type="expression" dxfId="43" priority="1" stopIfTrue="1">
      <formula>NOT(J7)</formula>
    </cfRule>
  </conditionalFormatting>
  <conditionalFormatting sqref="J13">
    <cfRule type="expression" dxfId="42" priority="2">
      <formula>J13&gt;10</formula>
    </cfRule>
    <cfRule type="expression" dxfId="41" priority="3">
      <formula>J13&lt;0.35</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28575</xdr:colOff>
                    <xdr:row>6</xdr:row>
                    <xdr:rowOff>19050</xdr:rowOff>
                  </from>
                  <to>
                    <xdr:col>3</xdr:col>
                    <xdr:colOff>571500</xdr:colOff>
                    <xdr:row>6</xdr:row>
                    <xdr:rowOff>142875</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142875</xdr:rowOff>
                  </from>
                  <to>
                    <xdr:col>7</xdr:col>
                    <xdr:colOff>571500</xdr:colOff>
                    <xdr:row>6</xdr:row>
                    <xdr:rowOff>104775</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9525</xdr:colOff>
                    <xdr:row>5</xdr:row>
                    <xdr:rowOff>142875</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9525</xdr:colOff>
                    <xdr:row>5</xdr:row>
                    <xdr:rowOff>142875</xdr:rowOff>
                  </from>
                  <to>
                    <xdr:col>5</xdr:col>
                    <xdr:colOff>552450</xdr:colOff>
                    <xdr:row>6</xdr:row>
                    <xdr:rowOff>104775</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28575</xdr:colOff>
                    <xdr:row>6</xdr:row>
                    <xdr:rowOff>152400</xdr:rowOff>
                  </from>
                  <to>
                    <xdr:col>3</xdr:col>
                    <xdr:colOff>771525</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9525</xdr:rowOff>
                  </from>
                  <to>
                    <xdr:col>5</xdr:col>
                    <xdr:colOff>752475</xdr:colOff>
                    <xdr:row>7</xdr:row>
                    <xdr:rowOff>142875</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142875</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9525</xdr:colOff>
                    <xdr:row>7</xdr:row>
                    <xdr:rowOff>9525</xdr:rowOff>
                  </from>
                  <to>
                    <xdr:col>9</xdr:col>
                    <xdr:colOff>742950</xdr:colOff>
                    <xdr:row>7</xdr:row>
                    <xdr:rowOff>142875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A4:L269"/>
  <sheetViews>
    <sheetView showGridLines="0" showRowColHeaders="0" zoomScaleNormal="100" workbookViewId="0">
      <selection activeCell="J9" sqref="J9"/>
    </sheetView>
  </sheetViews>
  <sheetFormatPr defaultRowHeight="15" x14ac:dyDescent="0.25"/>
  <cols>
    <col min="1" max="2" width="5.7109375" customWidth="1"/>
    <col min="3" max="3" width="36.85546875" customWidth="1"/>
    <col min="4" max="4" width="12.5703125" customWidth="1"/>
    <col min="5" max="5" width="8.42578125" customWidth="1"/>
    <col min="6" max="6" width="12" bestFit="1" customWidth="1"/>
    <col min="7" max="7" width="12.42578125" bestFit="1" customWidth="1"/>
    <col min="8" max="8" width="14.85546875" customWidth="1"/>
    <col min="12" max="12" width="12.140625" customWidth="1"/>
    <col min="13" max="13" width="10.5703125" customWidth="1"/>
    <col min="14" max="14" width="10" customWidth="1"/>
  </cols>
  <sheetData>
    <row r="4" spans="2:11" ht="18" x14ac:dyDescent="0.35">
      <c r="B4" s="4" t="s">
        <v>851</v>
      </c>
      <c r="C4" s="4"/>
      <c r="E4" s="20" t="s">
        <v>198</v>
      </c>
    </row>
    <row r="5" spans="2:11" ht="18" x14ac:dyDescent="0.35">
      <c r="B5" s="4"/>
      <c r="C5" s="4"/>
      <c r="E5" s="20"/>
    </row>
    <row r="6" spans="2:11" ht="18" x14ac:dyDescent="0.35">
      <c r="B6" s="9"/>
      <c r="C6" s="92"/>
    </row>
    <row r="7" spans="2:11" ht="15.6" x14ac:dyDescent="0.3">
      <c r="B7" s="9"/>
      <c r="C7" s="451" t="s">
        <v>283</v>
      </c>
      <c r="D7" s="390" t="s">
        <v>1661</v>
      </c>
      <c r="E7" s="7"/>
      <c r="F7" s="9"/>
      <c r="G7" s="7"/>
      <c r="H7" s="7"/>
      <c r="I7" s="7"/>
      <c r="J7" s="7"/>
      <c r="K7" s="7"/>
    </row>
    <row r="8" spans="2:11" ht="14.45" hidden="1" x14ac:dyDescent="0.3">
      <c r="B8" s="9"/>
      <c r="C8" s="97" t="s">
        <v>878</v>
      </c>
      <c r="D8" s="557" t="b">
        <f>IF(RIGHT(D7,1)="2",TRUE,FALSE)</f>
        <v>1</v>
      </c>
      <c r="E8" s="7"/>
      <c r="F8" s="7"/>
      <c r="G8" s="7"/>
      <c r="H8" s="7"/>
      <c r="I8" s="7"/>
      <c r="J8" s="7"/>
      <c r="K8" s="7"/>
    </row>
    <row r="9" spans="2:11" x14ac:dyDescent="0.25">
      <c r="B9" s="9"/>
      <c r="C9" s="97" t="s">
        <v>864</v>
      </c>
      <c r="D9" s="558" t="s">
        <v>871</v>
      </c>
      <c r="E9" s="7"/>
      <c r="F9" s="71" t="str">
        <f>IF(AND(D8,NOT(D10)),D7&amp;" does not support this many channels","")</f>
        <v>LDC1312 does not support this many channels</v>
      </c>
      <c r="G9" s="7"/>
      <c r="H9" s="7"/>
      <c r="I9" s="7"/>
      <c r="J9" s="7"/>
      <c r="K9" s="7"/>
    </row>
    <row r="10" spans="2:11" hidden="1" x14ac:dyDescent="0.25">
      <c r="B10" s="9"/>
      <c r="C10" s="97" t="s">
        <v>879</v>
      </c>
      <c r="D10" s="557">
        <f>INDEX(I13:I19,MATCH(D9,D13:D19,0))</f>
        <v>0</v>
      </c>
      <c r="E10" s="7"/>
      <c r="F10" s="7"/>
      <c r="G10" s="7"/>
      <c r="H10" s="7"/>
      <c r="I10" s="7"/>
      <c r="J10" s="7"/>
      <c r="K10" s="7"/>
    </row>
    <row r="11" spans="2:11" hidden="1" x14ac:dyDescent="0.25">
      <c r="B11" s="9"/>
      <c r="C11" s="97" t="s">
        <v>941</v>
      </c>
      <c r="D11" s="562">
        <f>IF(MID(D7,5,1)="6",1,0)</f>
        <v>0</v>
      </c>
      <c r="E11" s="7"/>
      <c r="F11" s="7"/>
      <c r="G11" s="7"/>
      <c r="H11" s="7"/>
      <c r="I11" s="7"/>
      <c r="J11" s="7"/>
      <c r="K11" s="7"/>
    </row>
    <row r="12" spans="2:11" hidden="1" x14ac:dyDescent="0.25">
      <c r="B12" s="9"/>
      <c r="C12" s="97"/>
      <c r="D12" s="551" t="s">
        <v>872</v>
      </c>
      <c r="E12" s="125" t="s">
        <v>873</v>
      </c>
      <c r="F12" s="125" t="s">
        <v>874</v>
      </c>
      <c r="G12" s="125" t="s">
        <v>875</v>
      </c>
      <c r="H12" s="125" t="s">
        <v>876</v>
      </c>
      <c r="I12" s="125" t="s">
        <v>877</v>
      </c>
      <c r="J12" s="7"/>
      <c r="K12" s="7"/>
    </row>
    <row r="13" spans="2:11" hidden="1" x14ac:dyDescent="0.25">
      <c r="B13" s="9"/>
      <c r="C13" s="97"/>
      <c r="D13" s="551" t="s">
        <v>865</v>
      </c>
      <c r="E13" s="552">
        <v>0</v>
      </c>
      <c r="F13" s="552">
        <v>0</v>
      </c>
      <c r="G13" s="552">
        <v>0</v>
      </c>
      <c r="H13" s="552">
        <v>1</v>
      </c>
      <c r="I13" s="552">
        <v>1</v>
      </c>
      <c r="J13" s="7"/>
      <c r="K13" s="7"/>
    </row>
    <row r="14" spans="2:11" hidden="1" x14ac:dyDescent="0.25">
      <c r="B14" s="9"/>
      <c r="C14" s="97"/>
      <c r="D14" s="551" t="s">
        <v>866</v>
      </c>
      <c r="E14" s="552">
        <v>0</v>
      </c>
      <c r="F14" s="552">
        <v>0</v>
      </c>
      <c r="G14" s="552">
        <v>1</v>
      </c>
      <c r="H14" s="552">
        <v>1</v>
      </c>
      <c r="I14" s="552">
        <v>1</v>
      </c>
      <c r="J14" s="7"/>
      <c r="K14" s="7"/>
    </row>
    <row r="15" spans="2:11" hidden="1" x14ac:dyDescent="0.25">
      <c r="B15" s="9"/>
      <c r="C15" s="97"/>
      <c r="D15" s="551" t="s">
        <v>867</v>
      </c>
      <c r="E15" s="552">
        <v>0</v>
      </c>
      <c r="F15" s="552">
        <v>0</v>
      </c>
      <c r="G15" s="552">
        <v>2</v>
      </c>
      <c r="H15" s="552">
        <v>1</v>
      </c>
      <c r="I15" s="552">
        <v>0</v>
      </c>
      <c r="J15" s="7"/>
      <c r="K15" s="7"/>
    </row>
    <row r="16" spans="2:11" hidden="1" x14ac:dyDescent="0.25">
      <c r="B16" s="9"/>
      <c r="C16" s="97"/>
      <c r="D16" s="551" t="s">
        <v>868</v>
      </c>
      <c r="E16" s="552">
        <v>0</v>
      </c>
      <c r="F16" s="552">
        <v>0</v>
      </c>
      <c r="G16" s="552">
        <v>3</v>
      </c>
      <c r="H16" s="552">
        <v>1</v>
      </c>
      <c r="I16" s="552">
        <v>0</v>
      </c>
      <c r="J16" s="7"/>
      <c r="K16" s="7"/>
    </row>
    <row r="17" spans="2:11" hidden="1" x14ac:dyDescent="0.25">
      <c r="B17" s="9"/>
      <c r="C17" s="97"/>
      <c r="D17" s="551" t="s">
        <v>869</v>
      </c>
      <c r="E17" s="552">
        <v>0</v>
      </c>
      <c r="F17" s="552">
        <v>1</v>
      </c>
      <c r="G17" s="552">
        <v>0</v>
      </c>
      <c r="H17" s="552">
        <v>2</v>
      </c>
      <c r="I17" s="552">
        <v>1</v>
      </c>
      <c r="J17" s="7"/>
      <c r="K17" s="7"/>
    </row>
    <row r="18" spans="2:11" hidden="1" x14ac:dyDescent="0.25">
      <c r="B18" s="9"/>
      <c r="C18" s="97"/>
      <c r="D18" s="551" t="s">
        <v>870</v>
      </c>
      <c r="E18" s="552">
        <v>1</v>
      </c>
      <c r="F18" s="552">
        <v>1</v>
      </c>
      <c r="G18" s="552">
        <v>0</v>
      </c>
      <c r="H18" s="552">
        <v>3</v>
      </c>
      <c r="I18" s="552">
        <v>0</v>
      </c>
      <c r="J18" s="7"/>
      <c r="K18" s="7"/>
    </row>
    <row r="19" spans="2:11" hidden="1" x14ac:dyDescent="0.25">
      <c r="B19" s="9"/>
      <c r="C19" s="97"/>
      <c r="D19" s="551" t="s">
        <v>871</v>
      </c>
      <c r="E19" s="552">
        <v>2</v>
      </c>
      <c r="F19" s="552">
        <v>1</v>
      </c>
      <c r="G19" s="552">
        <v>0</v>
      </c>
      <c r="H19" s="552">
        <v>4</v>
      </c>
      <c r="I19" s="552">
        <v>0</v>
      </c>
      <c r="J19" s="7"/>
      <c r="K19" s="7"/>
    </row>
    <row r="20" spans="2:11" hidden="1" x14ac:dyDescent="0.25">
      <c r="B20" s="9"/>
      <c r="C20" s="97"/>
      <c r="D20" s="559" t="s">
        <v>768</v>
      </c>
      <c r="E20" s="561" t="s">
        <v>949</v>
      </c>
      <c r="F20" s="7"/>
      <c r="G20" s="7"/>
      <c r="H20" s="7"/>
      <c r="I20" s="7"/>
      <c r="J20" s="7"/>
      <c r="K20" s="7"/>
    </row>
    <row r="21" spans="2:11" hidden="1" x14ac:dyDescent="0.25">
      <c r="B21" s="9"/>
      <c r="C21" s="93" t="s">
        <v>880</v>
      </c>
      <c r="D21" s="554">
        <f>INDEX(H13:H19,MATCH(D9,D13:D19,0))</f>
        <v>4</v>
      </c>
      <c r="E21" s="93"/>
      <c r="F21" s="7"/>
      <c r="G21" s="7"/>
      <c r="H21" s="7"/>
      <c r="I21" s="7"/>
      <c r="J21" s="7"/>
      <c r="K21" s="7"/>
    </row>
    <row r="22" spans="2:11" hidden="1" x14ac:dyDescent="0.25">
      <c r="B22" s="9"/>
      <c r="C22" s="93" t="s">
        <v>881</v>
      </c>
      <c r="D22" s="555">
        <f>INDEX(E13:E19,MATCH(D9,D13:D19,0))</f>
        <v>2</v>
      </c>
      <c r="E22" s="472">
        <v>13</v>
      </c>
      <c r="F22" s="7"/>
      <c r="G22" s="7"/>
      <c r="H22" s="7"/>
      <c r="I22" s="7"/>
      <c r="J22" s="7"/>
      <c r="K22" s="7"/>
    </row>
    <row r="23" spans="2:11" hidden="1" x14ac:dyDescent="0.25">
      <c r="B23" s="9"/>
      <c r="C23" s="93" t="s">
        <v>882</v>
      </c>
      <c r="D23" s="556">
        <f>INDEX(F13:F19,MATCH(D9,D13:D19,0))</f>
        <v>1</v>
      </c>
      <c r="E23" s="472">
        <v>15</v>
      </c>
      <c r="F23" s="7"/>
      <c r="G23" s="7"/>
      <c r="H23" s="7"/>
      <c r="I23" s="7"/>
      <c r="J23" s="7"/>
      <c r="K23" s="7"/>
    </row>
    <row r="24" spans="2:11" hidden="1" x14ac:dyDescent="0.25">
      <c r="B24" s="9"/>
      <c r="C24" s="93" t="s">
        <v>875</v>
      </c>
      <c r="D24" s="556">
        <f>INDEX(G13:G19,MATCH(D9,D13:D19,0))</f>
        <v>0</v>
      </c>
      <c r="E24" s="472">
        <v>14</v>
      </c>
      <c r="F24" s="7"/>
      <c r="G24" s="7"/>
      <c r="H24" s="7"/>
      <c r="I24" s="7"/>
      <c r="J24" s="7"/>
      <c r="K24" s="7"/>
    </row>
    <row r="25" spans="2:11" hidden="1" x14ac:dyDescent="0.25">
      <c r="B25" s="9"/>
      <c r="C25" s="93" t="s">
        <v>925</v>
      </c>
      <c r="D25" s="556">
        <v>1</v>
      </c>
      <c r="E25" s="472">
        <v>10</v>
      </c>
      <c r="F25" s="7"/>
      <c r="G25" s="7"/>
      <c r="H25" s="7"/>
      <c r="I25" s="7"/>
      <c r="J25" s="7"/>
      <c r="K25" s="7"/>
    </row>
    <row r="26" spans="2:11" hidden="1" x14ac:dyDescent="0.25">
      <c r="B26" s="9"/>
      <c r="C26" s="93" t="s">
        <v>926</v>
      </c>
      <c r="D26" s="556">
        <v>1</v>
      </c>
      <c r="E26" s="472">
        <v>12</v>
      </c>
      <c r="F26" s="7"/>
      <c r="G26" s="7"/>
      <c r="H26" s="7"/>
      <c r="I26" s="7"/>
      <c r="J26" s="7"/>
      <c r="K26" s="7"/>
    </row>
    <row r="27" spans="2:11" hidden="1" x14ac:dyDescent="0.25">
      <c r="B27" s="9"/>
      <c r="C27" s="93" t="s">
        <v>924</v>
      </c>
      <c r="D27" s="556">
        <f>IF(D32="Internal",0,1)</f>
        <v>1</v>
      </c>
      <c r="E27" s="472">
        <v>9</v>
      </c>
      <c r="F27" s="7"/>
      <c r="G27" s="7"/>
      <c r="H27" s="7"/>
      <c r="I27" s="7"/>
      <c r="J27" s="7"/>
      <c r="K27" s="7"/>
    </row>
    <row r="28" spans="2:11" hidden="1" x14ac:dyDescent="0.25">
      <c r="B28" s="9"/>
      <c r="C28" s="93" t="s">
        <v>927</v>
      </c>
      <c r="D28" s="556">
        <v>0</v>
      </c>
      <c r="E28" s="472">
        <v>7</v>
      </c>
      <c r="F28" s="7"/>
      <c r="G28" s="7"/>
      <c r="H28" s="7"/>
      <c r="I28" s="7"/>
      <c r="J28" s="7"/>
      <c r="K28" s="7"/>
    </row>
    <row r="29" spans="2:11" hidden="1" x14ac:dyDescent="0.25">
      <c r="B29" s="9"/>
      <c r="C29" s="93" t="s">
        <v>928</v>
      </c>
      <c r="D29" s="556">
        <f>IF(AND(D9=D13,D87&gt;32),1,0)</f>
        <v>0</v>
      </c>
      <c r="E29" s="472">
        <v>6</v>
      </c>
      <c r="F29" s="7"/>
      <c r="G29" s="7"/>
      <c r="H29" s="7"/>
      <c r="I29" s="7"/>
      <c r="J29" s="7"/>
      <c r="K29" s="7"/>
    </row>
    <row r="30" spans="2:11" hidden="1" x14ac:dyDescent="0.25">
      <c r="B30" s="9"/>
      <c r="C30" s="93" t="s">
        <v>921</v>
      </c>
      <c r="D30" s="553">
        <f>D24*(2^E24)+D25*(2^E25)+D26*(2^E26)+D27*(2^E27)+D28*(2^E28)+D29*(2^E29)</f>
        <v>5632</v>
      </c>
      <c r="E30" s="6"/>
      <c r="F30" s="7"/>
      <c r="G30" s="7"/>
      <c r="H30" s="7"/>
      <c r="I30" s="7"/>
      <c r="J30" s="7"/>
      <c r="K30" s="7"/>
    </row>
    <row r="31" spans="2:11" x14ac:dyDescent="0.25">
      <c r="B31" s="9"/>
      <c r="F31" s="7"/>
      <c r="G31" s="7"/>
      <c r="H31" s="71"/>
      <c r="I31" s="7"/>
      <c r="K31" s="7"/>
    </row>
    <row r="32" spans="2:11" x14ac:dyDescent="0.25">
      <c r="B32" s="9"/>
      <c r="C32" s="97" t="s">
        <v>922</v>
      </c>
      <c r="D32" s="560" t="s">
        <v>1026</v>
      </c>
      <c r="E32" s="7"/>
      <c r="F32" s="9" t="str">
        <f>IF(MID(D7,5,1)="6",IF(D32="Internal","External Recommended for LDC161x applications",""),"")</f>
        <v/>
      </c>
      <c r="G32" s="7"/>
      <c r="H32" s="7"/>
      <c r="I32" s="7"/>
      <c r="J32" s="7"/>
      <c r="K32" s="7"/>
    </row>
    <row r="33" spans="1:11" x14ac:dyDescent="0.25">
      <c r="B33" s="9"/>
      <c r="C33" s="97" t="s">
        <v>923</v>
      </c>
      <c r="D33" s="609">
        <v>40</v>
      </c>
      <c r="E33" s="6" t="s">
        <v>0</v>
      </c>
      <c r="F33" s="6"/>
      <c r="G33" s="7"/>
      <c r="H33" s="7"/>
      <c r="I33" s="7"/>
      <c r="J33" s="7"/>
      <c r="K33" s="7"/>
    </row>
    <row r="34" spans="1:11" x14ac:dyDescent="0.25">
      <c r="B34" s="9"/>
      <c r="C34" s="97" t="s">
        <v>1027</v>
      </c>
      <c r="D34" s="358">
        <v>40</v>
      </c>
      <c r="E34" s="6" t="s">
        <v>0</v>
      </c>
      <c r="F34" s="71" t="str">
        <f>IF(AND(D34&gt;D33,D32="External"),"Reference Frequency Exceeds Maximum allowed","")</f>
        <v/>
      </c>
      <c r="G34" s="7"/>
      <c r="H34" s="7"/>
      <c r="I34" s="7"/>
      <c r="J34" s="7"/>
      <c r="K34" s="7"/>
    </row>
    <row r="35" spans="1:11" ht="18" x14ac:dyDescent="0.35">
      <c r="B35" s="9"/>
      <c r="C35" s="97" t="s">
        <v>1031</v>
      </c>
      <c r="D35" s="164">
        <f>CEILING(D34/D37,1)</f>
        <v>1</v>
      </c>
      <c r="E35" s="8"/>
      <c r="F35" s="71"/>
      <c r="G35" s="7"/>
      <c r="H35" s="7"/>
      <c r="I35" s="7"/>
      <c r="J35" s="7"/>
      <c r="K35" s="7"/>
    </row>
    <row r="36" spans="1:11" hidden="1" x14ac:dyDescent="0.25">
      <c r="B36" s="9"/>
      <c r="C36" s="97" t="s">
        <v>1029</v>
      </c>
      <c r="D36" s="610">
        <f>IF(D32="External",D35,1)</f>
        <v>1</v>
      </c>
      <c r="E36" s="8" t="s">
        <v>1030</v>
      </c>
      <c r="F36" s="71"/>
      <c r="G36" s="7"/>
      <c r="H36" s="7"/>
      <c r="I36" s="7"/>
      <c r="J36" s="7"/>
      <c r="K36" s="7"/>
    </row>
    <row r="37" spans="1:11" x14ac:dyDescent="0.25">
      <c r="B37" s="9"/>
      <c r="C37" s="97" t="s">
        <v>1028</v>
      </c>
      <c r="D37" s="611">
        <f>IF(D21=1,35,40)</f>
        <v>40</v>
      </c>
      <c r="E37" s="6" t="s">
        <v>0</v>
      </c>
      <c r="F37" s="6" t="str">
        <f>IF(D21=1,"Reduced to 35MHz for single channel mode","")</f>
        <v/>
      </c>
      <c r="G37" s="7"/>
      <c r="H37" s="7"/>
      <c r="I37" s="7"/>
      <c r="J37" s="7"/>
      <c r="K37" s="7"/>
    </row>
    <row r="38" spans="1:11" x14ac:dyDescent="0.25">
      <c r="B38" s="9"/>
      <c r="C38" s="97" t="s">
        <v>1034</v>
      </c>
      <c r="D38" s="608">
        <f>IF(D32="External",D34/D36,40)</f>
        <v>40</v>
      </c>
      <c r="E38" s="6" t="s">
        <v>0</v>
      </c>
      <c r="F38" s="71"/>
      <c r="G38" s="7"/>
      <c r="H38" s="7"/>
      <c r="I38" s="7"/>
      <c r="J38" s="7"/>
      <c r="K38" s="7"/>
    </row>
    <row r="39" spans="1:11" ht="15.75" x14ac:dyDescent="0.25">
      <c r="B39" s="9"/>
      <c r="C39" s="97"/>
      <c r="D39" s="528"/>
      <c r="E39" s="8"/>
    </row>
    <row r="40" spans="1:11" ht="15.75" x14ac:dyDescent="0.25">
      <c r="C40" s="451" t="s">
        <v>1058</v>
      </c>
      <c r="D40" s="528"/>
      <c r="E40" s="6"/>
    </row>
    <row r="41" spans="1:11" hidden="1" x14ac:dyDescent="0.25">
      <c r="C41" s="93" t="s">
        <v>1044</v>
      </c>
      <c r="D41" s="614" t="b">
        <f>OR((Spiral_Inductor_Designer!D20=Spiral_Inductor_Designer!B248),(Spiral_Inductor_Designer!D20=Spiral_Inductor_Designer!B247))</f>
        <v>0</v>
      </c>
      <c r="E41" s="6"/>
    </row>
    <row r="42" spans="1:11" hidden="1" x14ac:dyDescent="0.25">
      <c r="A42" s="7"/>
      <c r="B42" s="7"/>
      <c r="C42" s="93" t="s">
        <v>1045</v>
      </c>
      <c r="D42" s="612" t="b">
        <v>1</v>
      </c>
      <c r="E42" s="6"/>
    </row>
    <row r="43" spans="1:11" ht="15.75" x14ac:dyDescent="0.25">
      <c r="B43" s="9"/>
      <c r="C43" s="397" t="s">
        <v>278</v>
      </c>
      <c r="D43" s="272">
        <v>292</v>
      </c>
      <c r="E43" s="88" t="s">
        <v>96</v>
      </c>
      <c r="G43" s="20" t="s">
        <v>704</v>
      </c>
    </row>
    <row r="44" spans="1:11" ht="15.75" x14ac:dyDescent="0.25">
      <c r="B44" s="9"/>
      <c r="C44" s="397" t="s">
        <v>264</v>
      </c>
      <c r="D44" s="272">
        <v>330</v>
      </c>
      <c r="E44" s="86" t="s">
        <v>27</v>
      </c>
      <c r="F44" s="71" t="str">
        <f>IF(AND(NOT(D41),D42), "Spiral Inductor Designer is not set to LDC1612/4 or LDC1312/4","")</f>
        <v>Spiral Inductor Designer is not set to LDC1612/4 or LDC1312/4</v>
      </c>
    </row>
    <row r="45" spans="1:11" hidden="1" x14ac:dyDescent="0.25">
      <c r="B45" s="9"/>
      <c r="C45" s="93" t="s">
        <v>1036</v>
      </c>
      <c r="D45" s="613">
        <f>IF(D42,Spiral_Inductor_Designer!D195,D43)</f>
        <v>3.3035546728338345</v>
      </c>
      <c r="E45" s="88" t="s">
        <v>96</v>
      </c>
      <c r="F45" s="6" t="s">
        <v>1042</v>
      </c>
    </row>
    <row r="46" spans="1:11" hidden="1" x14ac:dyDescent="0.25">
      <c r="B46" s="9"/>
      <c r="C46" s="93" t="s">
        <v>1037</v>
      </c>
      <c r="D46" s="613">
        <f>IF(D42,Spiral_Inductor_Designer!D22,D44)</f>
        <v>390</v>
      </c>
      <c r="E46" s="86" t="s">
        <v>27</v>
      </c>
      <c r="F46" s="6" t="s">
        <v>1042</v>
      </c>
    </row>
    <row r="47" spans="1:11" hidden="1" x14ac:dyDescent="0.25">
      <c r="B47" s="9"/>
      <c r="C47" s="542" t="s">
        <v>933</v>
      </c>
      <c r="D47" s="543">
        <v>1E-3</v>
      </c>
      <c r="E47" s="542" t="s">
        <v>0</v>
      </c>
    </row>
    <row r="48" spans="1:11" hidden="1" x14ac:dyDescent="0.25">
      <c r="B48" s="9"/>
      <c r="C48" s="542" t="s">
        <v>934</v>
      </c>
      <c r="D48" s="544">
        <v>10</v>
      </c>
      <c r="E48" s="542" t="s">
        <v>0</v>
      </c>
    </row>
    <row r="49" spans="2:8" ht="15.75" x14ac:dyDescent="0.25">
      <c r="B49" s="9"/>
      <c r="C49" s="397" t="s">
        <v>940</v>
      </c>
      <c r="D49" s="55">
        <f>1000/(2*PI()*SQRT(D46*D45))</f>
        <v>4.4340141917278562</v>
      </c>
      <c r="E49" s="86" t="s">
        <v>0</v>
      </c>
      <c r="F49" s="71" t="str">
        <f>IF(D49&lt;D47,"Below minimum of "&amp;D47&amp;"MHz, reduce C or L",IF(D49&gt;D48,"Exceeds maximum of "&amp;D48&amp;"MHz, increase L or C",""))</f>
        <v/>
      </c>
    </row>
    <row r="50" spans="2:8" ht="15.75" x14ac:dyDescent="0.25">
      <c r="B50" s="9"/>
      <c r="C50" s="268" t="s">
        <v>242</v>
      </c>
      <c r="D50" s="271">
        <v>3.5</v>
      </c>
      <c r="E50" s="93" t="str">
        <f>IF(C50="Sensor Q","","kΩ")</f>
        <v>kΩ</v>
      </c>
      <c r="F50" s="7" t="s">
        <v>955</v>
      </c>
    </row>
    <row r="51" spans="2:8" ht="15.75" x14ac:dyDescent="0.25">
      <c r="B51" s="9"/>
      <c r="C51" s="463" t="str">
        <f>IF(C50="Sensor Q","Sensor RP","Sensor Q")</f>
        <v>Sensor Q</v>
      </c>
      <c r="D51" s="96">
        <f>IF(C51="Sensor Q",D50*SQRT(D46/D45),D50*SQRT(D46/D44))</f>
        <v>38.028535301061169</v>
      </c>
      <c r="E51" s="143" t="str">
        <f>IF(C51="Sensor Q","","kΩ")</f>
        <v/>
      </c>
    </row>
    <row r="52" spans="2:8" hidden="1" x14ac:dyDescent="0.25">
      <c r="B52" s="9"/>
      <c r="C52" s="465" t="s">
        <v>1038</v>
      </c>
      <c r="D52" s="587">
        <f>IF(C51="Sensor RP",D51,D50)</f>
        <v>3.5</v>
      </c>
      <c r="E52" s="6" t="s">
        <v>243</v>
      </c>
      <c r="F52" s="6" t="s">
        <v>1049</v>
      </c>
    </row>
    <row r="53" spans="2:8" hidden="1" x14ac:dyDescent="0.25">
      <c r="B53" s="9"/>
      <c r="C53" s="86" t="s">
        <v>1039</v>
      </c>
      <c r="D53" s="587">
        <f>IF(C51="Sensor Q",D51,D50)</f>
        <v>38.028535301061169</v>
      </c>
      <c r="F53" s="6" t="s">
        <v>1049</v>
      </c>
    </row>
    <row r="54" spans="2:8" hidden="1" x14ac:dyDescent="0.25">
      <c r="B54" s="9"/>
      <c r="C54" s="86" t="s">
        <v>1040</v>
      </c>
      <c r="D54" s="587">
        <f>IF(D42,Spiral_Inductor_Designer!D203,D52)</f>
        <v>2.3979690923335277</v>
      </c>
      <c r="E54" s="6" t="s">
        <v>243</v>
      </c>
      <c r="F54" s="6" t="s">
        <v>1042</v>
      </c>
    </row>
    <row r="55" spans="2:8" hidden="1" x14ac:dyDescent="0.25">
      <c r="B55" s="9"/>
      <c r="C55" s="86" t="s">
        <v>1041</v>
      </c>
      <c r="D55" s="587">
        <f>IF(D42,Spiral_Inductor_Designer!D204,D53)</f>
        <v>25.92204904185304</v>
      </c>
      <c r="F55" s="6" t="s">
        <v>1042</v>
      </c>
    </row>
    <row r="56" spans="2:8" ht="15.75" x14ac:dyDescent="0.25">
      <c r="B56" s="9"/>
      <c r="C56" s="61" t="s">
        <v>403</v>
      </c>
      <c r="D56" s="272">
        <v>14</v>
      </c>
      <c r="E56" t="s">
        <v>34</v>
      </c>
    </row>
    <row r="57" spans="2:8" hidden="1" x14ac:dyDescent="0.25">
      <c r="B57" s="9"/>
      <c r="C57" s="86" t="s">
        <v>1046</v>
      </c>
      <c r="D57" s="616">
        <f>IF(D42,Spiral_Inductor_Designer!D27,D56)</f>
        <v>9</v>
      </c>
      <c r="E57" s="6" t="s">
        <v>34</v>
      </c>
      <c r="F57" s="6" t="s">
        <v>1042</v>
      </c>
    </row>
    <row r="58" spans="2:8" ht="15.75" x14ac:dyDescent="0.25">
      <c r="B58" s="9"/>
      <c r="C58" s="61"/>
      <c r="D58" s="595"/>
    </row>
    <row r="59" spans="2:8" ht="15.75" x14ac:dyDescent="0.25">
      <c r="B59" s="9"/>
      <c r="C59" s="451" t="s">
        <v>1035</v>
      </c>
      <c r="D59" s="595"/>
    </row>
    <row r="60" spans="2:8" ht="15.75" x14ac:dyDescent="0.25">
      <c r="B60" s="9"/>
      <c r="C60" s="61" t="s">
        <v>974</v>
      </c>
      <c r="D60" s="272">
        <v>100</v>
      </c>
      <c r="E60" t="s">
        <v>34</v>
      </c>
      <c r="F60" s="857" t="str">
        <f>("Assumes Aluminum target at least "&amp;TEXT(3*MAX(D65,D71),"0.000")&amp; "mm thick")</f>
        <v>Assumes Aluminum target at least 0.117mm thick</v>
      </c>
      <c r="G60" s="858"/>
      <c r="H60" s="858"/>
    </row>
    <row r="61" spans="2:8" ht="15.75" x14ac:dyDescent="0.25">
      <c r="B61" s="9"/>
      <c r="C61" s="61" t="s">
        <v>433</v>
      </c>
      <c r="D61" s="272">
        <v>50</v>
      </c>
      <c r="E61" t="s">
        <v>34</v>
      </c>
      <c r="F61" s="859"/>
      <c r="G61" s="858"/>
      <c r="H61" s="858"/>
    </row>
    <row r="62" spans="2:8" ht="15.75" hidden="1" x14ac:dyDescent="0.25">
      <c r="B62" s="9"/>
      <c r="C62" s="61" t="s">
        <v>860</v>
      </c>
      <c r="D62" s="149">
        <f>D60/D57</f>
        <v>11.111111111111111</v>
      </c>
    </row>
    <row r="63" spans="2:8" ht="15.75" hidden="1" x14ac:dyDescent="0.25">
      <c r="B63" s="9"/>
      <c r="C63" s="61" t="s">
        <v>861</v>
      </c>
      <c r="D63" s="536">
        <f>(0.00406832344757895+15.5588911/(1+(D57/0.0358077078721068)^0.865185989584669))+(0.973523646945684-1.1322846019223/(1+(D57/1.1356393338887)^1.06847511981245))*(1-EXP(-(10.3324121181807-56.0213701830392/(1+(D57/0.0139455036722347)^0.572123422421793))*D62))</f>
        <v>0.99516104153804186</v>
      </c>
    </row>
    <row r="64" spans="2:8" ht="18" x14ac:dyDescent="0.35">
      <c r="B64" s="9"/>
      <c r="C64" s="61" t="s">
        <v>987</v>
      </c>
      <c r="D64" s="541">
        <f>1000/(2*PI()*SQRT(D63*D46*D45))</f>
        <v>4.44478128892223</v>
      </c>
      <c r="E64" t="s">
        <v>0</v>
      </c>
      <c r="F64" s="71" t="str">
        <f>IF(D64&lt;D47,"Below minimum of "&amp;D47&amp;"MHz, reduce C or L",IF(D64&gt;D48,"Exceeds maximum of "&amp;D48&amp;"MHz, increase L or C",""))</f>
        <v/>
      </c>
    </row>
    <row r="65" spans="2:6" ht="15.75" hidden="1" x14ac:dyDescent="0.25">
      <c r="B65" s="9"/>
      <c r="C65" s="61" t="s">
        <v>937</v>
      </c>
      <c r="D65" s="536">
        <f>0.0819/SQRT(D64)</f>
        <v>3.8847108971720126E-2</v>
      </c>
      <c r="E65" t="s">
        <v>34</v>
      </c>
      <c r="F65" s="71"/>
    </row>
    <row r="66" spans="2:6" ht="18" hidden="1" x14ac:dyDescent="0.35">
      <c r="B66" s="9"/>
      <c r="C66" s="61" t="s">
        <v>936</v>
      </c>
      <c r="D66" s="536">
        <f>D63*D54</f>
        <v>2.3863654195026665</v>
      </c>
      <c r="E66" t="s">
        <v>243</v>
      </c>
      <c r="F66" s="86" t="s">
        <v>1050</v>
      </c>
    </row>
    <row r="67" spans="2:6" ht="15.75" hidden="1" x14ac:dyDescent="0.25">
      <c r="B67" s="9"/>
      <c r="C67" s="61" t="s">
        <v>862</v>
      </c>
      <c r="D67" s="149">
        <f>D61/D57</f>
        <v>5.5555555555555554</v>
      </c>
    </row>
    <row r="68" spans="2:6" ht="15.75" hidden="1" x14ac:dyDescent="0.25">
      <c r="B68" s="9"/>
      <c r="C68" s="61" t="s">
        <v>863</v>
      </c>
      <c r="D68" s="534">
        <f>(0.00406832344757895+15.5588911/(1+(D57/0.0358077078721068)^0.865185989584669))+(0.973523646945684-1.1322846019223/(1+(D57/1.1356393338887)^1.06847511981245))*(1-EXP(-(10.3324121181807-56.0213701830392/(1+(D57/0.0139455036722347)^0.572123422421793))*D67))</f>
        <v>0.99516104153804186</v>
      </c>
    </row>
    <row r="69" spans="2:6" ht="18" x14ac:dyDescent="0.35">
      <c r="B69" s="9"/>
      <c r="C69" s="61" t="s">
        <v>988</v>
      </c>
      <c r="D69" s="541">
        <f>1000/(2*PI()*SQRT(D68*D46*D45))</f>
        <v>4.44478128892223</v>
      </c>
      <c r="E69" t="s">
        <v>0</v>
      </c>
      <c r="F69" s="71" t="str">
        <f>IF(D69&lt;D47,"Below minimum of "&amp;D47&amp;"MHz, reduce C or L",IF(D69&gt;D48,"Exceeds maximum of "&amp;D48&amp;"MHz, increase L or C",""))</f>
        <v/>
      </c>
    </row>
    <row r="70" spans="2:6" ht="15.75" x14ac:dyDescent="0.25">
      <c r="B70" s="9"/>
      <c r="C70" s="61" t="s">
        <v>965</v>
      </c>
      <c r="D70" s="572">
        <f>ABS(D69-D64)*1000</f>
        <v>0</v>
      </c>
      <c r="E70" t="s">
        <v>72</v>
      </c>
      <c r="F70" s="71"/>
    </row>
    <row r="71" spans="2:6" ht="15.75" hidden="1" x14ac:dyDescent="0.25">
      <c r="B71" s="9"/>
      <c r="C71" s="61" t="s">
        <v>938</v>
      </c>
      <c r="D71" s="536">
        <f>0.0819/SQRT(D69)</f>
        <v>3.8847108971720126E-2</v>
      </c>
      <c r="E71" t="s">
        <v>34</v>
      </c>
      <c r="F71" s="71"/>
    </row>
    <row r="72" spans="2:6" ht="18" hidden="1" x14ac:dyDescent="0.35">
      <c r="B72" s="9"/>
      <c r="C72" s="61" t="s">
        <v>935</v>
      </c>
      <c r="D72" s="536">
        <f>D68*D54</f>
        <v>2.3863654195026665</v>
      </c>
      <c r="E72" t="s">
        <v>243</v>
      </c>
      <c r="F72" s="86" t="s">
        <v>1050</v>
      </c>
    </row>
    <row r="73" spans="2:6" ht="15.75" hidden="1" x14ac:dyDescent="0.25">
      <c r="B73" s="9"/>
      <c r="C73" s="61"/>
      <c r="D73" s="534"/>
      <c r="F73" s="86"/>
    </row>
    <row r="74" spans="2:6" hidden="1" x14ac:dyDescent="0.25">
      <c r="B74" s="9"/>
      <c r="C74" s="2" t="s">
        <v>206</v>
      </c>
      <c r="D74" s="151">
        <v>0.7</v>
      </c>
      <c r="E74" s="2" t="s">
        <v>16</v>
      </c>
      <c r="F74" s="86"/>
    </row>
    <row r="75" spans="2:6" hidden="1" x14ac:dyDescent="0.25">
      <c r="B75" s="9"/>
      <c r="C75" s="3"/>
      <c r="D75" s="346">
        <v>299790000</v>
      </c>
      <c r="E75" s="3"/>
      <c r="F75" s="86"/>
    </row>
    <row r="76" spans="2:6" hidden="1" x14ac:dyDescent="0.25">
      <c r="B76" s="9"/>
      <c r="C76" s="2" t="s">
        <v>207</v>
      </c>
      <c r="D76" s="174">
        <f>MAX(D69,D64,D49)</f>
        <v>4.44478128892223</v>
      </c>
      <c r="E76" s="2" t="s">
        <v>0</v>
      </c>
      <c r="F76" s="86"/>
    </row>
    <row r="77" spans="2:6" hidden="1" x14ac:dyDescent="0.25">
      <c r="B77" s="9"/>
      <c r="C77" s="3"/>
      <c r="D77" s="83">
        <v>6</v>
      </c>
      <c r="E77" s="123"/>
      <c r="F77" s="86"/>
    </row>
    <row r="78" spans="2:6" hidden="1" x14ac:dyDescent="0.25">
      <c r="B78" s="9"/>
      <c r="C78" s="3"/>
      <c r="D78" s="83">
        <v>14</v>
      </c>
      <c r="E78" s="123"/>
      <c r="F78" s="86"/>
    </row>
    <row r="79" spans="2:6" hidden="1" x14ac:dyDescent="0.25">
      <c r="B79" s="9"/>
      <c r="C79" s="3"/>
      <c r="D79" s="83">
        <f>D78/360/(D76*1000000)</f>
        <v>8.7493368876916478E-9</v>
      </c>
      <c r="E79" s="123"/>
      <c r="F79" s="86"/>
    </row>
    <row r="80" spans="2:6" hidden="1" x14ac:dyDescent="0.25">
      <c r="B80" s="9"/>
      <c r="C80" s="3"/>
      <c r="D80" s="83">
        <f>(D79-(D77*0.000000001))/2</f>
        <v>1.3746684438458235E-9</v>
      </c>
      <c r="E80" s="3"/>
      <c r="F80" s="86"/>
    </row>
    <row r="81" spans="2:12" ht="15.75" x14ac:dyDescent="0.25">
      <c r="B81" s="9"/>
      <c r="C81" s="165" t="s">
        <v>959</v>
      </c>
      <c r="D81" s="571">
        <f>MAX(50*D80*D74*D75,1)</f>
        <v>14.423914847318878</v>
      </c>
      <c r="E81" s="2" t="s">
        <v>3</v>
      </c>
      <c r="F81" s="86" t="s">
        <v>960</v>
      </c>
    </row>
    <row r="82" spans="2:12" ht="15.75" x14ac:dyDescent="0.25">
      <c r="B82" s="9"/>
      <c r="C82" s="61"/>
      <c r="D82" s="531"/>
    </row>
    <row r="83" spans="2:12" ht="15.75" x14ac:dyDescent="0.25">
      <c r="B83" s="9"/>
      <c r="C83" s="492" t="s">
        <v>853</v>
      </c>
      <c r="D83" s="530"/>
      <c r="E83" s="143"/>
    </row>
    <row r="84" spans="2:12" ht="15.75" hidden="1" x14ac:dyDescent="0.25">
      <c r="B84" s="9"/>
      <c r="C84" s="463" t="s">
        <v>854</v>
      </c>
      <c r="D84" s="269">
        <v>1.8</v>
      </c>
      <c r="E84" s="6" t="s">
        <v>376</v>
      </c>
      <c r="F84" t="s">
        <v>1051</v>
      </c>
    </row>
    <row r="85" spans="2:12" ht="15.75" hidden="1" x14ac:dyDescent="0.25">
      <c r="B85" s="9"/>
      <c r="C85" s="463" t="s">
        <v>932</v>
      </c>
      <c r="D85" s="269">
        <v>0.5</v>
      </c>
      <c r="E85" s="6" t="s">
        <v>376</v>
      </c>
    </row>
    <row r="86" spans="2:12" ht="15.75" hidden="1" x14ac:dyDescent="0.25">
      <c r="B86" s="9"/>
      <c r="C86" s="490" t="s">
        <v>855</v>
      </c>
      <c r="D86" s="539">
        <f>D84*PI()/(4*D54)</f>
        <v>0.58954750444247028</v>
      </c>
      <c r="E86" s="21" t="s">
        <v>244</v>
      </c>
      <c r="F86" t="s">
        <v>859</v>
      </c>
    </row>
    <row r="87" spans="2:12" ht="15.75" hidden="1" x14ac:dyDescent="0.25">
      <c r="B87" s="9"/>
      <c r="C87" s="490" t="s">
        <v>857</v>
      </c>
      <c r="D87" s="540">
        <f>LOG(D86*200/PI())/LOG(1.160155)</f>
        <v>24.403226113541457</v>
      </c>
      <c r="E87" s="21"/>
    </row>
    <row r="88" spans="2:12" ht="15.75" x14ac:dyDescent="0.25">
      <c r="B88" s="9"/>
      <c r="C88" s="490" t="s">
        <v>856</v>
      </c>
      <c r="D88" s="537">
        <f>IF(D87&lt;0,0,IF(D87&gt;31,31,ROUND(D87,0)))</f>
        <v>24</v>
      </c>
      <c r="E88" s="21"/>
      <c r="F88" t="str">
        <f>IF(D87&gt;31,"Consider using HIGH_CURRENT_DRV for a single channel","")</f>
        <v/>
      </c>
    </row>
    <row r="89" spans="2:12" ht="15.75" hidden="1" x14ac:dyDescent="0.25">
      <c r="B89" s="9"/>
      <c r="C89" t="s">
        <v>245</v>
      </c>
      <c r="D89" s="538">
        <f>PI()*(1.160155^D88)/200</f>
        <v>0.55527006746656837</v>
      </c>
      <c r="E89" t="s">
        <v>244</v>
      </c>
      <c r="F89" t="s">
        <v>1052</v>
      </c>
    </row>
    <row r="90" spans="2:12" ht="31.5" x14ac:dyDescent="0.25">
      <c r="B90" s="9"/>
      <c r="C90" s="532" t="s">
        <v>939</v>
      </c>
      <c r="D90" s="96">
        <f>4*MIN(D54,D66,D72)*D89/PI()</f>
        <v>1.6871408022590193</v>
      </c>
      <c r="E90" s="533" t="s">
        <v>377</v>
      </c>
      <c r="F90" s="71" t="str">
        <f>IF(D90&lt;D85,"Low sensor amplitude; increase Rp or decrease sensor C","")</f>
        <v/>
      </c>
    </row>
    <row r="91" spans="2:12" ht="15.75" hidden="1" x14ac:dyDescent="0.25">
      <c r="B91" s="9"/>
      <c r="C91" s="532" t="s">
        <v>858</v>
      </c>
      <c r="D91" s="149">
        <f>MAX(D69,D64,D49)</f>
        <v>4.44478128892223</v>
      </c>
      <c r="E91" s="533" t="s">
        <v>0</v>
      </c>
    </row>
    <row r="92" spans="2:12" ht="15.75" x14ac:dyDescent="0.25">
      <c r="B92" s="9"/>
      <c r="C92" s="532" t="s">
        <v>930</v>
      </c>
      <c r="D92" s="578">
        <f>IF(D91&lt;1,1,IF(D91&lt;3.3,3.3,IF(D91&lt;10,10,33)))</f>
        <v>10</v>
      </c>
      <c r="E92" s="533" t="s">
        <v>0</v>
      </c>
    </row>
    <row r="93" spans="2:12" ht="15.75" hidden="1" x14ac:dyDescent="0.25">
      <c r="B93" s="9"/>
      <c r="C93" s="532" t="s">
        <v>979</v>
      </c>
      <c r="D93" s="577">
        <f>IF(D91&lt;1,1,IF(D91&lt;3.3,4,IF(D91&lt;10,5,6)))</f>
        <v>5</v>
      </c>
      <c r="E93" s="533"/>
    </row>
    <row r="94" spans="2:12" ht="15.75" x14ac:dyDescent="0.25">
      <c r="B94" s="9"/>
      <c r="C94" s="61"/>
      <c r="D94" s="531"/>
    </row>
    <row r="95" spans="2:12" ht="15.75" x14ac:dyDescent="0.25">
      <c r="B95" s="9"/>
      <c r="C95" s="568" t="s">
        <v>1098</v>
      </c>
      <c r="D95" s="531"/>
    </row>
    <row r="96" spans="2:12" ht="15.75" x14ac:dyDescent="0.25">
      <c r="B96" s="9"/>
      <c r="C96" s="61" t="s">
        <v>975</v>
      </c>
      <c r="D96" s="272">
        <v>5000</v>
      </c>
      <c r="E96" s="45" t="s">
        <v>1545</v>
      </c>
      <c r="F96" s="71" t="e">
        <f>IF(D135&gt;65536,"Resolution not achieved; increase target movement range or reduce resolution",IF(AND(NOT(D11),(D132&lt;D133)),"This resolution exceeds LDC131x capabilities",""))</f>
        <v>#NUM!</v>
      </c>
      <c r="G96" s="71"/>
      <c r="L96" s="546"/>
    </row>
    <row r="97" spans="2:12" hidden="1" x14ac:dyDescent="0.25">
      <c r="B97" s="9"/>
      <c r="E97" s="25"/>
      <c r="F97" s="71"/>
      <c r="G97" s="71"/>
      <c r="L97" s="546"/>
    </row>
    <row r="98" spans="2:12" hidden="1" x14ac:dyDescent="0.25">
      <c r="B98" s="9"/>
      <c r="C98" s="86" t="s">
        <v>977</v>
      </c>
      <c r="D98" s="588">
        <f>IF(E96="steps",D96,IF(E96="bits",2^D96,ABS(D60-D61)/(0.0005*D96)))</f>
        <v>20</v>
      </c>
      <c r="F98" s="71"/>
      <c r="G98" s="71"/>
      <c r="L98" s="546"/>
    </row>
    <row r="99" spans="2:12" hidden="1" x14ac:dyDescent="0.25">
      <c r="B99" s="9"/>
      <c r="C99" s="86" t="s">
        <v>978</v>
      </c>
      <c r="D99" s="589">
        <f>2000*ABS(D60-D61)/D98</f>
        <v>5000</v>
      </c>
      <c r="E99" s="88" t="s">
        <v>114</v>
      </c>
      <c r="F99" s="71"/>
      <c r="G99" s="71"/>
    </row>
    <row r="100" spans="2:12" hidden="1" x14ac:dyDescent="0.25">
      <c r="B100" s="9"/>
      <c r="C100" s="465" t="s">
        <v>210</v>
      </c>
      <c r="D100" s="590">
        <f>D21</f>
        <v>4</v>
      </c>
      <c r="L100" s="546"/>
    </row>
    <row r="101" spans="2:12" hidden="1" x14ac:dyDescent="0.25">
      <c r="B101" s="9"/>
      <c r="C101" s="465" t="s">
        <v>252</v>
      </c>
      <c r="D101" s="587">
        <f>D55*D38/D49</f>
        <v>233.84723567383693</v>
      </c>
      <c r="L101" s="546"/>
    </row>
    <row r="102" spans="2:12" ht="15.75" x14ac:dyDescent="0.25">
      <c r="B102" s="9"/>
      <c r="C102" s="463" t="s">
        <v>852</v>
      </c>
      <c r="D102" s="545">
        <f>16*CEILING(D101/16,1)</f>
        <v>240</v>
      </c>
      <c r="E102" s="488"/>
      <c r="F102" s="25"/>
    </row>
    <row r="103" spans="2:12" hidden="1" x14ac:dyDescent="0.25">
      <c r="B103" s="9"/>
      <c r="C103" s="465" t="s">
        <v>382</v>
      </c>
      <c r="D103" s="582" t="str">
        <f>"0x"&amp;(DEC2HEX(D102/16,4))</f>
        <v>0x000F</v>
      </c>
      <c r="E103" s="117"/>
    </row>
    <row r="104" spans="2:12" x14ac:dyDescent="0.25">
      <c r="B104" s="9"/>
      <c r="C104" s="465"/>
      <c r="D104" s="583"/>
      <c r="E104" s="117"/>
    </row>
    <row r="105" spans="2:12" ht="15.75" x14ac:dyDescent="0.25">
      <c r="B105" s="9"/>
      <c r="C105" s="580" t="s">
        <v>983</v>
      </c>
      <c r="D105" s="595"/>
      <c r="E105" s="117"/>
    </row>
    <row r="106" spans="2:12" x14ac:dyDescent="0.25">
      <c r="B106" s="9"/>
      <c r="C106" s="498" t="s">
        <v>993</v>
      </c>
      <c r="D106" s="52" t="s">
        <v>1055</v>
      </c>
      <c r="E106" s="117" t="s">
        <v>991</v>
      </c>
      <c r="F106" t="str">
        <f>IF(D107,"For Actual, enter actual output codes from LDC131x for recommended settings","Estimated uses internal model to estimate settings")</f>
        <v>Estimated uses internal model to estimate settings</v>
      </c>
    </row>
    <row r="107" spans="2:12" hidden="1" x14ac:dyDescent="0.25">
      <c r="B107" s="9"/>
      <c r="C107" s="603" t="s">
        <v>992</v>
      </c>
      <c r="D107" s="75">
        <f>IF(D106="Estimated",0,1)</f>
        <v>0</v>
      </c>
      <c r="E107" s="117"/>
    </row>
    <row r="108" spans="2:12" x14ac:dyDescent="0.25">
      <c r="B108" s="9"/>
      <c r="C108" t="s">
        <v>1001</v>
      </c>
      <c r="D108" s="607">
        <v>800</v>
      </c>
      <c r="E108" s="117" t="s">
        <v>945</v>
      </c>
      <c r="F108" t="s">
        <v>995</v>
      </c>
    </row>
    <row r="109" spans="2:12" x14ac:dyDescent="0.25">
      <c r="B109" s="9"/>
      <c r="C109" t="s">
        <v>1002</v>
      </c>
      <c r="D109" s="607">
        <v>302</v>
      </c>
      <c r="E109" s="117" t="s">
        <v>945</v>
      </c>
      <c r="F109" t="s">
        <v>995</v>
      </c>
    </row>
    <row r="110" spans="2:12" hidden="1" x14ac:dyDescent="0.25">
      <c r="B110" s="9"/>
      <c r="C110" s="603" t="s">
        <v>990</v>
      </c>
      <c r="D110" s="593">
        <f>ABS(D108-D109)/4096</f>
        <v>0.12158203125</v>
      </c>
      <c r="E110" s="117"/>
    </row>
    <row r="111" spans="2:12" x14ac:dyDescent="0.25">
      <c r="B111" s="9"/>
      <c r="C111" s="591"/>
      <c r="D111" s="583"/>
      <c r="E111" s="117"/>
    </row>
    <row r="112" spans="2:12" x14ac:dyDescent="0.25">
      <c r="B112" s="9"/>
      <c r="C112" s="604" t="s">
        <v>1014</v>
      </c>
      <c r="D112" s="583"/>
      <c r="E112" s="117"/>
    </row>
    <row r="113" spans="2:8" hidden="1" x14ac:dyDescent="0.25">
      <c r="B113" s="9"/>
      <c r="C113" s="465" t="s">
        <v>984</v>
      </c>
      <c r="D113" s="599">
        <f>IF(D107,D110,0.001*D70/D38)</f>
        <v>0</v>
      </c>
      <c r="E113" s="117"/>
      <c r="F113" s="596"/>
      <c r="G113" s="597"/>
    </row>
    <row r="114" spans="2:8" hidden="1" x14ac:dyDescent="0.25">
      <c r="B114" s="9"/>
      <c r="C114" s="465" t="s">
        <v>985</v>
      </c>
      <c r="D114" s="600">
        <f>D113/0.0625/D140</f>
        <v>0</v>
      </c>
      <c r="E114" s="117"/>
    </row>
    <row r="115" spans="2:8" hidden="1" x14ac:dyDescent="0.25">
      <c r="B115" s="9"/>
      <c r="C115" s="465" t="s">
        <v>1056</v>
      </c>
      <c r="D115" s="618" t="b">
        <v>1</v>
      </c>
      <c r="E115" s="117"/>
    </row>
    <row r="116" spans="2:8" x14ac:dyDescent="0.25">
      <c r="B116" s="9"/>
      <c r="C116" s="97" t="s">
        <v>284</v>
      </c>
      <c r="D116" s="594">
        <f>IF(D115,1,IF(D114&lt;1,16,IF(D114&lt;2,8,IF(D114&lt;4,4,1))))</f>
        <v>1</v>
      </c>
      <c r="E116" s="117" t="s">
        <v>994</v>
      </c>
      <c r="F116" s="330"/>
      <c r="G116" s="330"/>
      <c r="H116" s="330"/>
    </row>
    <row r="117" spans="2:8" hidden="1" x14ac:dyDescent="0.25">
      <c r="B117" s="9"/>
      <c r="C117" s="93" t="s">
        <v>996</v>
      </c>
      <c r="D117" s="555">
        <f>IF(D11,0,ROUND(SQRT(D116),0)-1)</f>
        <v>0</v>
      </c>
      <c r="E117" s="117"/>
      <c r="F117" s="6" t="s">
        <v>986</v>
      </c>
    </row>
    <row r="118" spans="2:8" hidden="1" x14ac:dyDescent="0.25">
      <c r="B118" s="9"/>
      <c r="C118" s="465" t="s">
        <v>997</v>
      </c>
      <c r="D118" s="601">
        <f>FLOOR(D64/D38/D140*4096,1)</f>
        <v>455</v>
      </c>
      <c r="E118" s="117"/>
      <c r="F118" s="6" t="s">
        <v>1022</v>
      </c>
    </row>
    <row r="119" spans="2:8" hidden="1" x14ac:dyDescent="0.25">
      <c r="B119" s="9"/>
      <c r="C119" s="465" t="s">
        <v>998</v>
      </c>
      <c r="D119" s="601">
        <f>CEILING(D69/D38/D140*4096,1)</f>
        <v>456</v>
      </c>
      <c r="E119" s="117"/>
      <c r="F119" s="6" t="s">
        <v>1022</v>
      </c>
    </row>
    <row r="120" spans="2:8" hidden="1" x14ac:dyDescent="0.25">
      <c r="B120" s="9"/>
      <c r="C120" s="465" t="s">
        <v>999</v>
      </c>
      <c r="D120" s="601">
        <f>IF(D107,MAX(D108:D109),D119)</f>
        <v>456</v>
      </c>
      <c r="E120" s="117"/>
      <c r="F120" s="6" t="s">
        <v>1023</v>
      </c>
    </row>
    <row r="121" spans="2:8" hidden="1" x14ac:dyDescent="0.25">
      <c r="B121" s="9"/>
      <c r="C121" s="465" t="s">
        <v>1000</v>
      </c>
      <c r="D121" s="601">
        <f>IF(D107,MIN(D108:D109),D118)</f>
        <v>455</v>
      </c>
      <c r="E121" s="117"/>
      <c r="F121" s="6" t="s">
        <v>1023</v>
      </c>
    </row>
    <row r="122" spans="2:8" hidden="1" x14ac:dyDescent="0.25">
      <c r="B122" s="9"/>
      <c r="C122" s="465" t="s">
        <v>1017</v>
      </c>
      <c r="D122" s="601">
        <f>D120-D121</f>
        <v>1</v>
      </c>
      <c r="E122" s="117"/>
    </row>
    <row r="123" spans="2:8" hidden="1" x14ac:dyDescent="0.25">
      <c r="B123" s="9"/>
      <c r="C123" s="465" t="s">
        <v>1024</v>
      </c>
      <c r="D123" s="601">
        <f>4096/D116</f>
        <v>4096</v>
      </c>
      <c r="E123" s="117"/>
    </row>
    <row r="124" spans="2:8" hidden="1" x14ac:dyDescent="0.25">
      <c r="B124" s="9"/>
      <c r="C124" s="465" t="s">
        <v>1018</v>
      </c>
      <c r="D124" s="601">
        <f>D123-D122</f>
        <v>4095</v>
      </c>
      <c r="E124" s="117"/>
      <c r="F124" s="6" t="s">
        <v>1020</v>
      </c>
    </row>
    <row r="125" spans="2:8" hidden="1" x14ac:dyDescent="0.25">
      <c r="B125" s="9"/>
      <c r="C125" s="465" t="s">
        <v>1016</v>
      </c>
      <c r="D125" s="606">
        <v>2</v>
      </c>
      <c r="E125" s="117"/>
      <c r="F125" s="6" t="s">
        <v>1021</v>
      </c>
    </row>
    <row r="126" spans="2:8" hidden="1" x14ac:dyDescent="0.25">
      <c r="B126" s="9"/>
      <c r="C126" s="465" t="s">
        <v>1019</v>
      </c>
      <c r="D126" s="606">
        <f>D109 - (D124/(D125+1))</f>
        <v>-1063</v>
      </c>
      <c r="E126" s="117"/>
    </row>
    <row r="127" spans="2:8" hidden="1" x14ac:dyDescent="0.25">
      <c r="B127" s="9"/>
      <c r="C127" s="598" t="s">
        <v>1015</v>
      </c>
      <c r="D127" s="606">
        <f>MAX(0,FLOOR(D126,1))</f>
        <v>0</v>
      </c>
      <c r="E127" s="117"/>
    </row>
    <row r="128" spans="2:8" x14ac:dyDescent="0.25">
      <c r="B128" s="9"/>
      <c r="C128" s="463" t="s">
        <v>989</v>
      </c>
      <c r="D128" s="602">
        <f>ROUND(D127*16,0)</f>
        <v>0</v>
      </c>
      <c r="E128" s="117" t="s">
        <v>945</v>
      </c>
    </row>
    <row r="129" spans="2:6" x14ac:dyDescent="0.25">
      <c r="B129" s="9"/>
      <c r="C129" s="465"/>
      <c r="D129" s="592"/>
      <c r="E129" s="117"/>
    </row>
    <row r="130" spans="2:6" x14ac:dyDescent="0.25">
      <c r="B130" s="9"/>
      <c r="C130" s="581" t="s">
        <v>1013</v>
      </c>
      <c r="D130" s="583"/>
      <c r="E130" s="117"/>
    </row>
    <row r="131" spans="2:6" hidden="1" x14ac:dyDescent="0.25">
      <c r="B131" s="9"/>
      <c r="C131" s="465" t="s">
        <v>943</v>
      </c>
      <c r="D131" s="584">
        <f>ABS(D64-D69)</f>
        <v>0</v>
      </c>
      <c r="E131" s="117" t="s">
        <v>0</v>
      </c>
    </row>
    <row r="132" spans="2:6" hidden="1" x14ac:dyDescent="0.25">
      <c r="B132" s="9"/>
      <c r="C132" s="465" t="s">
        <v>944</v>
      </c>
      <c r="D132" s="585">
        <f>D131*1000000/D98</f>
        <v>0</v>
      </c>
      <c r="E132" s="117" t="s">
        <v>1</v>
      </c>
    </row>
    <row r="133" spans="2:6" hidden="1" x14ac:dyDescent="0.25">
      <c r="B133" s="9"/>
      <c r="C133" s="465" t="s">
        <v>1003</v>
      </c>
      <c r="D133" s="585">
        <f>D38*1000000/(4096*D116)</f>
        <v>9765.625</v>
      </c>
      <c r="E133" s="117" t="s">
        <v>1</v>
      </c>
    </row>
    <row r="134" spans="2:6" hidden="1" x14ac:dyDescent="0.25">
      <c r="B134" s="9"/>
      <c r="C134" s="465" t="s">
        <v>1546</v>
      </c>
      <c r="D134" s="585">
        <f>IF(E96="RCOUNT",D96,0)</f>
        <v>5000</v>
      </c>
      <c r="E134" s="117" t="s">
        <v>1545</v>
      </c>
    </row>
    <row r="135" spans="2:6" hidden="1" x14ac:dyDescent="0.25">
      <c r="B135" s="9"/>
      <c r="C135" s="465" t="s">
        <v>946</v>
      </c>
      <c r="D135" s="585" t="e">
        <f>(10^(LOG(D132/25317/D38,10)/-1.0023)/32)*(1.5*D64/D140)</f>
        <v>#NUM!</v>
      </c>
      <c r="E135" s="117"/>
    </row>
    <row r="136" spans="2:6" hidden="1" x14ac:dyDescent="0.25">
      <c r="B136" s="9"/>
      <c r="C136" s="465" t="s">
        <v>947</v>
      </c>
      <c r="D136" s="586">
        <f>IF(D134&gt;0,ROUND(D134,0),ROUND(D135,0))</f>
        <v>5000</v>
      </c>
      <c r="E136" s="117"/>
    </row>
    <row r="137" spans="2:6" ht="15.75" x14ac:dyDescent="0.25">
      <c r="B137" s="9"/>
      <c r="C137" s="463" t="s">
        <v>948</v>
      </c>
      <c r="D137" s="550">
        <f>IF(D136&lt;5,5,IF(D136&gt;65535,65535,D136))</f>
        <v>5000</v>
      </c>
      <c r="E137" s="117" t="s">
        <v>945</v>
      </c>
    </row>
    <row r="138" spans="2:6" hidden="1" x14ac:dyDescent="0.25">
      <c r="B138" s="9"/>
    </row>
    <row r="139" spans="2:6" hidden="1" x14ac:dyDescent="0.25">
      <c r="B139" s="9"/>
      <c r="C139" s="463" t="s">
        <v>929</v>
      </c>
      <c r="D139" s="605">
        <f>D91/D38</f>
        <v>0.11111953222305575</v>
      </c>
      <c r="E139" s="6"/>
    </row>
    <row r="140" spans="2:6" ht="18" x14ac:dyDescent="0.35">
      <c r="B140" s="9"/>
      <c r="C140" s="463" t="s">
        <v>963</v>
      </c>
      <c r="D140" s="549">
        <f>CEILING(D139/0.25,1)</f>
        <v>1</v>
      </c>
      <c r="E140" s="6"/>
    </row>
    <row r="141" spans="2:6" ht="15.75" x14ac:dyDescent="0.25">
      <c r="B141" s="9"/>
      <c r="C141" s="7" t="s">
        <v>221</v>
      </c>
      <c r="D141" s="548">
        <f>0.001*D137*16/D38</f>
        <v>2</v>
      </c>
      <c r="E141" s="6" t="s">
        <v>229</v>
      </c>
    </row>
    <row r="142" spans="2:6" ht="15.75" hidden="1" x14ac:dyDescent="0.25">
      <c r="B142" s="9"/>
      <c r="C142" s="498" t="s">
        <v>951</v>
      </c>
      <c r="D142" s="564">
        <f>IF(D100&gt;1,D100*(D137+4),(D137+D102))</f>
        <v>20016</v>
      </c>
      <c r="E142" s="6"/>
    </row>
    <row r="143" spans="2:6" ht="15.75" hidden="1" x14ac:dyDescent="0.25">
      <c r="B143" s="9"/>
      <c r="C143" s="498" t="s">
        <v>952</v>
      </c>
      <c r="D143" s="564">
        <f>IF(D11,400000/(2*D100*49),13300/D100)</f>
        <v>3325</v>
      </c>
      <c r="E143" s="6" t="s">
        <v>405</v>
      </c>
    </row>
    <row r="144" spans="2:6" ht="15.75" hidden="1" x14ac:dyDescent="0.25">
      <c r="B144" s="9"/>
      <c r="C144" s="529" t="s">
        <v>953</v>
      </c>
      <c r="D144" s="565">
        <f>D38*1000000/D142/16</f>
        <v>124.90007993605116</v>
      </c>
      <c r="E144" s="6" t="s">
        <v>628</v>
      </c>
      <c r="F144" s="85"/>
    </row>
    <row r="145" spans="2:12" ht="15.75" x14ac:dyDescent="0.25">
      <c r="B145" s="9"/>
      <c r="C145" s="463" t="s">
        <v>950</v>
      </c>
      <c r="D145" s="563">
        <f>IF(D144&lt;D143,D144,D143)</f>
        <v>124.90007993605116</v>
      </c>
      <c r="E145" s="6" t="s">
        <v>628</v>
      </c>
      <c r="F145" s="61" t="str">
        <f>IF(D144&gt;D143,"I2C Bus limits Conversion Rate; decrease RCOUNT","")</f>
        <v/>
      </c>
    </row>
    <row r="146" spans="2:12" x14ac:dyDescent="0.25">
      <c r="B146" s="9"/>
      <c r="E146" s="6"/>
    </row>
    <row r="147" spans="2:12" x14ac:dyDescent="0.25">
      <c r="B147" s="9"/>
      <c r="L147" s="547"/>
    </row>
    <row r="148" spans="2:12" ht="15.75" x14ac:dyDescent="0.25">
      <c r="B148" s="9"/>
      <c r="C148" s="22" t="str">
        <f>D7&amp;" Register Configuration"</f>
        <v>LDC1312 Register Configuration</v>
      </c>
    </row>
    <row r="149" spans="2:12" x14ac:dyDescent="0.25">
      <c r="B149" s="9"/>
      <c r="C149" s="309" t="s">
        <v>766</v>
      </c>
      <c r="D149" s="427" t="s">
        <v>883</v>
      </c>
      <c r="E149" s="427" t="s">
        <v>884</v>
      </c>
    </row>
    <row r="150" spans="2:12" x14ac:dyDescent="0.25">
      <c r="B150" s="9"/>
      <c r="C150" s="11" t="s">
        <v>885</v>
      </c>
      <c r="D150" s="430" t="s">
        <v>889</v>
      </c>
      <c r="E150" s="535" t="str">
        <f>"0x"&amp;DEC2HEX(D137,4)</f>
        <v>0x1388</v>
      </c>
    </row>
    <row r="151" spans="2:12" x14ac:dyDescent="0.25">
      <c r="B151" s="9"/>
      <c r="C151" s="11" t="s">
        <v>886</v>
      </c>
      <c r="D151" s="430" t="s">
        <v>890</v>
      </c>
      <c r="E151" s="535" t="str">
        <f>"0x"&amp;DEC2HEX(D137,4)</f>
        <v>0x1388</v>
      </c>
    </row>
    <row r="152" spans="2:12" x14ac:dyDescent="0.25">
      <c r="B152" s="9"/>
      <c r="C152" s="11" t="s">
        <v>887</v>
      </c>
      <c r="D152" s="430" t="s">
        <v>891</v>
      </c>
      <c r="E152" s="535" t="str">
        <f>IF(D8,"DNC","0x"&amp;DEC2HEX(D137,4))</f>
        <v>DNC</v>
      </c>
    </row>
    <row r="153" spans="2:12" x14ac:dyDescent="0.25">
      <c r="B153" s="9"/>
      <c r="C153" s="11" t="s">
        <v>888</v>
      </c>
      <c r="D153" s="430" t="s">
        <v>892</v>
      </c>
      <c r="E153" s="535" t="str">
        <f>IF(D8,"DNC","0x"&amp;DEC2HEX(D137,4))</f>
        <v>DNC</v>
      </c>
    </row>
    <row r="154" spans="2:12" x14ac:dyDescent="0.25">
      <c r="B154" s="9"/>
      <c r="C154" s="11" t="s">
        <v>1005</v>
      </c>
      <c r="D154" s="430" t="s">
        <v>1009</v>
      </c>
      <c r="E154" s="535" t="str">
        <f>IF(D11,"0x0000","0x"&amp;DEC2HEX(D128,4))</f>
        <v>0x0000</v>
      </c>
    </row>
    <row r="155" spans="2:12" x14ac:dyDescent="0.25">
      <c r="B155" s="9"/>
      <c r="C155" s="11" t="s">
        <v>1006</v>
      </c>
      <c r="D155" s="430" t="s">
        <v>1010</v>
      </c>
      <c r="E155" s="535" t="str">
        <f>IF(D11,"0x0000","0x"&amp;DEC2HEX(D128,4))</f>
        <v>0x0000</v>
      </c>
    </row>
    <row r="156" spans="2:12" x14ac:dyDescent="0.25">
      <c r="B156" s="9"/>
      <c r="C156" s="11" t="s">
        <v>1007</v>
      </c>
      <c r="D156" s="430" t="s">
        <v>1011</v>
      </c>
      <c r="E156" s="535" t="str">
        <f>IF(OR(D11,D8),"0x0000","0x"&amp;DEC2HEX(D128,4))</f>
        <v>0x0000</v>
      </c>
    </row>
    <row r="157" spans="2:12" x14ac:dyDescent="0.25">
      <c r="B157" s="9"/>
      <c r="C157" s="11" t="s">
        <v>1008</v>
      </c>
      <c r="D157" s="430" t="s">
        <v>1012</v>
      </c>
      <c r="E157" s="535" t="str">
        <f>IF(OR(D11,D8),"0x0000","0x"&amp;DEC2HEX(D128,4))</f>
        <v>0x0000</v>
      </c>
    </row>
    <row r="158" spans="2:12" x14ac:dyDescent="0.25">
      <c r="B158" s="9"/>
      <c r="C158" s="11" t="s">
        <v>893</v>
      </c>
      <c r="D158" s="430" t="s">
        <v>897</v>
      </c>
      <c r="E158" s="535" t="str">
        <f>D103</f>
        <v>0x000F</v>
      </c>
    </row>
    <row r="159" spans="2:12" x14ac:dyDescent="0.25">
      <c r="B159" s="9"/>
      <c r="C159" s="11" t="s">
        <v>894</v>
      </c>
      <c r="D159" s="430" t="s">
        <v>898</v>
      </c>
      <c r="E159" s="535" t="str">
        <f>D103</f>
        <v>0x000F</v>
      </c>
    </row>
    <row r="160" spans="2:12" x14ac:dyDescent="0.25">
      <c r="B160" s="9"/>
      <c r="C160" s="11" t="s">
        <v>895</v>
      </c>
      <c r="D160" s="430" t="s">
        <v>899</v>
      </c>
      <c r="E160" s="535" t="str">
        <f>IF(D8,"DNC",D103)</f>
        <v>DNC</v>
      </c>
    </row>
    <row r="161" spans="2:12" x14ac:dyDescent="0.25">
      <c r="B161" s="9"/>
      <c r="C161" s="11" t="s">
        <v>896</v>
      </c>
      <c r="D161" s="430" t="s">
        <v>900</v>
      </c>
      <c r="E161" s="535" t="str">
        <f>IF(D8,"DNC",D103)</f>
        <v>DNC</v>
      </c>
    </row>
    <row r="162" spans="2:12" x14ac:dyDescent="0.25">
      <c r="B162" s="9"/>
      <c r="C162" s="11" t="s">
        <v>901</v>
      </c>
      <c r="D162" s="430" t="s">
        <v>905</v>
      </c>
      <c r="E162" s="535" t="str">
        <f>"0x"&amp;DEC2HEX(D140*(2^12)+D36,4)</f>
        <v>0x1001</v>
      </c>
    </row>
    <row r="163" spans="2:12" x14ac:dyDescent="0.25">
      <c r="B163" s="9"/>
      <c r="C163" s="11" t="s">
        <v>902</v>
      </c>
      <c r="D163" s="430" t="s">
        <v>906</v>
      </c>
      <c r="E163" s="535" t="str">
        <f>"0x"&amp;DEC2HEX(D140*(2^12)+D36,4)</f>
        <v>0x1001</v>
      </c>
    </row>
    <row r="164" spans="2:12" x14ac:dyDescent="0.25">
      <c r="B164" s="9"/>
      <c r="C164" s="11" t="s">
        <v>903</v>
      </c>
      <c r="D164" s="430" t="s">
        <v>907</v>
      </c>
      <c r="E164" s="535" t="str">
        <f>IF(D8,"DNC","0x"&amp;DEC2HEX(D140*(2^12)+D36,4))</f>
        <v>DNC</v>
      </c>
    </row>
    <row r="165" spans="2:12" x14ac:dyDescent="0.25">
      <c r="B165" s="9"/>
      <c r="C165" s="11" t="s">
        <v>904</v>
      </c>
      <c r="D165" s="430" t="s">
        <v>908</v>
      </c>
      <c r="E165" s="535" t="str">
        <f>IF(D8,"DNC","0x"&amp;DEC2HEX(D140*(2^12)+D36,4))</f>
        <v>DNC</v>
      </c>
    </row>
    <row r="166" spans="2:12" x14ac:dyDescent="0.25">
      <c r="B166" s="9"/>
      <c r="C166" s="11" t="s">
        <v>909</v>
      </c>
      <c r="D166" s="430" t="s">
        <v>910</v>
      </c>
      <c r="E166" s="535" t="str">
        <f>"0x"&amp;DEC2HEX(D30,4)</f>
        <v>0x1600</v>
      </c>
    </row>
    <row r="167" spans="2:12" x14ac:dyDescent="0.25">
      <c r="B167" s="9"/>
      <c r="C167" s="11" t="s">
        <v>911</v>
      </c>
      <c r="D167" s="430" t="s">
        <v>912</v>
      </c>
      <c r="E167" s="535" t="str">
        <f>"0x"&amp;DEC2HEX((D23*(2^E23)+D22*(2^E22)+D93+520),4)</f>
        <v>0xC20D</v>
      </c>
    </row>
    <row r="168" spans="2:12" x14ac:dyDescent="0.25">
      <c r="B168" s="9"/>
      <c r="C168" s="11" t="s">
        <v>981</v>
      </c>
      <c r="D168" s="430" t="s">
        <v>982</v>
      </c>
      <c r="E168" s="535" t="str">
        <f>"0x"&amp;DEC2HEX(D117*2^9,4)</f>
        <v>0x0000</v>
      </c>
    </row>
    <row r="169" spans="2:12" x14ac:dyDescent="0.25">
      <c r="B169" s="9"/>
      <c r="C169" s="11" t="s">
        <v>913</v>
      </c>
      <c r="D169" s="430" t="s">
        <v>917</v>
      </c>
      <c r="E169" s="535" t="str">
        <f>"0x"&amp;DEC2HEX(D88*(2^11),4)</f>
        <v>0xC000</v>
      </c>
    </row>
    <row r="170" spans="2:12" x14ac:dyDescent="0.25">
      <c r="B170" s="9"/>
      <c r="C170" s="11" t="s">
        <v>914</v>
      </c>
      <c r="D170" s="430" t="s">
        <v>918</v>
      </c>
      <c r="E170" s="535" t="str">
        <f>"0x"&amp;DEC2HEX(D88*(2^11),4)</f>
        <v>0xC000</v>
      </c>
      <c r="G170" s="579"/>
      <c r="H170" s="579"/>
      <c r="I170" s="579"/>
      <c r="J170" s="579"/>
      <c r="K170" s="579"/>
      <c r="L170" s="579"/>
    </row>
    <row r="171" spans="2:12" x14ac:dyDescent="0.25">
      <c r="B171" s="9"/>
      <c r="C171" s="11" t="s">
        <v>915</v>
      </c>
      <c r="D171" s="430" t="s">
        <v>919</v>
      </c>
      <c r="E171" s="535" t="str">
        <f>IF(D8,"DNC","0x"&amp;DEC2HEX(D88*(2^11),4))</f>
        <v>DNC</v>
      </c>
      <c r="G171" s="579"/>
      <c r="H171" s="579"/>
      <c r="I171" s="579"/>
      <c r="J171" s="579"/>
      <c r="K171" s="579"/>
      <c r="L171" s="579"/>
    </row>
    <row r="172" spans="2:12" x14ac:dyDescent="0.25">
      <c r="B172" s="9"/>
      <c r="C172" s="11" t="s">
        <v>916</v>
      </c>
      <c r="D172" s="430" t="s">
        <v>920</v>
      </c>
      <c r="E172" s="535" t="str">
        <f>IF(D8,"DNC","0x"&amp;DEC2HEX(D88*(2^11),4))</f>
        <v>DNC</v>
      </c>
      <c r="G172" s="579"/>
      <c r="H172" s="579"/>
      <c r="I172" s="579"/>
      <c r="J172" s="579"/>
      <c r="K172" s="579"/>
      <c r="L172" s="579"/>
    </row>
    <row r="173" spans="2:12" x14ac:dyDescent="0.25">
      <c r="B173" s="9"/>
      <c r="G173" s="579"/>
      <c r="H173" s="579"/>
      <c r="I173" s="579"/>
      <c r="J173" s="579"/>
      <c r="K173" s="579"/>
      <c r="L173" s="579"/>
    </row>
    <row r="174" spans="2:12" ht="15.75" hidden="1" x14ac:dyDescent="0.25">
      <c r="B174" s="9"/>
      <c r="C174" s="141" t="s">
        <v>249</v>
      </c>
      <c r="D174" s="145">
        <f>D102/D38</f>
        <v>6</v>
      </c>
      <c r="E174" s="19" t="s">
        <v>222</v>
      </c>
    </row>
    <row r="175" spans="2:12" ht="15.75" hidden="1" x14ac:dyDescent="0.25">
      <c r="B175" s="57"/>
      <c r="C175" s="11" t="s">
        <v>236</v>
      </c>
      <c r="D175" s="146">
        <v>0.3</v>
      </c>
      <c r="E175" t="s">
        <v>229</v>
      </c>
    </row>
    <row r="176" spans="2:12" ht="15.75" hidden="1" x14ac:dyDescent="0.25">
      <c r="B176" s="17"/>
      <c r="C176" s="11" t="s">
        <v>237</v>
      </c>
      <c r="D176" s="147">
        <v>0.04</v>
      </c>
      <c r="E176" t="s">
        <v>229</v>
      </c>
    </row>
    <row r="177" spans="3:6" ht="15.95" customHeight="1" x14ac:dyDescent="0.25">
      <c r="C177" s="490"/>
      <c r="D177" s="491"/>
      <c r="E177" s="21"/>
      <c r="F177" s="85"/>
    </row>
    <row r="178" spans="3:6" ht="15.75" x14ac:dyDescent="0.25">
      <c r="C178" s="22" t="s">
        <v>1025</v>
      </c>
    </row>
    <row r="179" spans="3:6" x14ac:dyDescent="0.25">
      <c r="C179" s="392" t="s">
        <v>942</v>
      </c>
      <c r="D179" s="391" t="s">
        <v>709</v>
      </c>
      <c r="E179" s="56"/>
    </row>
    <row r="180" spans="3:6" ht="15.75" x14ac:dyDescent="0.25">
      <c r="C180" s="9"/>
      <c r="D180" s="60"/>
      <c r="E180" s="56"/>
    </row>
    <row r="181" spans="3:6" ht="18" hidden="1" x14ac:dyDescent="0.35">
      <c r="C181" s="11" t="s">
        <v>365</v>
      </c>
      <c r="D181" s="349">
        <f>D38</f>
        <v>40</v>
      </c>
      <c r="E181" s="6" t="s">
        <v>0</v>
      </c>
    </row>
    <row r="182" spans="3:6" hidden="1" x14ac:dyDescent="0.25">
      <c r="C182" s="529" t="s">
        <v>378</v>
      </c>
      <c r="D182" s="566">
        <f>D137</f>
        <v>5000</v>
      </c>
      <c r="E182" s="6"/>
    </row>
    <row r="183" spans="3:6" x14ac:dyDescent="0.25">
      <c r="C183" s="463" t="s">
        <v>232</v>
      </c>
      <c r="D183" s="150">
        <v>2</v>
      </c>
      <c r="E183" s="6" t="str">
        <f>IF(D205&gt;0,"sps","This Sample Rate is too high and cannot use Sleep Mode")</f>
        <v>sps</v>
      </c>
      <c r="F183" s="85"/>
    </row>
    <row r="184" spans="3:6" hidden="1" x14ac:dyDescent="0.25">
      <c r="C184" s="463" t="s">
        <v>210</v>
      </c>
      <c r="D184" s="276">
        <f>D21</f>
        <v>4</v>
      </c>
      <c r="E184" s="6"/>
    </row>
    <row r="185" spans="3:6" x14ac:dyDescent="0.25">
      <c r="C185" s="463" t="s">
        <v>230</v>
      </c>
      <c r="D185" s="277">
        <v>400</v>
      </c>
      <c r="E185" s="6" t="s">
        <v>231</v>
      </c>
    </row>
    <row r="186" spans="3:6" hidden="1" x14ac:dyDescent="0.25">
      <c r="C186" s="463" t="s">
        <v>954</v>
      </c>
      <c r="D186" s="142">
        <f>D102</f>
        <v>240</v>
      </c>
      <c r="E186" s="488"/>
      <c r="F186" s="25"/>
    </row>
    <row r="187" spans="3:6" hidden="1" x14ac:dyDescent="0.25">
      <c r="C187" s="463" t="s">
        <v>249</v>
      </c>
      <c r="D187" s="142">
        <f>D186/D181</f>
        <v>6</v>
      </c>
      <c r="E187" s="19" t="s">
        <v>222</v>
      </c>
    </row>
    <row r="188" spans="3:6" hidden="1" x14ac:dyDescent="0.25">
      <c r="C188" s="13" t="s">
        <v>233</v>
      </c>
      <c r="D188" s="495">
        <v>2</v>
      </c>
      <c r="E188" t="s">
        <v>229</v>
      </c>
    </row>
    <row r="189" spans="3:6" hidden="1" x14ac:dyDescent="0.25">
      <c r="C189" s="13" t="s">
        <v>209</v>
      </c>
      <c r="D189" s="496">
        <f>4*D184+5</f>
        <v>21</v>
      </c>
    </row>
    <row r="190" spans="3:6" hidden="1" x14ac:dyDescent="0.25">
      <c r="C190" s="13" t="s">
        <v>235</v>
      </c>
      <c r="D190" s="496">
        <f>4*8+5</f>
        <v>37</v>
      </c>
    </row>
    <row r="191" spans="3:6" hidden="1" x14ac:dyDescent="0.25">
      <c r="C191" s="13" t="s">
        <v>234</v>
      </c>
      <c r="D191" s="113">
        <f>D189*D190/D185</f>
        <v>1.9424999999999999</v>
      </c>
      <c r="E191" t="s">
        <v>229</v>
      </c>
    </row>
    <row r="192" spans="3:6" ht="30" hidden="1" x14ac:dyDescent="0.25">
      <c r="C192" s="499" t="s">
        <v>383</v>
      </c>
      <c r="D192" s="113">
        <f>IF(D11=0,((D190+D184*D190)/D185),((D190+D184*2*D190)/D185))</f>
        <v>0.46250000000000002</v>
      </c>
      <c r="E192" t="s">
        <v>229</v>
      </c>
    </row>
    <row r="193" spans="3:5" hidden="1" x14ac:dyDescent="0.25">
      <c r="C193" s="13" t="s">
        <v>240</v>
      </c>
      <c r="D193" s="113">
        <f>D191+D188</f>
        <v>3.9424999999999999</v>
      </c>
      <c r="E193" t="s">
        <v>229</v>
      </c>
    </row>
    <row r="194" spans="3:5" hidden="1" x14ac:dyDescent="0.25">
      <c r="C194" s="13" t="s">
        <v>236</v>
      </c>
      <c r="D194" s="113">
        <f>16384000/(40000000/2)</f>
        <v>0.81920000000000004</v>
      </c>
      <c r="E194" t="s">
        <v>229</v>
      </c>
    </row>
    <row r="195" spans="3:5" hidden="1" x14ac:dyDescent="0.25">
      <c r="C195" s="13" t="s">
        <v>237</v>
      </c>
      <c r="D195" s="617">
        <f>0.000625+0.005/D181</f>
        <v>7.5000000000000002E-4</v>
      </c>
      <c r="E195" t="s">
        <v>229</v>
      </c>
    </row>
    <row r="196" spans="3:5" hidden="1" x14ac:dyDescent="0.25">
      <c r="C196" s="13" t="s">
        <v>241</v>
      </c>
      <c r="D196" s="494">
        <f>0.001*(D186+D182*16)/D181</f>
        <v>2.0059999999999998</v>
      </c>
      <c r="E196" t="s">
        <v>229</v>
      </c>
    </row>
    <row r="197" spans="3:5" hidden="1" x14ac:dyDescent="0.25">
      <c r="C197" s="13" t="s">
        <v>251</v>
      </c>
      <c r="D197" s="113">
        <f>D184*D196+(D184-1)*D195+D194+D192</f>
        <v>9.3079499999999999</v>
      </c>
      <c r="E197" t="s">
        <v>229</v>
      </c>
    </row>
    <row r="198" spans="3:5" hidden="1" x14ac:dyDescent="0.25">
      <c r="C198" s="13" t="s">
        <v>238</v>
      </c>
      <c r="D198" s="497">
        <f>D197*D183</f>
        <v>18.6159</v>
      </c>
      <c r="E198" t="s">
        <v>229</v>
      </c>
    </row>
    <row r="199" spans="3:5" hidden="1" x14ac:dyDescent="0.25">
      <c r="C199" s="13" t="s">
        <v>250</v>
      </c>
      <c r="D199" s="497">
        <f>(D193)*D183</f>
        <v>7.8849999999999998</v>
      </c>
      <c r="E199" t="s">
        <v>229</v>
      </c>
    </row>
    <row r="200" spans="3:5" hidden="1" x14ac:dyDescent="0.25">
      <c r="C200" s="13" t="s">
        <v>245</v>
      </c>
      <c r="D200" s="113">
        <f>D89</f>
        <v>0.55527006746656837</v>
      </c>
      <c r="E200" t="s">
        <v>244</v>
      </c>
    </row>
    <row r="201" spans="3:5" hidden="1" x14ac:dyDescent="0.25">
      <c r="C201" s="13" t="s">
        <v>385</v>
      </c>
      <c r="D201" s="495">
        <f>2.02+D181*0.0365</f>
        <v>3.48</v>
      </c>
      <c r="E201" t="s">
        <v>244</v>
      </c>
    </row>
    <row r="202" spans="3:5" hidden="1" x14ac:dyDescent="0.25">
      <c r="C202" s="13" t="s">
        <v>386</v>
      </c>
      <c r="D202" s="495">
        <f>D201+D200</f>
        <v>4.035270067466568</v>
      </c>
      <c r="E202" t="s">
        <v>244</v>
      </c>
    </row>
    <row r="203" spans="3:5" hidden="1" x14ac:dyDescent="0.25">
      <c r="C203" s="13" t="s">
        <v>247</v>
      </c>
      <c r="D203" s="118">
        <v>3.5000000000000003E-2</v>
      </c>
      <c r="E203" t="s">
        <v>244</v>
      </c>
    </row>
    <row r="204" spans="3:5" hidden="1" x14ac:dyDescent="0.25">
      <c r="C204" s="13" t="s">
        <v>246</v>
      </c>
      <c r="D204" s="118">
        <v>2.0000000000000001E-4</v>
      </c>
      <c r="E204" t="s">
        <v>244</v>
      </c>
    </row>
    <row r="205" spans="3:5" hidden="1" x14ac:dyDescent="0.25">
      <c r="C205" s="13" t="s">
        <v>248</v>
      </c>
      <c r="D205" s="113">
        <f>1000-D198-D199</f>
        <v>973.4991</v>
      </c>
      <c r="E205" t="s">
        <v>229</v>
      </c>
    </row>
    <row r="206" spans="3:5" hidden="1" x14ac:dyDescent="0.25">
      <c r="C206" s="463" t="s">
        <v>211</v>
      </c>
      <c r="D206" s="494">
        <f>D204*D205/1000</f>
        <v>1.9469982E-4</v>
      </c>
    </row>
    <row r="207" spans="3:5" hidden="1" x14ac:dyDescent="0.25">
      <c r="C207" s="463" t="s">
        <v>212</v>
      </c>
      <c r="D207" s="494">
        <f>D203*D199/1000</f>
        <v>2.7597500000000003E-4</v>
      </c>
    </row>
    <row r="208" spans="3:5" hidden="1" x14ac:dyDescent="0.25">
      <c r="C208" s="463" t="s">
        <v>213</v>
      </c>
      <c r="D208" s="494">
        <f>D202*D198/1000</f>
        <v>7.5120184048950892E-2</v>
      </c>
    </row>
    <row r="209" spans="3:7" x14ac:dyDescent="0.25">
      <c r="C209" s="463" t="s">
        <v>976</v>
      </c>
      <c r="D209" s="576">
        <f>D202</f>
        <v>4.035270067466568</v>
      </c>
      <c r="E209" t="s">
        <v>244</v>
      </c>
    </row>
    <row r="210" spans="3:7" x14ac:dyDescent="0.25">
      <c r="C210" s="463" t="s">
        <v>1094</v>
      </c>
      <c r="D210" s="576">
        <f>(D199+D198)/D183</f>
        <v>13.250450000000001</v>
      </c>
      <c r="E210" t="s">
        <v>229</v>
      </c>
    </row>
    <row r="211" spans="3:7" ht="18" customHeight="1" x14ac:dyDescent="0.25">
      <c r="C211" s="569" t="s">
        <v>961</v>
      </c>
      <c r="D211" s="144">
        <f>1000*SUM(D206:D208)</f>
        <v>75.590858868950889</v>
      </c>
      <c r="E211" s="6" t="s">
        <v>253</v>
      </c>
      <c r="F211" s="85"/>
    </row>
    <row r="212" spans="3:7" ht="17.45" customHeight="1" x14ac:dyDescent="0.25">
      <c r="C212" s="570" t="s">
        <v>962</v>
      </c>
      <c r="D212" s="567">
        <f>1000*(D203*D205/1000+D207+D208)</f>
        <v>109.46862754895089</v>
      </c>
      <c r="E212" s="6" t="s">
        <v>253</v>
      </c>
    </row>
    <row r="215" spans="3:7" ht="15.75" x14ac:dyDescent="0.25">
      <c r="C215" s="22" t="s">
        <v>821</v>
      </c>
    </row>
    <row r="216" spans="3:7" x14ac:dyDescent="0.25">
      <c r="C216" s="72" t="s">
        <v>268</v>
      </c>
      <c r="D216" s="45" t="s">
        <v>371</v>
      </c>
      <c r="E216" s="8"/>
    </row>
    <row r="217" spans="3:7" hidden="1" x14ac:dyDescent="0.25">
      <c r="C217" s="72" t="s">
        <v>1057</v>
      </c>
      <c r="D217" s="160">
        <f>IF(D216="LDC131x",0,1)</f>
        <v>1</v>
      </c>
      <c r="E217" s="8"/>
    </row>
    <row r="218" spans="3:7" x14ac:dyDescent="0.25">
      <c r="C218" s="72" t="s">
        <v>264</v>
      </c>
      <c r="D218" s="45">
        <v>600</v>
      </c>
      <c r="E218" s="8" t="s">
        <v>99</v>
      </c>
      <c r="F218" t="s">
        <v>372</v>
      </c>
    </row>
    <row r="219" spans="3:7" x14ac:dyDescent="0.25">
      <c r="C219" s="72" t="s">
        <v>261</v>
      </c>
      <c r="D219" s="28">
        <f>IF(D216="LDC131x",2^12-1,IF(D216="LDC161x",2^28-1,2^24-1))</f>
        <v>268435455</v>
      </c>
      <c r="E219" s="8"/>
    </row>
    <row r="220" spans="3:7" x14ac:dyDescent="0.25">
      <c r="C220" s="72" t="s">
        <v>262</v>
      </c>
      <c r="D220" s="45">
        <v>0</v>
      </c>
      <c r="E220" s="8"/>
      <c r="F220" t="str">
        <f>IF(D216="LDC131x","Value programmed into OUTPUT_GAIN Field","")</f>
        <v/>
      </c>
    </row>
    <row r="221" spans="3:7" ht="21" x14ac:dyDescent="0.35">
      <c r="C221" s="72" t="s">
        <v>957</v>
      </c>
      <c r="D221" s="45" t="s">
        <v>931</v>
      </c>
      <c r="E221" s="266" t="s">
        <v>347</v>
      </c>
      <c r="F221" t="str">
        <f>IF(D216="LDC131x","LDC output from Registers [0x00-0x07]",IF(D216="LDC161x","LDC output from Registers [0x00-0x08]","LDC output from Registers [0x38-0x3A]"))</f>
        <v>LDC output from Registers [0x00-0x08]</v>
      </c>
      <c r="G221" s="139"/>
    </row>
    <row r="222" spans="3:7" ht="21" hidden="1" x14ac:dyDescent="0.35">
      <c r="C222" s="72"/>
      <c r="D222" s="151">
        <f>IF(E221="Hex",HEX2DEC(D221),D221)</f>
        <v>8171811</v>
      </c>
      <c r="E222" s="267" t="s">
        <v>360</v>
      </c>
      <c r="G222" s="139"/>
    </row>
    <row r="223" spans="3:7" x14ac:dyDescent="0.25">
      <c r="C223" s="72" t="s">
        <v>958</v>
      </c>
      <c r="D223" s="45">
        <v>0</v>
      </c>
      <c r="E223" s="266" t="s">
        <v>347</v>
      </c>
      <c r="F223" t="s">
        <v>263</v>
      </c>
    </row>
    <row r="224" spans="3:7" x14ac:dyDescent="0.25">
      <c r="C224" s="72"/>
      <c r="D224" s="151">
        <f>IF(E223="Hex",HEX2DEC(D223),D223)</f>
        <v>0</v>
      </c>
      <c r="E224" s="8" t="s">
        <v>360</v>
      </c>
    </row>
    <row r="225" spans="3:9" hidden="1" x14ac:dyDescent="0.25">
      <c r="C225" s="72" t="s">
        <v>345</v>
      </c>
      <c r="D225" s="151">
        <f>IF(D216="LDC1101",16,42)</f>
        <v>42</v>
      </c>
      <c r="E225" s="8" t="s">
        <v>0</v>
      </c>
    </row>
    <row r="226" spans="3:9" x14ac:dyDescent="0.25">
      <c r="C226" s="72" t="s">
        <v>269</v>
      </c>
      <c r="D226" s="264">
        <v>40</v>
      </c>
      <c r="E226" s="8" t="s">
        <v>0</v>
      </c>
      <c r="F226" s="71" t="str">
        <f>IF(D226&gt;D225,"Reference frequency is above maximum spec","")</f>
        <v/>
      </c>
    </row>
    <row r="227" spans="3:9" x14ac:dyDescent="0.25">
      <c r="C227" s="72" t="s">
        <v>266</v>
      </c>
      <c r="D227" s="265">
        <v>1</v>
      </c>
      <c r="E227" s="8"/>
    </row>
    <row r="228" spans="3:9" x14ac:dyDescent="0.25">
      <c r="C228" s="72" t="s">
        <v>267</v>
      </c>
      <c r="D228" s="265">
        <v>1</v>
      </c>
      <c r="E228" s="8"/>
    </row>
    <row r="229" spans="3:9" x14ac:dyDescent="0.25">
      <c r="C229" s="72" t="s">
        <v>2</v>
      </c>
      <c r="D229" s="27">
        <f>IF(D216="LDC131x",D228*(D226/D227)*(D222/(2^(12+D220))+D224/65536),D228*(D226/D227)*(D222/D219+D224/65536))</f>
        <v>1.2176947341028406</v>
      </c>
      <c r="E229" s="74" t="s">
        <v>0</v>
      </c>
      <c r="F229" s="71" t="str">
        <f>IF(D229&gt;10,"Note: This sensor frequency is higher than specified max"," ")</f>
        <v xml:space="preserve"> </v>
      </c>
    </row>
    <row r="230" spans="3:9" hidden="1" x14ac:dyDescent="0.25">
      <c r="C230" s="73"/>
      <c r="D230" s="78">
        <f>D218*0.000000000001</f>
        <v>6E-10</v>
      </c>
      <c r="E230" s="24" t="s">
        <v>97</v>
      </c>
      <c r="F230" s="18"/>
    </row>
    <row r="231" spans="3:9" hidden="1" x14ac:dyDescent="0.25">
      <c r="C231" s="73"/>
      <c r="D231" s="79">
        <f>1/(D230*(D229*1000000*2*PI())^2)</f>
        <v>2.8471618580317776E-5</v>
      </c>
      <c r="E231" s="24" t="s">
        <v>1</v>
      </c>
      <c r="F231" s="18"/>
    </row>
    <row r="232" spans="3:9" x14ac:dyDescent="0.25">
      <c r="C232" s="72" t="s">
        <v>100</v>
      </c>
      <c r="D232" s="27">
        <f>D231*1000000</f>
        <v>28.471618580317777</v>
      </c>
      <c r="E232" s="23" t="s">
        <v>96</v>
      </c>
    </row>
    <row r="235" spans="3:9" hidden="1" x14ac:dyDescent="0.25">
      <c r="C235" s="75" t="s">
        <v>1047</v>
      </c>
      <c r="D235" s="575">
        <f>D45</f>
        <v>3.3035546728338345</v>
      </c>
      <c r="E235" s="615" t="s">
        <v>96</v>
      </c>
      <c r="F235" s="75"/>
    </row>
    <row r="236" spans="3:9" hidden="1" x14ac:dyDescent="0.25">
      <c r="C236" s="75" t="s">
        <v>1048</v>
      </c>
      <c r="D236" s="575">
        <f>D57</f>
        <v>9</v>
      </c>
      <c r="E236" s="75" t="s">
        <v>34</v>
      </c>
      <c r="F236" s="75"/>
    </row>
    <row r="237" spans="3:9" hidden="1" x14ac:dyDescent="0.25">
      <c r="C237" s="75"/>
      <c r="D237" s="75"/>
      <c r="E237" s="75"/>
      <c r="F237" s="75"/>
    </row>
    <row r="238" spans="3:9" hidden="1" x14ac:dyDescent="0.25">
      <c r="C238" s="574" t="s">
        <v>967</v>
      </c>
      <c r="D238" s="574" t="s">
        <v>968</v>
      </c>
      <c r="E238" s="574" t="s">
        <v>966</v>
      </c>
      <c r="F238" s="574" t="s">
        <v>969</v>
      </c>
      <c r="H238" s="574" t="s">
        <v>971</v>
      </c>
      <c r="I238" s="574" t="s">
        <v>970</v>
      </c>
    </row>
    <row r="239" spans="3:9" hidden="1" x14ac:dyDescent="0.25">
      <c r="C239" s="573">
        <v>3.0000000000000001E-3</v>
      </c>
      <c r="D239" s="573">
        <f>C239*D$236</f>
        <v>2.7E-2</v>
      </c>
      <c r="E239" s="573">
        <f>(0.00406832344757895+15.5588911/(1+(D$236/0.0358077078721068)^0.865185989584669))+(0.973523646945684-1.1322846019223/(1+(D$236/1.1356393338887)^1.06847511981245))*(1-EXP(-(10.3324121181807-56.0213701830392/(1+(D$236/0.0139455036722347)^0.572123422421793))*C239))</f>
        <v>0.15630496817042663</v>
      </c>
      <c r="F239" s="80">
        <f>E239*D$235</f>
        <v>0.51636200798655663</v>
      </c>
      <c r="H239" s="575">
        <f>D60</f>
        <v>100</v>
      </c>
      <c r="I239" s="573">
        <v>0</v>
      </c>
    </row>
    <row r="240" spans="3:9" hidden="1" x14ac:dyDescent="0.25">
      <c r="C240" s="573">
        <f>C239*1.223</f>
        <v>3.6690000000000004E-3</v>
      </c>
      <c r="D240" s="573">
        <f t="shared" ref="D240:D269" si="0">C240*D$236</f>
        <v>3.3021000000000002E-2</v>
      </c>
      <c r="E240" s="573">
        <f t="shared" ref="E240:E269" si="1">(0.00406832344757895+15.5588911/(1+(D$236/0.0358077078721068)^0.865185989584669))+(0.973523646945684-1.1322846019223/(1+(D$236/1.1356393338887)^1.06847511981245))*(1-EXP(-(10.3324121181807-56.0213701830392/(1+(D$236/0.0139455036722347)^0.572123422421793))*C240))</f>
        <v>0.16133095630764616</v>
      </c>
      <c r="F240" s="80">
        <f t="shared" ref="F240:F269" si="2">E240*D$235</f>
        <v>0.5329656345828756</v>
      </c>
      <c r="H240" s="575">
        <f>H239</f>
        <v>100</v>
      </c>
      <c r="I240" s="573">
        <f>D63*D235</f>
        <v>3.2875689089951838</v>
      </c>
    </row>
    <row r="241" spans="3:9" hidden="1" x14ac:dyDescent="0.25">
      <c r="C241" s="573">
        <f t="shared" ref="C241:C269" si="3">C240*1.223</f>
        <v>4.487187000000001E-3</v>
      </c>
      <c r="D241" s="573">
        <f t="shared" si="0"/>
        <v>4.0384683000000011E-2</v>
      </c>
      <c r="E241" s="573">
        <f t="shared" si="1"/>
        <v>0.16743682337265084</v>
      </c>
      <c r="F241" s="80">
        <f t="shared" si="2"/>
        <v>0.5531367002571741</v>
      </c>
      <c r="H241" s="75">
        <v>0</v>
      </c>
      <c r="I241" s="573">
        <f>I240</f>
        <v>3.2875689089951838</v>
      </c>
    </row>
    <row r="242" spans="3:9" hidden="1" x14ac:dyDescent="0.25">
      <c r="C242" s="573">
        <f t="shared" si="3"/>
        <v>5.4878297010000016E-3</v>
      </c>
      <c r="D242" s="573">
        <f t="shared" si="0"/>
        <v>4.9390467309000013E-2</v>
      </c>
      <c r="E242" s="573">
        <f t="shared" si="1"/>
        <v>0.17484355299307974</v>
      </c>
      <c r="F242" s="80">
        <f t="shared" si="2"/>
        <v>0.57760523650515871</v>
      </c>
    </row>
    <row r="243" spans="3:9" hidden="1" x14ac:dyDescent="0.25">
      <c r="C243" s="573">
        <f t="shared" si="3"/>
        <v>6.7116157243230024E-3</v>
      </c>
      <c r="D243" s="573">
        <f t="shared" si="0"/>
        <v>6.0404541518907021E-2</v>
      </c>
      <c r="E243" s="573">
        <f t="shared" si="1"/>
        <v>0.18381194782112389</v>
      </c>
      <c r="F243" s="80">
        <f t="shared" si="2"/>
        <v>0.60723281914716276</v>
      </c>
      <c r="H243" s="574" t="s">
        <v>972</v>
      </c>
      <c r="I243" s="574" t="s">
        <v>973</v>
      </c>
    </row>
    <row r="244" spans="3:9" hidden="1" x14ac:dyDescent="0.25">
      <c r="C244" s="573">
        <f t="shared" si="3"/>
        <v>8.2083060308470318E-3</v>
      </c>
      <c r="D244" s="573">
        <f t="shared" si="0"/>
        <v>7.3874754277623286E-2</v>
      </c>
      <c r="E244" s="573">
        <f t="shared" si="1"/>
        <v>0.1946471175950148</v>
      </c>
      <c r="F244" s="80">
        <f t="shared" si="2"/>
        <v>0.643027394884648</v>
      </c>
      <c r="H244" s="575">
        <f>D61</f>
        <v>50</v>
      </c>
      <c r="I244" s="573">
        <v>0</v>
      </c>
    </row>
    <row r="245" spans="3:9" hidden="1" x14ac:dyDescent="0.25">
      <c r="C245" s="573">
        <f t="shared" si="3"/>
        <v>1.0038758275725921E-2</v>
      </c>
      <c r="D245" s="573">
        <f t="shared" si="0"/>
        <v>9.0348824481533294E-2</v>
      </c>
      <c r="E245" s="573">
        <f t="shared" si="1"/>
        <v>0.20770202814787281</v>
      </c>
      <c r="F245" s="80">
        <f t="shared" si="2"/>
        <v>0.6861550056449699</v>
      </c>
      <c r="H245" s="575">
        <f>H244</f>
        <v>50</v>
      </c>
      <c r="I245" s="573">
        <f>D68*D235</f>
        <v>3.2875689089951838</v>
      </c>
    </row>
    <row r="246" spans="3:9" hidden="1" x14ac:dyDescent="0.25">
      <c r="C246" s="573">
        <f t="shared" si="3"/>
        <v>1.2277401371212802E-2</v>
      </c>
      <c r="D246" s="573">
        <f t="shared" si="0"/>
        <v>0.11049661234091522</v>
      </c>
      <c r="E246" s="573">
        <f t="shared" si="1"/>
        <v>0.2233791248399663</v>
      </c>
      <c r="F246" s="80">
        <f t="shared" si="2"/>
        <v>0.7379451516786032</v>
      </c>
      <c r="H246" s="75">
        <v>0</v>
      </c>
      <c r="I246" s="573">
        <f>I245</f>
        <v>3.2875689089951838</v>
      </c>
    </row>
    <row r="247" spans="3:9" hidden="1" x14ac:dyDescent="0.25">
      <c r="C247" s="573">
        <f t="shared" si="3"/>
        <v>1.5015261876993258E-2</v>
      </c>
      <c r="D247" s="573">
        <f t="shared" si="0"/>
        <v>0.13513735689293932</v>
      </c>
      <c r="E247" s="573">
        <f t="shared" si="1"/>
        <v>0.2421285774096813</v>
      </c>
      <c r="F247" s="80">
        <f t="shared" si="2"/>
        <v>0.79988499332836149</v>
      </c>
    </row>
    <row r="248" spans="3:9" hidden="1" x14ac:dyDescent="0.25">
      <c r="C248" s="573">
        <f t="shared" si="3"/>
        <v>1.8363665275562754E-2</v>
      </c>
      <c r="D248" s="573">
        <f t="shared" si="0"/>
        <v>0.1652729874800648</v>
      </c>
      <c r="E248" s="573">
        <f t="shared" si="1"/>
        <v>0.26444109909824665</v>
      </c>
      <c r="F248" s="80">
        <f t="shared" si="2"/>
        <v>0.8735956286153278</v>
      </c>
    </row>
    <row r="249" spans="3:9" hidden="1" x14ac:dyDescent="0.25">
      <c r="C249" s="573">
        <f t="shared" si="3"/>
        <v>2.2458762632013251E-2</v>
      </c>
      <c r="D249" s="573">
        <f t="shared" si="0"/>
        <v>0.20212886368811925</v>
      </c>
      <c r="E249" s="573">
        <f t="shared" si="1"/>
        <v>0.29083259413805734</v>
      </c>
      <c r="F249" s="80">
        <f t="shared" si="2"/>
        <v>0.96078137537716546</v>
      </c>
    </row>
    <row r="250" spans="3:9" hidden="1" x14ac:dyDescent="0.25">
      <c r="C250" s="573">
        <f t="shared" si="3"/>
        <v>2.7467066698952207E-2</v>
      </c>
      <c r="D250" s="573">
        <f t="shared" si="0"/>
        <v>0.24720360029056987</v>
      </c>
      <c r="E250" s="573">
        <f t="shared" si="1"/>
        <v>0.32181717060251003</v>
      </c>
      <c r="F250" s="80">
        <f t="shared" si="2"/>
        <v>1.0631406177420852</v>
      </c>
    </row>
    <row r="251" spans="3:9" hidden="1" x14ac:dyDescent="0.25">
      <c r="C251" s="573">
        <f t="shared" si="3"/>
        <v>3.3592222572818554E-2</v>
      </c>
      <c r="D251" s="573">
        <f t="shared" si="0"/>
        <v>0.30233000315536701</v>
      </c>
      <c r="E251" s="573">
        <f t="shared" si="1"/>
        <v>0.35786451996653335</v>
      </c>
      <c r="F251" s="80">
        <f t="shared" si="2"/>
        <v>1.1822250071768783</v>
      </c>
    </row>
    <row r="252" spans="3:9" hidden="1" x14ac:dyDescent="0.25">
      <c r="C252" s="573">
        <f t="shared" si="3"/>
        <v>4.1083288206557093E-2</v>
      </c>
      <c r="D252" s="573">
        <f t="shared" si="0"/>
        <v>0.36974959385901385</v>
      </c>
      <c r="E252" s="573">
        <f t="shared" si="1"/>
        <v>0.39933769182215628</v>
      </c>
      <c r="F252" s="80">
        <f t="shared" si="2"/>
        <v>1.3192338978577622</v>
      </c>
    </row>
    <row r="253" spans="3:9" hidden="1" x14ac:dyDescent="0.25">
      <c r="C253" s="573">
        <f t="shared" si="3"/>
        <v>5.0244861476619329E-2</v>
      </c>
      <c r="D253" s="573">
        <f t="shared" si="0"/>
        <v>0.45220375328957396</v>
      </c>
      <c r="E253" s="573">
        <f t="shared" si="1"/>
        <v>0.44640851734459408</v>
      </c>
      <c r="F253" s="80">
        <f t="shared" si="2"/>
        <v>1.4747349434665575</v>
      </c>
    </row>
    <row r="254" spans="3:9" hidden="1" x14ac:dyDescent="0.25">
      <c r="C254" s="573">
        <f t="shared" si="3"/>
        <v>6.1449465585905444E-2</v>
      </c>
      <c r="D254" s="573">
        <f t="shared" si="0"/>
        <v>0.55304519027314902</v>
      </c>
      <c r="E254" s="573">
        <f t="shared" si="1"/>
        <v>0.49895128079569384</v>
      </c>
      <c r="F254" s="80">
        <f t="shared" si="2"/>
        <v>1.648312835189041</v>
      </c>
    </row>
    <row r="255" spans="3:9" hidden="1" x14ac:dyDescent="0.25">
      <c r="C255" s="573">
        <f t="shared" si="3"/>
        <v>7.5152696411562359E-2</v>
      </c>
      <c r="D255" s="573">
        <f t="shared" si="0"/>
        <v>0.67637426770406117</v>
      </c>
      <c r="E255" s="573">
        <f t="shared" si="1"/>
        <v>0.55642180934692442</v>
      </c>
      <c r="F255" s="80">
        <f t="shared" si="2"/>
        <v>1.8381698683346892</v>
      </c>
    </row>
    <row r="256" spans="3:9" hidden="1" x14ac:dyDescent="0.25">
      <c r="C256" s="573">
        <f t="shared" si="3"/>
        <v>9.1911747711340766E-2</v>
      </c>
      <c r="D256" s="573">
        <f t="shared" si="0"/>
        <v>0.82720572940206694</v>
      </c>
      <c r="E256" s="573">
        <f t="shared" si="1"/>
        <v>0.61773981698096014</v>
      </c>
      <c r="F256" s="80">
        <f t="shared" si="2"/>
        <v>2.0407372589829684</v>
      </c>
    </row>
    <row r="257" spans="3:6" hidden="1" x14ac:dyDescent="0.25">
      <c r="C257" s="573">
        <f t="shared" si="3"/>
        <v>0.11240806745096976</v>
      </c>
      <c r="D257" s="573">
        <f t="shared" si="0"/>
        <v>1.0116726070587279</v>
      </c>
      <c r="E257" s="573">
        <f t="shared" si="1"/>
        <v>0.68120677157352483</v>
      </c>
      <c r="F257" s="80">
        <f t="shared" si="2"/>
        <v>2.2504038133977686</v>
      </c>
    </row>
    <row r="258" spans="3:6" hidden="1" x14ac:dyDescent="0.25">
      <c r="C258" s="573">
        <f t="shared" si="3"/>
        <v>0.13747506649253602</v>
      </c>
      <c r="D258" s="573">
        <f t="shared" si="0"/>
        <v>1.2372755984328241</v>
      </c>
      <c r="E258" s="573">
        <f t="shared" si="1"/>
        <v>0.74450659950317088</v>
      </c>
      <c r="F258" s="80">
        <f t="shared" si="2"/>
        <v>2.4595182557443285</v>
      </c>
    </row>
    <row r="259" spans="3:6" hidden="1" x14ac:dyDescent="0.25">
      <c r="C259" s="573">
        <f t="shared" si="3"/>
        <v>0.16813200632037156</v>
      </c>
      <c r="D259" s="573">
        <f t="shared" si="0"/>
        <v>1.513188056883344</v>
      </c>
      <c r="E259" s="573">
        <f t="shared" si="1"/>
        <v>0.80484428555454768</v>
      </c>
      <c r="F259" s="80">
        <f t="shared" si="2"/>
        <v>2.6588471004473351</v>
      </c>
    </row>
    <row r="260" spans="3:6" hidden="1" x14ac:dyDescent="0.25">
      <c r="C260" s="573">
        <f t="shared" si="3"/>
        <v>0.20562544372981445</v>
      </c>
      <c r="D260" s="573">
        <f t="shared" si="0"/>
        <v>1.85062899356833</v>
      </c>
      <c r="E260" s="573">
        <f t="shared" si="1"/>
        <v>0.85926456122049666</v>
      </c>
      <c r="F260" s="80">
        <f t="shared" si="2"/>
        <v>2.8386274564204861</v>
      </c>
    </row>
    <row r="261" spans="3:6" hidden="1" x14ac:dyDescent="0.25">
      <c r="C261" s="573">
        <f t="shared" si="3"/>
        <v>0.25147991768156308</v>
      </c>
      <c r="D261" s="573">
        <f t="shared" si="0"/>
        <v>2.2633192591340676</v>
      </c>
      <c r="E261" s="573">
        <f t="shared" si="1"/>
        <v>0.90514468206342502</v>
      </c>
      <c r="F261" s="80">
        <f t="shared" si="2"/>
        <v>2.9901949440213231</v>
      </c>
    </row>
    <row r="262" spans="3:6" hidden="1" x14ac:dyDescent="0.25">
      <c r="C262" s="573">
        <f t="shared" si="3"/>
        <v>0.30755993932455167</v>
      </c>
      <c r="D262" s="573">
        <f t="shared" si="0"/>
        <v>2.7680394539209652</v>
      </c>
      <c r="E262" s="573">
        <f t="shared" si="1"/>
        <v>0.94076805157235255</v>
      </c>
      <c r="F262" s="80">
        <f t="shared" si="2"/>
        <v>3.1078786928246269</v>
      </c>
    </row>
    <row r="263" spans="3:6" hidden="1" x14ac:dyDescent="0.25">
      <c r="C263" s="573">
        <f t="shared" si="3"/>
        <v>0.3761458057939267</v>
      </c>
      <c r="D263" s="573">
        <f t="shared" si="0"/>
        <v>3.3853122521453405</v>
      </c>
      <c r="E263" s="573">
        <f t="shared" si="1"/>
        <v>0.96578611346023369</v>
      </c>
      <c r="F263" s="80">
        <f t="shared" si="2"/>
        <v>3.1905272280795827</v>
      </c>
    </row>
    <row r="264" spans="3:6" hidden="1" x14ac:dyDescent="0.25">
      <c r="C264" s="573">
        <f t="shared" si="3"/>
        <v>0.46002632048597236</v>
      </c>
      <c r="D264" s="573">
        <f t="shared" si="0"/>
        <v>4.1402368843737509</v>
      </c>
      <c r="E264" s="573">
        <f t="shared" si="1"/>
        <v>0.9813335485629483</v>
      </c>
      <c r="F264" s="80">
        <f t="shared" si="2"/>
        <v>3.2418890299637364</v>
      </c>
    </row>
    <row r="265" spans="3:6" hidden="1" x14ac:dyDescent="0.25">
      <c r="C265" s="573">
        <f t="shared" si="3"/>
        <v>0.56261218995434426</v>
      </c>
      <c r="D265" s="573">
        <f t="shared" si="0"/>
        <v>5.0635097095890984</v>
      </c>
      <c r="E265" s="573">
        <f t="shared" si="1"/>
        <v>0.98965883307478109</v>
      </c>
      <c r="F265" s="80">
        <f t="shared" si="2"/>
        <v>3.2693920625154731</v>
      </c>
    </row>
    <row r="266" spans="3:6" hidden="1" x14ac:dyDescent="0.25">
      <c r="C266" s="573">
        <f t="shared" si="3"/>
        <v>0.68807470831416306</v>
      </c>
      <c r="D266" s="573">
        <f t="shared" si="0"/>
        <v>6.1926723748274677</v>
      </c>
      <c r="E266" s="573">
        <f t="shared" si="1"/>
        <v>0.99337831550664413</v>
      </c>
      <c r="F266" s="80">
        <f t="shared" si="2"/>
        <v>3.2816795760837776</v>
      </c>
    </row>
    <row r="267" spans="3:6" hidden="1" x14ac:dyDescent="0.25">
      <c r="C267" s="573">
        <f t="shared" si="3"/>
        <v>0.84151536826822149</v>
      </c>
      <c r="D267" s="573">
        <f t="shared" si="0"/>
        <v>7.5736383144139934</v>
      </c>
      <c r="E267" s="573">
        <f t="shared" si="1"/>
        <v>0.99471179547614408</v>
      </c>
      <c r="F267" s="80">
        <f t="shared" si="2"/>
        <v>3.2860848000681493</v>
      </c>
    </row>
    <row r="268" spans="3:6" hidden="1" x14ac:dyDescent="0.25">
      <c r="C268" s="573">
        <f t="shared" si="3"/>
        <v>1.0291732953920349</v>
      </c>
      <c r="D268" s="573">
        <f t="shared" si="0"/>
        <v>9.2625596585283141</v>
      </c>
      <c r="E268" s="573">
        <f t="shared" si="1"/>
        <v>0.99507778926911949</v>
      </c>
      <c r="F268" s="80">
        <f t="shared" si="2"/>
        <v>3.2872938805731615</v>
      </c>
    </row>
    <row r="269" spans="3:6" hidden="1" x14ac:dyDescent="0.25">
      <c r="C269" s="573">
        <f t="shared" si="3"/>
        <v>1.2586789402644589</v>
      </c>
      <c r="D269" s="573">
        <f t="shared" si="0"/>
        <v>11.328110462380131</v>
      </c>
      <c r="E269" s="573">
        <f t="shared" si="1"/>
        <v>0.99515044772731487</v>
      </c>
      <c r="F269" s="80">
        <f t="shared" si="2"/>
        <v>3.2875339117622535</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E144">
    <cfRule type="expression" dxfId="40" priority="24">
      <formula>#REF!&lt;0</formula>
    </cfRule>
  </conditionalFormatting>
  <conditionalFormatting sqref="D220">
    <cfRule type="expression" dxfId="39" priority="23">
      <formula>$D$217</formula>
    </cfRule>
  </conditionalFormatting>
  <conditionalFormatting sqref="D226">
    <cfRule type="cellIs" dxfId="38" priority="21" operator="greaterThan">
      <formula>42</formula>
    </cfRule>
    <cfRule type="cellIs" dxfId="37" priority="22" operator="greaterThan">
      <formula>40</formula>
    </cfRule>
  </conditionalFormatting>
  <conditionalFormatting sqref="E183">
    <cfRule type="expression" dxfId="36" priority="20">
      <formula>$D$184&lt;0</formula>
    </cfRule>
  </conditionalFormatting>
  <conditionalFormatting sqref="E141:E143">
    <cfRule type="expression" dxfId="35" priority="18">
      <formula>#REF!&lt;0</formula>
    </cfRule>
  </conditionalFormatting>
  <conditionalFormatting sqref="E145">
    <cfRule type="expression" dxfId="34" priority="17">
      <formula>#REF!&lt;0</formula>
    </cfRule>
  </conditionalFormatting>
  <conditionalFormatting sqref="D50">
    <cfRule type="cellIs" dxfId="33" priority="14" operator="lessThan">
      <formula>0.8</formula>
    </cfRule>
  </conditionalFormatting>
  <conditionalFormatting sqref="C116:E116">
    <cfRule type="expression" dxfId="32" priority="13">
      <formula>($D$11)</formula>
    </cfRule>
  </conditionalFormatting>
  <conditionalFormatting sqref="C108:F109">
    <cfRule type="expression" dxfId="31" priority="12">
      <formula>OR(NOT($D$107),$D$11)</formula>
    </cfRule>
  </conditionalFormatting>
  <conditionalFormatting sqref="C106:F106">
    <cfRule type="expression" dxfId="30" priority="11">
      <formula>($D$11)</formula>
    </cfRule>
  </conditionalFormatting>
  <conditionalFormatting sqref="C128:E128">
    <cfRule type="expression" dxfId="29" priority="10">
      <formula>$D$11</formula>
    </cfRule>
  </conditionalFormatting>
  <conditionalFormatting sqref="C33:F35 C37:F37">
    <cfRule type="expression" dxfId="28" priority="6" stopIfTrue="1">
      <formula>($D$32="Internal")</formula>
    </cfRule>
  </conditionalFormatting>
  <conditionalFormatting sqref="D34">
    <cfRule type="expression" dxfId="27" priority="7">
      <formula>$D$34&gt;$D$33</formula>
    </cfRule>
  </conditionalFormatting>
  <conditionalFormatting sqref="C43:E44">
    <cfRule type="expression" dxfId="26" priority="5">
      <formula>$D$42</formula>
    </cfRule>
  </conditionalFormatting>
  <conditionalFormatting sqref="C50:F51">
    <cfRule type="expression" dxfId="25" priority="4" stopIfTrue="1">
      <formula>$D$42</formula>
    </cfRule>
  </conditionalFormatting>
  <conditionalFormatting sqref="C56:E56 E57">
    <cfRule type="expression" dxfId="24" priority="3">
      <formula>$D$42</formula>
    </cfRule>
  </conditionalFormatting>
  <conditionalFormatting sqref="F116:H116">
    <cfRule type="expression" dxfId="23" priority="2">
      <formula>$D$11</formula>
    </cfRule>
  </conditionalFormatting>
  <conditionalFormatting sqref="C223:F223">
    <cfRule type="expression" dxfId="22" priority="1">
      <formula>$D$217</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161925</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352425</xdr:colOff>
                    <xdr:row>42</xdr:row>
                    <xdr:rowOff>9525</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428625</xdr:colOff>
                    <xdr:row>112</xdr:row>
                    <xdr:rowOff>9525</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40625" defaultRowHeight="15" x14ac:dyDescent="0.25"/>
  <cols>
    <col min="1" max="1" width="9.140625" style="2"/>
    <col min="2" max="2" width="38.140625" style="2" customWidth="1"/>
    <col min="3" max="3" width="10.85546875" style="2" customWidth="1"/>
    <col min="4" max="4" width="7.140625" style="2" customWidth="1"/>
    <col min="5" max="5" width="48.85546875" style="2" customWidth="1"/>
    <col min="6" max="6" width="0" style="2" hidden="1" customWidth="1"/>
    <col min="7" max="36" width="9.140625" style="2" hidden="1" customWidth="1"/>
    <col min="37" max="16384" width="9.140625" style="2"/>
  </cols>
  <sheetData>
    <row r="2" spans="2:18" ht="18" x14ac:dyDescent="0.35">
      <c r="B2" s="154" t="s">
        <v>445</v>
      </c>
      <c r="D2" s="155" t="s">
        <v>198</v>
      </c>
    </row>
    <row r="3" spans="2:18" ht="15.6" x14ac:dyDescent="0.3">
      <c r="B3" s="156" t="s">
        <v>446</v>
      </c>
    </row>
    <row r="4" spans="2:18" ht="15.6" x14ac:dyDescent="0.3">
      <c r="B4" s="156" t="s">
        <v>447</v>
      </c>
    </row>
    <row r="5" spans="2:18" ht="15.75" x14ac:dyDescent="0.25">
      <c r="B5" s="157"/>
      <c r="R5" s="1"/>
    </row>
    <row r="6" spans="2:18" ht="15.75" x14ac:dyDescent="0.25">
      <c r="B6" s="414" t="s">
        <v>739</v>
      </c>
      <c r="R6" s="1"/>
    </row>
    <row r="7" spans="2:18" x14ac:dyDescent="0.25">
      <c r="B7" s="158" t="s">
        <v>406</v>
      </c>
      <c r="C7" s="45">
        <v>3.3</v>
      </c>
      <c r="D7" s="159" t="s">
        <v>377</v>
      </c>
    </row>
    <row r="8" spans="2:18" ht="14.45" hidden="1" x14ac:dyDescent="0.3">
      <c r="B8" s="158" t="s">
        <v>441</v>
      </c>
      <c r="C8" s="151">
        <f>IF(C7=1.8,4.35,6)</f>
        <v>6</v>
      </c>
      <c r="D8" s="159" t="s">
        <v>244</v>
      </c>
    </row>
    <row r="9" spans="2:18" ht="14.45" hidden="1" x14ac:dyDescent="0.3">
      <c r="B9" s="158" t="s">
        <v>734</v>
      </c>
      <c r="C9" s="413">
        <f>1000/(4.83*19*C8)</f>
        <v>1.8161345392466675</v>
      </c>
      <c r="D9" s="161" t="s">
        <v>96</v>
      </c>
    </row>
    <row r="10" spans="2:18" ht="15.75" x14ac:dyDescent="0.25">
      <c r="B10" s="158" t="s">
        <v>278</v>
      </c>
      <c r="C10" s="51">
        <v>6</v>
      </c>
      <c r="D10" s="161" t="s">
        <v>96</v>
      </c>
      <c r="E10" s="157" t="str">
        <f>IF(C10&lt;C9,CONCATENATE("Inductance is below acceptable minimum of ",ROUND(C9,2),"µH"),"")</f>
        <v/>
      </c>
    </row>
    <row r="11" spans="2:18" ht="18" x14ac:dyDescent="0.35">
      <c r="B11" s="158" t="s">
        <v>443</v>
      </c>
      <c r="C11" s="150">
        <v>33</v>
      </c>
      <c r="D11" s="161" t="s">
        <v>27</v>
      </c>
      <c r="E11" s="162"/>
    </row>
    <row r="12" spans="2:18" ht="18" x14ac:dyDescent="0.35">
      <c r="B12" s="158" t="s">
        <v>444</v>
      </c>
      <c r="C12" s="150">
        <v>12</v>
      </c>
      <c r="D12" s="158" t="s">
        <v>27</v>
      </c>
    </row>
    <row r="13" spans="2:18" ht="18" x14ac:dyDescent="0.35">
      <c r="B13" s="158" t="s">
        <v>450</v>
      </c>
      <c r="C13" s="348">
        <f>C11+C12+12</f>
        <v>57</v>
      </c>
      <c r="D13" s="158" t="s">
        <v>27</v>
      </c>
      <c r="E13" s="162" t="str">
        <f>IF(C13&lt;33,"Total Sensor Capacitance is less than minimum of 33pF","Includes 12pF on LCOM pin")</f>
        <v>Includes 12pF on LCOM pin</v>
      </c>
    </row>
    <row r="14" spans="2:18" ht="15.75" x14ac:dyDescent="0.25">
      <c r="B14" s="158" t="s">
        <v>2</v>
      </c>
      <c r="C14" s="163">
        <f>1000/(SQRT(2)*PI()*SQRT(C13*C10))</f>
        <v>12.170882689518223</v>
      </c>
      <c r="D14" s="158" t="s">
        <v>0</v>
      </c>
      <c r="E14" s="157" t="str">
        <f>IF(C14&gt;19,"Sensor Frequency exceeds maximum of 19MHz; increase Csensor",IF(C14&lt;0.3,"Sensor Frequency below minimum of 300kHz",""))</f>
        <v/>
      </c>
    </row>
    <row r="15" spans="2:18" x14ac:dyDescent="0.25">
      <c r="B15" s="158" t="s">
        <v>425</v>
      </c>
      <c r="C15" s="164">
        <f>1000000/(231*C14)</f>
        <v>355.68532204591401</v>
      </c>
      <c r="D15" s="161" t="s">
        <v>222</v>
      </c>
    </row>
    <row r="16" spans="2:18" x14ac:dyDescent="0.25">
      <c r="B16" s="158" t="s">
        <v>424</v>
      </c>
      <c r="C16" s="163">
        <f>1000/C15</f>
        <v>2.8114739012787093</v>
      </c>
      <c r="D16" s="158" t="s">
        <v>202</v>
      </c>
    </row>
    <row r="17" spans="2:5" ht="15.6" hidden="1" x14ac:dyDescent="0.35">
      <c r="B17" s="165" t="s">
        <v>410</v>
      </c>
      <c r="C17" s="166">
        <f>0.7*10^-3</f>
        <v>6.9999999999999999E-4</v>
      </c>
      <c r="D17" s="2" t="s">
        <v>411</v>
      </c>
    </row>
    <row r="18" spans="2:5" ht="15.6" hidden="1" x14ac:dyDescent="0.35">
      <c r="B18" s="165" t="s">
        <v>412</v>
      </c>
      <c r="C18" s="166">
        <f>24.262*10^-12*C14*10^6+1.5*C14*10^6*C12*10^-12</f>
        <v>5.1436584422441913E-4</v>
      </c>
      <c r="D18" s="2" t="s">
        <v>411</v>
      </c>
    </row>
    <row r="19" spans="2:5" ht="18" x14ac:dyDescent="0.35">
      <c r="B19" s="167" t="s">
        <v>741</v>
      </c>
      <c r="C19" s="418">
        <f>1000/(17.1*C14*C10)</f>
        <v>0.80081198238407536</v>
      </c>
      <c r="D19" s="159" t="s">
        <v>244</v>
      </c>
      <c r="E19" s="162" t="str">
        <f>IF(C19&gt;C8,"Isensor limited to "&amp;C8&amp;"mA; decrease Csensor","")</f>
        <v/>
      </c>
    </row>
    <row r="20" spans="2:5" ht="18" x14ac:dyDescent="0.35">
      <c r="B20" s="167" t="s">
        <v>1420</v>
      </c>
      <c r="C20" s="418">
        <f>1000*(C19/1000+C17+C18)</f>
        <v>2.0151778266084945</v>
      </c>
      <c r="D20" s="159" t="s">
        <v>244</v>
      </c>
      <c r="E20" s="162"/>
    </row>
    <row r="21" spans="2:5" x14ac:dyDescent="0.25">
      <c r="B21" s="168"/>
      <c r="C21" s="416"/>
      <c r="D21" s="417"/>
    </row>
    <row r="22" spans="2:5" ht="15.75" x14ac:dyDescent="0.25">
      <c r="B22" s="415" t="s">
        <v>740</v>
      </c>
      <c r="C22" s="416"/>
      <c r="D22" s="417"/>
    </row>
    <row r="23" spans="2:5" x14ac:dyDescent="0.25">
      <c r="B23" s="158" t="s">
        <v>403</v>
      </c>
      <c r="C23" s="152">
        <v>9</v>
      </c>
      <c r="D23" s="45" t="s">
        <v>34</v>
      </c>
    </row>
    <row r="24" spans="2:5" ht="14.45" hidden="1" x14ac:dyDescent="0.3">
      <c r="B24" s="158" t="s">
        <v>407</v>
      </c>
      <c r="C24" s="153">
        <f>IF(D23="mm",C23,C23*0.0254)</f>
        <v>9</v>
      </c>
      <c r="D24" s="420" t="s">
        <v>34</v>
      </c>
    </row>
    <row r="25" spans="2:5" x14ac:dyDescent="0.25">
      <c r="B25" s="158" t="s">
        <v>433</v>
      </c>
      <c r="C25" s="152">
        <v>1.2</v>
      </c>
      <c r="D25" s="268" t="s">
        <v>34</v>
      </c>
      <c r="E25" s="162"/>
    </row>
    <row r="26" spans="2:5" ht="14.45" hidden="1" x14ac:dyDescent="0.3">
      <c r="B26" s="158" t="s">
        <v>408</v>
      </c>
      <c r="C26" s="349">
        <f>IF(D25="mm",C25,C25*0.0254)</f>
        <v>1.2</v>
      </c>
      <c r="D26" s="159" t="s">
        <v>34</v>
      </c>
    </row>
    <row r="27" spans="2:5" ht="14.45" hidden="1" x14ac:dyDescent="0.3">
      <c r="B27" s="158" t="s">
        <v>421</v>
      </c>
      <c r="C27" s="160">
        <f>C26/C24</f>
        <v>0.13333333333333333</v>
      </c>
      <c r="D27" s="159"/>
    </row>
    <row r="28" spans="2:5" ht="14.45" hidden="1" x14ac:dyDescent="0.3">
      <c r="B28" s="167" t="s">
        <v>422</v>
      </c>
      <c r="C28" s="347">
        <f>(0.00406832344757895+15.5588911/(1+(C23/0.0358077078721068)^0.865185989584669))+(0.973523646945684-1.1322846019223/(1+(C23/1.1356393338887)^1.06847511981245))*(1-EXP(-(10.3324121181807-56.0213701830392/(1+(C23/0.0139455036722347)^0.572123422421793))*C27))</f>
        <v>0.73500550624041561</v>
      </c>
      <c r="D28" s="161"/>
    </row>
    <row r="29" spans="2:5" ht="14.45" hidden="1" x14ac:dyDescent="0.3">
      <c r="B29" s="169" t="s">
        <v>423</v>
      </c>
      <c r="C29" s="347">
        <f>IF(C28&lt;0.1,0.1,IF(C28&gt;1,1,C28))</f>
        <v>0.73500550624041561</v>
      </c>
      <c r="D29" s="161"/>
    </row>
    <row r="30" spans="2:5" x14ac:dyDescent="0.25">
      <c r="B30" s="169" t="s">
        <v>449</v>
      </c>
      <c r="C30" s="170">
        <f>C29*C10</f>
        <v>4.4100330374424939</v>
      </c>
      <c r="D30" s="161" t="s">
        <v>96</v>
      </c>
      <c r="E30" s="162"/>
    </row>
    <row r="31" spans="2:5" x14ac:dyDescent="0.25">
      <c r="B31" s="167" t="s">
        <v>435</v>
      </c>
      <c r="C31" s="170">
        <f>1000/(SQRT(2)*PI()*SQRT(C13*C10*C29))</f>
        <v>14.196352685462617</v>
      </c>
      <c r="D31" s="158" t="s">
        <v>0</v>
      </c>
    </row>
    <row r="32" spans="2:5" ht="15.6" hidden="1" x14ac:dyDescent="0.35">
      <c r="B32" s="165" t="s">
        <v>410</v>
      </c>
      <c r="C32" s="166">
        <f>0.7*10^-3</f>
        <v>6.9999999999999999E-4</v>
      </c>
      <c r="D32" s="2" t="s">
        <v>411</v>
      </c>
    </row>
    <row r="33" spans="2:5" ht="15.6" hidden="1" x14ac:dyDescent="0.35">
      <c r="B33" s="165" t="s">
        <v>412</v>
      </c>
      <c r="C33" s="166">
        <f>24.262*10^-12*C31*10^6+1.5*C31*10^6*C12*10^-12</f>
        <v>5.9996625719302117E-4</v>
      </c>
      <c r="D33" s="2" t="s">
        <v>411</v>
      </c>
    </row>
    <row r="34" spans="2:5" ht="14.45" hidden="1" x14ac:dyDescent="0.3">
      <c r="B34" s="168" t="s">
        <v>1082</v>
      </c>
      <c r="C34" s="349">
        <f>1000/(17.1*C31*C30)</f>
        <v>0.93408256629239017</v>
      </c>
    </row>
    <row r="35" spans="2:5" ht="18" x14ac:dyDescent="0.35">
      <c r="B35" s="167" t="s">
        <v>1419</v>
      </c>
      <c r="C35" s="172">
        <f>C34+1000*(C33+C32)</f>
        <v>2.2340488234854115</v>
      </c>
      <c r="D35" s="158" t="s">
        <v>244</v>
      </c>
      <c r="E35" s="162" t="str">
        <f>IF(C34&gt;C8,"Isensor limited to "&amp;C8&amp;"mA; decrease Csensor or target is too close to sensor","")</f>
        <v/>
      </c>
    </row>
    <row r="36" spans="2:5" ht="14.45" hidden="1" x14ac:dyDescent="0.3">
      <c r="B36" s="714"/>
      <c r="C36" s="715"/>
      <c r="D36" s="716"/>
      <c r="E36" s="162"/>
    </row>
    <row r="37" spans="2:5" ht="225" customHeight="1" x14ac:dyDescent="0.25">
      <c r="B37" s="717"/>
      <c r="C37" s="718"/>
      <c r="D37" s="719"/>
      <c r="E37" s="162"/>
    </row>
    <row r="38" spans="2:5" ht="15.75" x14ac:dyDescent="0.25">
      <c r="B38" s="415" t="s">
        <v>1424</v>
      </c>
      <c r="C38" s="718"/>
      <c r="D38" s="719"/>
      <c r="E38" s="162"/>
    </row>
    <row r="39" spans="2:5" x14ac:dyDescent="0.25">
      <c r="B39" s="169" t="s">
        <v>1425</v>
      </c>
      <c r="C39" s="172">
        <f>C23</f>
        <v>9</v>
      </c>
      <c r="D39" s="343" t="s">
        <v>34</v>
      </c>
      <c r="E39" s="162"/>
    </row>
    <row r="40" spans="2:5" x14ac:dyDescent="0.25">
      <c r="B40" s="169" t="s">
        <v>605</v>
      </c>
      <c r="C40" s="264">
        <v>1.4</v>
      </c>
      <c r="D40" s="45" t="str">
        <f>D23</f>
        <v>mm</v>
      </c>
      <c r="E40" s="162" t="str">
        <f>IF((C41/C24)&gt;0.5,"Switching distance farther than maximum of "&amp;ROUND(C23*0.5,2)&amp;D23&amp;" for coil size",IF(C41&lt;C26,"Desired switching distance is closer than closest target distance of "&amp;ROUND(C25,2)&amp;D25,""))</f>
        <v/>
      </c>
    </row>
    <row r="41" spans="2:5" ht="14.45" hidden="1" x14ac:dyDescent="0.3">
      <c r="B41" s="169" t="s">
        <v>434</v>
      </c>
      <c r="C41" s="349">
        <f>IF(D40="mm",C40,C40*0.0254)</f>
        <v>1.4</v>
      </c>
      <c r="D41" s="161" t="s">
        <v>34</v>
      </c>
    </row>
    <row r="42" spans="2:5" ht="14.45" hidden="1" x14ac:dyDescent="0.3">
      <c r="B42" s="169"/>
      <c r="C42" s="160">
        <f>C41/C24</f>
        <v>0.15555555555555556</v>
      </c>
      <c r="D42" s="161"/>
    </row>
    <row r="43" spans="2:5" ht="14.45" hidden="1" x14ac:dyDescent="0.3">
      <c r="B43" s="167" t="s">
        <v>422</v>
      </c>
      <c r="C43" s="347">
        <f xml:space="preserve"> 4.0204*C42^5 - 13.839*C42^4 + 18.502*C42^3 - 12.097*C42^2 + 3.9604*C42 + 0.4499</f>
        <v>0.83515049979671119</v>
      </c>
      <c r="D43" s="161"/>
    </row>
    <row r="44" spans="2:5" ht="14.45" hidden="1" x14ac:dyDescent="0.3">
      <c r="B44" s="169" t="s">
        <v>423</v>
      </c>
      <c r="C44" s="347">
        <f>IF(C43&lt;0.1,0.1,IF(C43&gt;1,1,C43))</f>
        <v>0.83515049979671119</v>
      </c>
      <c r="D44" s="161"/>
    </row>
    <row r="45" spans="2:5" ht="14.45" hidden="1" x14ac:dyDescent="0.3">
      <c r="B45" s="169" t="s">
        <v>458</v>
      </c>
      <c r="C45" s="160">
        <f>ROUND((((100*C41/C24)-48.143)/-2.8312),0)</f>
        <v>12</v>
      </c>
      <c r="D45" s="161"/>
    </row>
    <row r="46" spans="2:5" ht="14.45" hidden="1" x14ac:dyDescent="0.3">
      <c r="B46" s="169" t="s">
        <v>460</v>
      </c>
      <c r="C46" s="160">
        <f>IF((0.01*C24*(-2.8312*C45+48.143))&lt;C25,C45-1,C45)</f>
        <v>12</v>
      </c>
      <c r="D46" s="161"/>
    </row>
    <row r="47" spans="2:5" x14ac:dyDescent="0.25">
      <c r="B47" s="169" t="s">
        <v>442</v>
      </c>
      <c r="C47" s="351">
        <f>IF(C46&lt;0,"Invalid",IF(C46&gt;15,"Invalid",C46))</f>
        <v>12</v>
      </c>
      <c r="D47" s="161"/>
    </row>
    <row r="48" spans="2:5" ht="14.45" hidden="1" x14ac:dyDescent="0.3">
      <c r="B48" s="169" t="s">
        <v>459</v>
      </c>
      <c r="C48" s="419">
        <f>0.01*C24*(-2.8312*C47+48.143)</f>
        <v>1.2751739999999998</v>
      </c>
      <c r="D48" s="161" t="s">
        <v>34</v>
      </c>
    </row>
    <row r="49" spans="2:5" x14ac:dyDescent="0.25">
      <c r="B49" s="169" t="s">
        <v>439</v>
      </c>
      <c r="C49" s="172">
        <f>IF(D49="mm",C48,C48/0.0254)</f>
        <v>1.2751739999999998</v>
      </c>
      <c r="D49" s="343" t="str">
        <f>D23</f>
        <v>mm</v>
      </c>
      <c r="E49" s="162" t="str">
        <f>IF(C41&lt;C26,"Switching point is closer than min target distance","")</f>
        <v/>
      </c>
    </row>
    <row r="50" spans="2:5" ht="14.45" hidden="1" x14ac:dyDescent="0.3">
      <c r="B50" s="169" t="s">
        <v>436</v>
      </c>
      <c r="C50" s="160">
        <f>0.01*C24*(-3.1434*C47+52.595)</f>
        <v>1.3386779999999994</v>
      </c>
      <c r="D50" s="161" t="s">
        <v>34</v>
      </c>
    </row>
    <row r="51" spans="2:5" x14ac:dyDescent="0.25">
      <c r="B51" s="169" t="s">
        <v>440</v>
      </c>
      <c r="C51" s="172">
        <f>IF(D51="mm",C50,C50/0.0254)</f>
        <v>1.3386779999999994</v>
      </c>
      <c r="D51" s="343" t="str">
        <f>D23</f>
        <v>mm</v>
      </c>
    </row>
    <row r="52" spans="2:5" ht="14.45" hidden="1" x14ac:dyDescent="0.3">
      <c r="B52" s="169"/>
      <c r="C52" s="160">
        <f>C50/C23</f>
        <v>0.14874199999999993</v>
      </c>
      <c r="D52" s="211"/>
    </row>
    <row r="53" spans="2:5" ht="14.45" hidden="1" x14ac:dyDescent="0.3">
      <c r="B53" s="167" t="s">
        <v>422</v>
      </c>
      <c r="C53" s="160">
        <f>(0.00406832344757895+15.5588911/(1+(C23/0.0358077078721068)^0.865185989584669))+(0.973523646945684-1.1322846019223/(1+(C23/1.1356393338887)^1.06847511981245))*(1-EXP(-(10.3324121181807-56.0213701830392/(1+(C23/0.0139455036722347)^0.572123422421793))*C52))</f>
        <v>0.76863349624801491</v>
      </c>
      <c r="D53" s="211"/>
    </row>
    <row r="54" spans="2:5" ht="14.45" hidden="1" x14ac:dyDescent="0.3">
      <c r="B54" s="169" t="s">
        <v>423</v>
      </c>
      <c r="C54" s="160">
        <f>IF(C53&lt;0.1,0.1,IF(C53&gt;1,1,C53))</f>
        <v>0.76863349624801491</v>
      </c>
      <c r="D54" s="211"/>
    </row>
    <row r="55" spans="2:5" ht="14.45" hidden="1" x14ac:dyDescent="0.3">
      <c r="B55" s="169"/>
      <c r="C55" s="349"/>
      <c r="D55" s="211"/>
    </row>
    <row r="56" spans="2:5" ht="14.45" hidden="1" x14ac:dyDescent="0.3">
      <c r="B56" s="169" t="s">
        <v>426</v>
      </c>
      <c r="C56" s="174">
        <f>C54*C10</f>
        <v>4.6118009774880893</v>
      </c>
      <c r="D56" s="161" t="s">
        <v>96</v>
      </c>
    </row>
    <row r="57" spans="2:5" ht="14.45" hidden="1" x14ac:dyDescent="0.3">
      <c r="B57" s="167" t="s">
        <v>435</v>
      </c>
      <c r="C57" s="174">
        <f>1000/(SQRT(2)*PI()*SQRT(C13*C10*C29))</f>
        <v>14.196352685462617</v>
      </c>
      <c r="D57" s="158" t="s">
        <v>0</v>
      </c>
      <c r="E57" s="162"/>
    </row>
    <row r="58" spans="2:5" ht="14.45" hidden="1" x14ac:dyDescent="0.3">
      <c r="B58" s="167" t="s">
        <v>735</v>
      </c>
      <c r="C58" s="174">
        <f>IF(C57&lt;0.3,0.3,IF(C57&gt;19,19,C57))</f>
        <v>14.196352685462617</v>
      </c>
      <c r="D58" s="158"/>
      <c r="E58" s="162"/>
    </row>
    <row r="59" spans="2:5" ht="15.6" hidden="1" x14ac:dyDescent="0.3">
      <c r="B59" s="173" t="s">
        <v>420</v>
      </c>
      <c r="C59" s="174">
        <f>1000/(4.83*C58*C8)</f>
        <v>2.430663495773965</v>
      </c>
      <c r="D59" s="161" t="s">
        <v>96</v>
      </c>
    </row>
    <row r="61" spans="2:5" ht="222" customHeight="1" x14ac:dyDescent="0.25"/>
    <row r="62" spans="2:5" ht="14.45" hidden="1" x14ac:dyDescent="0.3"/>
    <row r="64" spans="2:5" ht="15.75" x14ac:dyDescent="0.25">
      <c r="B64" s="22" t="s">
        <v>1076</v>
      </c>
      <c r="C64" s="20" t="s">
        <v>1083</v>
      </c>
      <c r="D64"/>
    </row>
    <row r="65" spans="2:36" x14ac:dyDescent="0.25">
      <c r="B65" s="628" t="s">
        <v>1077</v>
      </c>
      <c r="C65" s="629">
        <v>220</v>
      </c>
      <c r="D65" s="630" t="s">
        <v>1078</v>
      </c>
    </row>
    <row r="66" spans="2:36" x14ac:dyDescent="0.25">
      <c r="B66" s="628" t="s">
        <v>201</v>
      </c>
      <c r="C66" s="631">
        <v>2</v>
      </c>
      <c r="D66" s="630" t="s">
        <v>405</v>
      </c>
      <c r="E66" s="162" t="str">
        <f>IF(C66&gt;(C16*1000),"This exceeds the continuous sample rate of the LDC0851","")</f>
        <v/>
      </c>
    </row>
    <row r="67" spans="2:36" x14ac:dyDescent="0.25">
      <c r="B67" s="628" t="s">
        <v>1422</v>
      </c>
      <c r="C67" s="723">
        <f>C14</f>
        <v>12.170882689518223</v>
      </c>
      <c r="D67" s="630" t="s">
        <v>0</v>
      </c>
    </row>
    <row r="68" spans="2:36" x14ac:dyDescent="0.25">
      <c r="B68" s="628" t="s">
        <v>278</v>
      </c>
      <c r="C68" s="723">
        <f>C10</f>
        <v>6</v>
      </c>
      <c r="D68" s="630" t="s">
        <v>1421</v>
      </c>
    </row>
    <row r="69" spans="2:36" x14ac:dyDescent="0.25">
      <c r="B69" s="628" t="s">
        <v>1079</v>
      </c>
      <c r="C69" s="724">
        <f>C12</f>
        <v>12</v>
      </c>
      <c r="D69" s="630" t="s">
        <v>27</v>
      </c>
    </row>
    <row r="70" spans="2:36" x14ac:dyDescent="0.25">
      <c r="B70" s="632" t="s">
        <v>1080</v>
      </c>
      <c r="C70" s="633"/>
      <c r="D70" s="634"/>
      <c r="F70" s="175"/>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row>
    <row r="71" spans="2:36" ht="15.6" hidden="1" x14ac:dyDescent="0.35">
      <c r="B71" s="11" t="s">
        <v>1081</v>
      </c>
      <c r="C71" s="636">
        <f>1/(17.1*C68*C67)*1000</f>
        <v>0.80081198238407525</v>
      </c>
      <c r="D71" s="630" t="s">
        <v>244</v>
      </c>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row>
    <row r="72" spans="2:36" ht="15.6" hidden="1" x14ac:dyDescent="0.35">
      <c r="B72" s="11" t="s">
        <v>412</v>
      </c>
      <c r="C72" s="636">
        <f>(24.262*10^-12*C67*10^6+1.5*C67*10^6*C69*10^-12)*1000</f>
        <v>0.51436584422441911</v>
      </c>
      <c r="D72" s="630" t="s">
        <v>244</v>
      </c>
      <c r="F72" s="175"/>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row>
    <row r="73" spans="2:36" ht="15.6" hidden="1" x14ac:dyDescent="0.35">
      <c r="B73" s="11" t="s">
        <v>410</v>
      </c>
      <c r="C73" s="636">
        <f>0.7</f>
        <v>0.7</v>
      </c>
      <c r="D73" s="630" t="s">
        <v>244</v>
      </c>
      <c r="F73" s="175"/>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row>
    <row r="74" spans="2:36" ht="15.6" hidden="1" x14ac:dyDescent="0.35">
      <c r="B74" s="11" t="s">
        <v>413</v>
      </c>
      <c r="C74" s="636">
        <f>C71+C72+C73</f>
        <v>2.0151778266084941</v>
      </c>
      <c r="D74" s="630" t="s">
        <v>244</v>
      </c>
      <c r="F74" s="175"/>
      <c r="G74" s="175"/>
      <c r="H74" s="175"/>
      <c r="I74" s="17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row>
    <row r="75" spans="2:36" ht="15.6" hidden="1" x14ac:dyDescent="0.35">
      <c r="B75" s="11" t="s">
        <v>414</v>
      </c>
      <c r="C75" s="636">
        <f>0.00014</f>
        <v>1.3999999999999999E-4</v>
      </c>
      <c r="D75" s="630" t="s">
        <v>244</v>
      </c>
      <c r="F75" s="175"/>
      <c r="G75" s="175"/>
      <c r="H75" s="175"/>
      <c r="I75" s="17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row>
    <row r="76" spans="2:36" ht="15.6" hidden="1" x14ac:dyDescent="0.35">
      <c r="B76" s="11" t="s">
        <v>415</v>
      </c>
      <c r="C76" s="494">
        <f>450*10^-6</f>
        <v>4.4999999999999999E-4</v>
      </c>
      <c r="D76" s="11" t="s">
        <v>404</v>
      </c>
      <c r="F76" s="175"/>
      <c r="G76" s="175"/>
      <c r="H76" s="175"/>
      <c r="I76" s="17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row>
    <row r="77" spans="2:36" ht="15.6" hidden="1" x14ac:dyDescent="0.35">
      <c r="B77" s="11" t="s">
        <v>416</v>
      </c>
      <c r="C77" s="494">
        <f>1/(C67*10^6*231*10^-6)</f>
        <v>3.5568532204591398E-4</v>
      </c>
      <c r="D77" s="11" t="s">
        <v>404</v>
      </c>
      <c r="F77" s="175"/>
      <c r="G77" s="175"/>
      <c r="H77" s="175"/>
      <c r="I77" s="17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row>
    <row r="78" spans="2:36" ht="15.6" hidden="1" x14ac:dyDescent="0.35">
      <c r="B78" s="11" t="s">
        <v>418</v>
      </c>
      <c r="C78" s="113">
        <f>C66*C76*(C74/2)</f>
        <v>9.0683002197382236E-4</v>
      </c>
      <c r="D78" s="11" t="s">
        <v>244</v>
      </c>
      <c r="F78" s="175"/>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row>
    <row r="79" spans="2:36" ht="15.6" hidden="1" x14ac:dyDescent="0.35">
      <c r="B79" s="11" t="s">
        <v>417</v>
      </c>
      <c r="C79" s="113">
        <f>C66*(C81*0.001-C76)*C74</f>
        <v>3.5064094182987796E-3</v>
      </c>
      <c r="D79" s="11" t="s">
        <v>244</v>
      </c>
      <c r="F79" s="175"/>
      <c r="G79" s="175"/>
      <c r="H79" s="175"/>
      <c r="I79" s="17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row>
    <row r="80" spans="2:36" ht="15.6" hidden="1" x14ac:dyDescent="0.35">
      <c r="B80" s="11" t="s">
        <v>419</v>
      </c>
      <c r="C80" s="113">
        <f>(1-C66*0.001*C81)*C75</f>
        <v>1.3963039999999999E-4</v>
      </c>
      <c r="D80" s="11" t="s">
        <v>244</v>
      </c>
      <c r="F80" s="175"/>
      <c r="G80" s="175"/>
      <c r="H80" s="175"/>
      <c r="I80" s="17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row>
    <row r="81" spans="2:48" x14ac:dyDescent="0.25">
      <c r="B81" s="639" t="s">
        <v>1438</v>
      </c>
      <c r="C81" s="46">
        <v>1.32</v>
      </c>
      <c r="D81" s="161" t="s">
        <v>229</v>
      </c>
      <c r="E81" s="162" t="str">
        <f>IF(C81&lt;C82,"This is below the minimum En pulse duration.","")</f>
        <v/>
      </c>
      <c r="F81" s="175"/>
      <c r="G81" s="177" t="str">
        <f>CONCATENATE("Sample Rate = ",C66," sps")</f>
        <v>Sample Rate = 2 sps</v>
      </c>
      <c r="H81" s="177"/>
      <c r="I81" s="177"/>
      <c r="J81" s="177"/>
      <c r="K81" s="177"/>
      <c r="L81" s="177"/>
      <c r="M81" s="177"/>
      <c r="N81" s="177"/>
      <c r="O81" s="177"/>
      <c r="P81" s="177"/>
      <c r="Q81" s="177"/>
      <c r="R81" s="177"/>
      <c r="S81" s="177"/>
      <c r="T81" s="177"/>
      <c r="U81" s="177"/>
      <c r="V81" s="177"/>
      <c r="W81" s="177"/>
      <c r="X81" s="177"/>
      <c r="Y81" s="177"/>
      <c r="Z81" s="177"/>
      <c r="AA81" s="177"/>
      <c r="AB81" s="177"/>
      <c r="AC81" s="177"/>
      <c r="AD81" s="177"/>
      <c r="AE81" s="177"/>
      <c r="AF81" s="177"/>
      <c r="AG81" s="177"/>
      <c r="AH81" s="177"/>
      <c r="AI81" s="177"/>
      <c r="AJ81" s="177"/>
    </row>
    <row r="82" spans="2:48" x14ac:dyDescent="0.25">
      <c r="B82" s="639" t="s">
        <v>1439</v>
      </c>
      <c r="C82" s="713">
        <f>0.45+2/C16</f>
        <v>1.1613706440918281</v>
      </c>
      <c r="D82" s="638" t="s">
        <v>229</v>
      </c>
      <c r="F82" s="162"/>
      <c r="G82" s="162" t="str">
        <f>CONCATENATE("CBOARD = ",C69,"pF")</f>
        <v>CBOARD = 12pF</v>
      </c>
      <c r="H82" s="162"/>
      <c r="I82" s="162"/>
      <c r="J82" s="162"/>
      <c r="K82" s="162"/>
      <c r="L82" s="162"/>
      <c r="M82" s="162"/>
      <c r="N82" s="162"/>
      <c r="O82" s="162"/>
      <c r="P82" s="162"/>
      <c r="Q82" s="162"/>
      <c r="R82" s="162"/>
      <c r="S82" s="162"/>
      <c r="T82" s="162"/>
      <c r="U82" s="162"/>
      <c r="V82" s="162"/>
      <c r="W82" s="162"/>
      <c r="X82" s="162"/>
      <c r="Y82" s="162"/>
      <c r="Z82" s="162"/>
      <c r="AA82" s="162"/>
      <c r="AB82" s="177"/>
      <c r="AC82" s="177"/>
      <c r="AD82" s="177"/>
      <c r="AE82" s="177"/>
      <c r="AF82" s="177"/>
      <c r="AG82" s="177"/>
      <c r="AH82" s="177"/>
      <c r="AI82" s="177"/>
      <c r="AJ82" s="177"/>
    </row>
    <row r="83" spans="2:48" x14ac:dyDescent="0.25">
      <c r="B83" s="637" t="s">
        <v>1440</v>
      </c>
      <c r="C83" s="712">
        <f>1000*(C78+C79+C80)</f>
        <v>4.552869840272602</v>
      </c>
      <c r="D83" s="710" t="s">
        <v>1423</v>
      </c>
      <c r="F83" s="162"/>
      <c r="G83" s="85" t="str">
        <f>CONCATENATE("Battery Capacity = ",C65," mAh")</f>
        <v>Battery Capacity = 220 mAh</v>
      </c>
      <c r="H83" s="162"/>
      <c r="I83" s="162"/>
      <c r="J83" s="162"/>
      <c r="K83" s="162"/>
      <c r="L83" s="162"/>
      <c r="M83" s="162"/>
      <c r="N83" s="162"/>
      <c r="O83" s="162"/>
      <c r="P83" s="162"/>
      <c r="Q83" s="162"/>
      <c r="R83" s="162"/>
      <c r="S83" s="162"/>
      <c r="T83" s="162"/>
      <c r="U83" s="162"/>
      <c r="V83" s="162"/>
      <c r="W83" s="162"/>
      <c r="X83" s="162"/>
      <c r="Y83" s="162"/>
      <c r="Z83" s="162"/>
      <c r="AA83" s="162"/>
      <c r="AB83" s="177"/>
      <c r="AC83" s="177"/>
      <c r="AD83" s="177"/>
      <c r="AE83" s="177"/>
      <c r="AF83" s="177"/>
      <c r="AG83" s="177"/>
      <c r="AH83" s="177"/>
      <c r="AI83" s="177"/>
      <c r="AJ83" s="177"/>
    </row>
    <row r="84" spans="2:48" x14ac:dyDescent="0.25">
      <c r="B84" s="635" t="s">
        <v>1086</v>
      </c>
      <c r="C84" s="709">
        <f>ROUND(C65/(0.001*C83)/24/365,1)</f>
        <v>5.5</v>
      </c>
      <c r="D84" s="711" t="s">
        <v>409</v>
      </c>
      <c r="F84" s="162"/>
      <c r="G84" s="162" t="s">
        <v>1428</v>
      </c>
      <c r="H84" s="162"/>
      <c r="I84" s="162"/>
      <c r="J84" s="162"/>
      <c r="K84" s="162"/>
      <c r="L84" s="162"/>
      <c r="M84" s="162"/>
      <c r="N84" s="162"/>
      <c r="O84" s="162"/>
      <c r="P84" s="162"/>
      <c r="Q84" s="162"/>
      <c r="R84" s="162"/>
      <c r="S84" s="162"/>
      <c r="T84" s="162"/>
      <c r="U84" s="162"/>
      <c r="V84" s="162"/>
      <c r="W84" s="162"/>
      <c r="X84" s="162"/>
      <c r="Y84" s="162"/>
      <c r="Z84" s="162"/>
      <c r="AA84" s="162"/>
      <c r="AB84" s="177"/>
      <c r="AC84" s="177"/>
      <c r="AD84" s="177"/>
      <c r="AE84" s="177"/>
      <c r="AF84" s="177"/>
      <c r="AG84" s="177"/>
      <c r="AH84" s="177"/>
      <c r="AI84" s="177"/>
      <c r="AJ84" s="177"/>
    </row>
    <row r="85" spans="2:48" x14ac:dyDescent="0.25">
      <c r="B85" s="720"/>
      <c r="C85" s="722"/>
      <c r="D85" s="721"/>
      <c r="F85" s="162"/>
      <c r="G85" s="162"/>
      <c r="H85" s="162"/>
      <c r="I85" s="162"/>
      <c r="J85" s="162"/>
      <c r="K85" s="162"/>
      <c r="L85" s="162"/>
      <c r="M85" s="162"/>
      <c r="N85" s="162"/>
      <c r="O85" s="162"/>
      <c r="P85" s="162"/>
      <c r="Q85" s="162"/>
      <c r="R85" s="162"/>
      <c r="S85" s="162"/>
      <c r="T85" s="162"/>
      <c r="U85" s="162"/>
      <c r="V85" s="162"/>
      <c r="W85" s="162"/>
      <c r="X85" s="162"/>
      <c r="Y85" s="162"/>
      <c r="Z85" s="162"/>
      <c r="AA85" s="725"/>
      <c r="AB85" s="725"/>
      <c r="AC85" s="725"/>
      <c r="AD85" s="725"/>
      <c r="AE85" s="725"/>
      <c r="AF85" s="725"/>
      <c r="AG85" s="725"/>
      <c r="AH85" s="725"/>
      <c r="AI85" s="725"/>
      <c r="AJ85" s="725"/>
      <c r="AK85" s="725"/>
      <c r="AL85" s="725"/>
      <c r="AM85" s="725"/>
      <c r="AN85" s="725"/>
      <c r="AO85" s="725"/>
      <c r="AP85" s="725"/>
      <c r="AQ85" s="725"/>
      <c r="AR85" s="463"/>
      <c r="AS85" s="463"/>
      <c r="AT85" s="463"/>
      <c r="AU85" s="463"/>
      <c r="AV85" s="61"/>
    </row>
    <row r="86" spans="2:48" x14ac:dyDescent="0.25">
      <c r="B86" s="720"/>
      <c r="C86" s="722"/>
      <c r="D86" s="721"/>
      <c r="F86" s="162"/>
      <c r="G86" s="162" t="s">
        <v>313</v>
      </c>
      <c r="H86" s="725">
        <f>ROUND($C$68*0.5,1)</f>
        <v>3</v>
      </c>
      <c r="I86" s="725" t="str">
        <f>CONCATENATE(H86,"µH")</f>
        <v>3µH</v>
      </c>
      <c r="J86" s="725"/>
      <c r="K86" s="725"/>
      <c r="L86" s="725"/>
      <c r="M86" s="725"/>
      <c r="N86" s="725"/>
      <c r="O86" s="725"/>
      <c r="P86" s="725"/>
      <c r="Q86" s="162" t="s">
        <v>313</v>
      </c>
      <c r="R86" s="725">
        <f>ROUND($C$68*1,1)</f>
        <v>6</v>
      </c>
      <c r="S86" s="725" t="str">
        <f>CONCATENATE(R86,"µH")</f>
        <v>6µH</v>
      </c>
      <c r="T86" s="725"/>
      <c r="U86" s="725"/>
      <c r="V86" s="725"/>
      <c r="W86" s="725"/>
      <c r="X86" s="725"/>
      <c r="Y86" s="725"/>
      <c r="Z86" s="725"/>
      <c r="AA86" s="162" t="s">
        <v>313</v>
      </c>
      <c r="AB86" s="725">
        <f>ROUND($C$68*2,1)</f>
        <v>12</v>
      </c>
      <c r="AC86" s="725" t="str">
        <f>CONCATENATE(AB86,"µH")</f>
        <v>12µH</v>
      </c>
      <c r="AD86" s="725"/>
      <c r="AE86" s="725"/>
      <c r="AF86" s="725"/>
      <c r="AG86" s="725"/>
      <c r="AH86" s="725"/>
      <c r="AI86" s="725"/>
      <c r="AJ86" s="725"/>
      <c r="AK86" s="725"/>
      <c r="AL86" s="725"/>
      <c r="AM86" s="725"/>
      <c r="AN86" s="725"/>
      <c r="AO86" s="725"/>
      <c r="AP86" s="725"/>
      <c r="AQ86" s="725"/>
      <c r="AR86" s="463"/>
      <c r="AS86" s="463"/>
      <c r="AT86" s="463"/>
      <c r="AU86" s="463"/>
      <c r="AV86" s="463"/>
    </row>
    <row r="87" spans="2:48" x14ac:dyDescent="0.25">
      <c r="B87" s="720"/>
      <c r="C87" s="722"/>
      <c r="D87" s="721"/>
      <c r="E87" s="162"/>
      <c r="F87" s="162"/>
      <c r="G87" s="162" t="s">
        <v>1427</v>
      </c>
      <c r="H87" s="162" t="s">
        <v>1437</v>
      </c>
      <c r="I87" s="725" t="s">
        <v>1429</v>
      </c>
      <c r="J87" s="725" t="s">
        <v>1430</v>
      </c>
      <c r="K87" s="725" t="s">
        <v>1431</v>
      </c>
      <c r="L87" s="725" t="s">
        <v>1432</v>
      </c>
      <c r="M87" s="725" t="s">
        <v>1433</v>
      </c>
      <c r="N87" s="725" t="s">
        <v>1434</v>
      </c>
      <c r="O87" s="85" t="s">
        <v>1435</v>
      </c>
      <c r="P87" s="725" t="s">
        <v>1436</v>
      </c>
      <c r="Q87" s="162" t="s">
        <v>1427</v>
      </c>
      <c r="R87" s="162" t="s">
        <v>1437</v>
      </c>
      <c r="S87" s="725" t="s">
        <v>1429</v>
      </c>
      <c r="T87" s="725" t="s">
        <v>1430</v>
      </c>
      <c r="U87" s="725" t="s">
        <v>1431</v>
      </c>
      <c r="V87" s="725" t="s">
        <v>1432</v>
      </c>
      <c r="W87" s="725" t="s">
        <v>1433</v>
      </c>
      <c r="X87" s="725" t="s">
        <v>1434</v>
      </c>
      <c r="Y87" s="85" t="s">
        <v>1435</v>
      </c>
      <c r="Z87" s="725" t="s">
        <v>1436</v>
      </c>
      <c r="AA87" s="162" t="s">
        <v>1427</v>
      </c>
      <c r="AB87" s="162" t="s">
        <v>1437</v>
      </c>
      <c r="AC87" s="725" t="s">
        <v>1429</v>
      </c>
      <c r="AD87" s="725" t="s">
        <v>1430</v>
      </c>
      <c r="AE87" s="725" t="s">
        <v>1431</v>
      </c>
      <c r="AF87" s="725" t="s">
        <v>1432</v>
      </c>
      <c r="AG87" s="725" t="s">
        <v>1433</v>
      </c>
      <c r="AH87" s="725" t="s">
        <v>1434</v>
      </c>
      <c r="AI87" s="85" t="s">
        <v>1435</v>
      </c>
      <c r="AJ87" s="725" t="s">
        <v>1436</v>
      </c>
      <c r="AK87" s="725"/>
      <c r="AL87" s="725"/>
      <c r="AM87" s="725"/>
      <c r="AN87" s="725"/>
      <c r="AO87" s="725"/>
      <c r="AP87" s="725"/>
      <c r="AQ87" s="725"/>
      <c r="AR87" s="463"/>
      <c r="AS87" s="463"/>
      <c r="AT87" s="463"/>
      <c r="AU87" s="463"/>
      <c r="AV87" s="463"/>
    </row>
    <row r="88" spans="2:48" x14ac:dyDescent="0.25">
      <c r="B88" s="720"/>
      <c r="C88" s="722"/>
      <c r="D88" s="721"/>
      <c r="E88" s="162"/>
      <c r="F88" s="725"/>
      <c r="G88" s="725">
        <f>IF((SQRT(2)/(2*PI()*SQRT(H$86*33))*1000)&lt;20,(SQRT(2)/(2*PI()*SQRT(H$86*33))*1000),20)</f>
        <v>20</v>
      </c>
      <c r="H88" s="85">
        <f t="shared" ref="H88:H108" si="0">ROUND($C$65/(P88*0.001)/24/365,1)</f>
        <v>7.3</v>
      </c>
      <c r="I88" s="726">
        <f t="shared" ref="I88:I108" si="1">1/(G88*10^6*231*10^-6)</f>
        <v>2.1645021645021645E-4</v>
      </c>
      <c r="J88" s="725">
        <f t="shared" ref="J88:J108" si="2">(24.262*10^-12*G88*10^6+1.5*G88*10^6*$C$69*10^-12)*1000</f>
        <v>0.84523999999999988</v>
      </c>
      <c r="K88" s="725">
        <f t="shared" ref="K88:K108" si="3">1/(17.1*H$86*G88)*1000</f>
        <v>0.97465886939571145</v>
      </c>
      <c r="L88" s="726">
        <f>J88+$C$73+K88</f>
        <v>2.5198988693957114</v>
      </c>
      <c r="M88" s="725">
        <f t="shared" ref="M88:M108" si="4">$C$66*$C$76*(L88/2)</f>
        <v>1.1339544912280701E-3</v>
      </c>
      <c r="N88" s="725">
        <f t="shared" ref="N88:N108" si="5">$C$66*(I88*2)*L88</f>
        <v>2.1817306228534296E-3</v>
      </c>
      <c r="O88" s="725">
        <f t="shared" ref="O88:O108" si="6">(1-$C$66*($C$76+2*I88))*$C$75</f>
        <v>1.3975278787878786E-4</v>
      </c>
      <c r="P88" s="725">
        <f t="shared" ref="P88:P108" si="7">1000*(M88+N88+$O88)</f>
        <v>3.4554379019602877</v>
      </c>
      <c r="Q88" s="725">
        <f>IF((SQRT(2)/(2*PI()*SQRT(R$86*33))*1000)&lt;20,(SQRT(2)/(2*PI()*SQRT(R$86*33))*1000),20)</f>
        <v>15.995673629278274</v>
      </c>
      <c r="R88" s="85">
        <f t="shared" ref="R88:R108" si="8">ROUND($C$65/(Z88*0.001)/24/365,1)</f>
        <v>7.9</v>
      </c>
      <c r="S88" s="726">
        <f t="shared" ref="S88:S108" si="9">1/(Q88*10^6*231*10^-6)</f>
        <v>2.7063595002842369E-4</v>
      </c>
      <c r="T88" s="725">
        <f t="shared" ref="T88:T108" si="10">(24.262*10^-12*Q88*10^6+1.5*Q88*10^6*$C$69*10^-12)*1000</f>
        <v>0.67600915892055846</v>
      </c>
      <c r="U88" s="725">
        <f t="shared" ref="U88:U108" si="11">1/(17.1*R$86*Q88)*1000</f>
        <v>0.60932655415756198</v>
      </c>
      <c r="V88" s="726">
        <f>T88+$C$73+U88</f>
        <v>1.9853357130781202</v>
      </c>
      <c r="W88" s="725">
        <f t="shared" ref="W88:W108" si="12">$C$66*$C$76*(V88/2)</f>
        <v>8.9340107088515402E-4</v>
      </c>
      <c r="X88" s="725">
        <f t="shared" ref="X88:X108" si="13">$C$66*(S88*2)*V88</f>
        <v>2.1492128673370201E-3</v>
      </c>
      <c r="Y88" s="725">
        <f t="shared" ref="Y88:Y108" si="14">(1-$C$66*($C$76+2*S88))*$C$75</f>
        <v>1.3972244386798409E-4</v>
      </c>
      <c r="Z88" s="725">
        <f t="shared" ref="Z88:Z108" si="15">1000*(W88+X88+$O88)</f>
        <v>3.1823667261009616</v>
      </c>
      <c r="AA88" s="725">
        <f>IF((SQRT(2)/(2*PI()*SQRT(AB$86*33))*1000)&lt;20,(SQRT(2)/(2*PI()*SQRT(AB$86*33))*1000),20)</f>
        <v>11.310649292909501</v>
      </c>
      <c r="AB88" s="85">
        <f t="shared" ref="AB88:AB108" si="16">ROUND($C$65/(AJ88*0.001)/24/365,1)</f>
        <v>7.5</v>
      </c>
      <c r="AC88" s="726">
        <f t="shared" ref="AC88:AC108" si="17">1/(AA88*10^6*231*10^-6)</f>
        <v>3.82737030995924E-4</v>
      </c>
      <c r="AD88" s="725">
        <f t="shared" ref="AD88:AD108" si="18">(24.262*10^-12*AA88*10^6+1.5*AA88*10^6*$C$69*10^-12)*1000</f>
        <v>0.47801066041694129</v>
      </c>
      <c r="AE88" s="725">
        <f t="shared" ref="AE88:AE108" si="19">1/(17.1*AB$86*AA88)*1000</f>
        <v>0.43085893840184419</v>
      </c>
      <c r="AF88" s="726">
        <f>AD88+$C$73+AE88</f>
        <v>1.6088695988187853</v>
      </c>
      <c r="AG88" s="725">
        <f t="shared" ref="AG88:AG108" si="20">$C$66*$C$76*(AF88/2)</f>
        <v>7.2399131946845343E-4</v>
      </c>
      <c r="AH88" s="725">
        <f t="shared" ref="AH88:AH108" si="21">$C$66*(AC88*2)*AF88</f>
        <v>2.463095894046021E-3</v>
      </c>
      <c r="AI88" s="725">
        <f t="shared" ref="AI88:AI108" si="22">(1-$C$66*($C$76+2*AC88))*$C$75</f>
        <v>1.3965966726264226E-4</v>
      </c>
      <c r="AJ88" s="725">
        <f t="shared" ref="AJ88:AJ108" si="23">1000*(AG88+AH88+$O88)</f>
        <v>3.3268400013932622</v>
      </c>
      <c r="AK88" s="725"/>
      <c r="AL88" s="725"/>
      <c r="AM88" s="725"/>
      <c r="AN88" s="725"/>
      <c r="AO88" s="725"/>
      <c r="AP88" s="725"/>
      <c r="AQ88" s="725"/>
      <c r="AR88" s="463"/>
      <c r="AS88" s="61"/>
      <c r="AT88" s="61"/>
      <c r="AU88" s="61"/>
      <c r="AV88" s="61"/>
    </row>
    <row r="89" spans="2:48" x14ac:dyDescent="0.25">
      <c r="B89" s="720"/>
      <c r="C89" s="722"/>
      <c r="D89" s="721"/>
      <c r="E89" s="162"/>
      <c r="F89" s="725"/>
      <c r="G89" s="725">
        <f>G88-1</f>
        <v>19</v>
      </c>
      <c r="H89" s="85">
        <f t="shared" si="0"/>
        <v>7</v>
      </c>
      <c r="I89" s="726">
        <f t="shared" si="1"/>
        <v>2.2784233310549099E-4</v>
      </c>
      <c r="J89" s="725">
        <f t="shared" si="2"/>
        <v>0.80297799999999997</v>
      </c>
      <c r="K89" s="725">
        <f t="shared" si="3"/>
        <v>1.0259567046270648</v>
      </c>
      <c r="L89" s="726">
        <f t="shared" ref="L89:L108" si="24">J89+$C$73+K89</f>
        <v>2.5289347046270647</v>
      </c>
      <c r="M89" s="725">
        <f t="shared" si="4"/>
        <v>1.1380206170821792E-3</v>
      </c>
      <c r="N89" s="725">
        <f t="shared" si="5"/>
        <v>2.3047935334947044E-3</v>
      </c>
      <c r="O89" s="725">
        <f t="shared" si="6"/>
        <v>1.3974640829346092E-4</v>
      </c>
      <c r="P89" s="725">
        <f t="shared" si="7"/>
        <v>3.5825605588703442</v>
      </c>
      <c r="Q89" s="725">
        <f>Q88-1</f>
        <v>14.995673629278274</v>
      </c>
      <c r="R89" s="85">
        <f t="shared" si="8"/>
        <v>7.6</v>
      </c>
      <c r="S89" s="726">
        <f t="shared" si="9"/>
        <v>2.8868355207145699E-4</v>
      </c>
      <c r="T89" s="725">
        <f t="shared" si="10"/>
        <v>0.63374715892055844</v>
      </c>
      <c r="U89" s="725">
        <f t="shared" si="11"/>
        <v>0.64996004413749076</v>
      </c>
      <c r="V89" s="726">
        <f t="shared" ref="V89:V108" si="25">T89+$C$73+U89</f>
        <v>1.9837072030580489</v>
      </c>
      <c r="W89" s="725">
        <f t="shared" si="12"/>
        <v>8.92668241376122E-4</v>
      </c>
      <c r="X89" s="725">
        <f t="shared" si="13"/>
        <v>2.2906545665941302E-3</v>
      </c>
      <c r="Y89" s="725">
        <f t="shared" si="14"/>
        <v>1.3971233721083996E-4</v>
      </c>
      <c r="Z89" s="725">
        <f t="shared" si="15"/>
        <v>3.323069216263713</v>
      </c>
      <c r="AA89" s="725">
        <f>AA88-1</f>
        <v>10.310649292909501</v>
      </c>
      <c r="AB89" s="85">
        <f t="shared" si="16"/>
        <v>7</v>
      </c>
      <c r="AC89" s="726">
        <f t="shared" si="17"/>
        <v>4.1985758665861415E-4</v>
      </c>
      <c r="AD89" s="725">
        <f t="shared" si="18"/>
        <v>0.43574866041694132</v>
      </c>
      <c r="AE89" s="725">
        <f t="shared" si="19"/>
        <v>0.47264669843148077</v>
      </c>
      <c r="AF89" s="726">
        <f t="shared" ref="AF89:AF108" si="26">AD89+$C$73+AE89</f>
        <v>1.6083953588484221</v>
      </c>
      <c r="AG89" s="725">
        <f t="shared" si="20"/>
        <v>7.2377791148178989E-4</v>
      </c>
      <c r="AH89" s="725">
        <f t="shared" si="21"/>
        <v>2.7011879750360565E-3</v>
      </c>
      <c r="AI89" s="725">
        <f t="shared" si="22"/>
        <v>1.3963887975147117E-4</v>
      </c>
      <c r="AJ89" s="725">
        <f t="shared" si="23"/>
        <v>3.564712294811307</v>
      </c>
      <c r="AK89" s="725"/>
      <c r="AL89" s="725"/>
      <c r="AM89" s="725"/>
      <c r="AN89" s="725"/>
      <c r="AO89" s="725"/>
      <c r="AP89" s="725"/>
      <c r="AQ89" s="725"/>
      <c r="AR89" s="463"/>
      <c r="AS89" s="61"/>
      <c r="AT89" s="61"/>
      <c r="AU89" s="61"/>
      <c r="AV89" s="61"/>
    </row>
    <row r="90" spans="2:48" x14ac:dyDescent="0.25">
      <c r="B90" s="720"/>
      <c r="C90" s="722"/>
      <c r="D90" s="721"/>
      <c r="E90" s="162"/>
      <c r="F90" s="725"/>
      <c r="G90" s="725">
        <f t="shared" ref="G90:G108" si="27">IF(G89=G88,G89,IF(1000/(4.83*(G88-1)*$C$8)&gt;H$86,G89,IF(G89-1&gt;0.3,G89-1,G89)))</f>
        <v>18</v>
      </c>
      <c r="H90" s="85">
        <f t="shared" si="0"/>
        <v>6.7</v>
      </c>
      <c r="I90" s="726">
        <f t="shared" si="1"/>
        <v>2.4050024050024051E-4</v>
      </c>
      <c r="J90" s="725">
        <f t="shared" si="2"/>
        <v>0.76071600000000006</v>
      </c>
      <c r="K90" s="725">
        <f t="shared" si="3"/>
        <v>1.0829542993285681</v>
      </c>
      <c r="L90" s="726">
        <f t="shared" si="24"/>
        <v>2.5436702993285683</v>
      </c>
      <c r="M90" s="725">
        <f t="shared" si="4"/>
        <v>1.1446516346978557E-3</v>
      </c>
      <c r="N90" s="725">
        <f t="shared" si="5"/>
        <v>2.4470132749673575E-3</v>
      </c>
      <c r="O90" s="725">
        <f t="shared" si="6"/>
        <v>1.3973931986531986E-4</v>
      </c>
      <c r="P90" s="725">
        <f t="shared" si="7"/>
        <v>3.7314042295305332</v>
      </c>
      <c r="Q90" s="725">
        <f t="shared" ref="Q90:Q108" si="28">IF(Q89=Q88,Q89,IF(1000/(4.83*(Q88-1)*$C$8)&gt;R$86,Q89,IF(Q89-1&gt;0.3,Q89-1,Q89)))</f>
        <v>13.995673629278274</v>
      </c>
      <c r="R90" s="85">
        <f t="shared" si="8"/>
        <v>7.2</v>
      </c>
      <c r="S90" s="726">
        <f t="shared" si="9"/>
        <v>3.0931017996506155E-4</v>
      </c>
      <c r="T90" s="725">
        <f t="shared" si="10"/>
        <v>0.59148515892055842</v>
      </c>
      <c r="U90" s="725">
        <f t="shared" si="11"/>
        <v>0.69640011278683445</v>
      </c>
      <c r="V90" s="726">
        <f t="shared" si="25"/>
        <v>1.9878852717073927</v>
      </c>
      <c r="W90" s="725">
        <f t="shared" si="12"/>
        <v>8.9454837226832673E-4</v>
      </c>
      <c r="X90" s="725">
        <f t="shared" si="13"/>
        <v>2.4594926045668356E-3</v>
      </c>
      <c r="Y90" s="725">
        <f t="shared" si="14"/>
        <v>1.3970078629921956E-4</v>
      </c>
      <c r="Z90" s="725">
        <f t="shared" si="15"/>
        <v>3.4937802967004821</v>
      </c>
      <c r="AA90" s="725">
        <f t="shared" ref="AA90:AA108" si="29">IF(AA89=AA88,AA89,IF(1000/(4.83*(AA88-1)*$C$8)&gt;AB$86,AA89,IF(AA89-1&gt;0.3,AA89-1,AA89)))</f>
        <v>9.3106492929095008</v>
      </c>
      <c r="AB90" s="85">
        <f t="shared" si="16"/>
        <v>6.5</v>
      </c>
      <c r="AC90" s="726">
        <f t="shared" si="17"/>
        <v>4.6495192685445372E-4</v>
      </c>
      <c r="AD90" s="725">
        <f t="shared" si="18"/>
        <v>0.39348666041694125</v>
      </c>
      <c r="AE90" s="725">
        <f t="shared" si="19"/>
        <v>0.5234107948507738</v>
      </c>
      <c r="AF90" s="726">
        <f t="shared" si="26"/>
        <v>1.6168974552677149</v>
      </c>
      <c r="AG90" s="725">
        <f t="shared" si="20"/>
        <v>7.2760385487047167E-4</v>
      </c>
      <c r="AH90" s="725">
        <f t="shared" si="21"/>
        <v>3.0071183494111476E-3</v>
      </c>
      <c r="AI90" s="725">
        <f t="shared" si="22"/>
        <v>1.3961362692096151E-4</v>
      </c>
      <c r="AJ90" s="725">
        <f t="shared" si="23"/>
        <v>3.8744615241469389</v>
      </c>
      <c r="AK90" s="725"/>
      <c r="AL90" s="725"/>
      <c r="AM90" s="725"/>
      <c r="AN90" s="725"/>
      <c r="AO90" s="725"/>
      <c r="AP90" s="725"/>
      <c r="AQ90" s="725"/>
      <c r="AR90" s="463"/>
      <c r="AS90" s="61"/>
      <c r="AT90" s="61"/>
      <c r="AU90" s="61"/>
      <c r="AV90" s="61"/>
    </row>
    <row r="91" spans="2:48" x14ac:dyDescent="0.25">
      <c r="B91" s="720"/>
      <c r="C91" s="722"/>
      <c r="D91" s="721"/>
      <c r="E91" s="162"/>
      <c r="F91" s="725"/>
      <c r="G91" s="725">
        <f t="shared" si="27"/>
        <v>17</v>
      </c>
      <c r="H91" s="85">
        <f t="shared" si="0"/>
        <v>6.4</v>
      </c>
      <c r="I91" s="726">
        <f t="shared" si="1"/>
        <v>2.5464731347084286E-4</v>
      </c>
      <c r="J91" s="725">
        <f t="shared" si="2"/>
        <v>0.71845400000000004</v>
      </c>
      <c r="K91" s="725">
        <f t="shared" si="3"/>
        <v>1.1466574934067195</v>
      </c>
      <c r="L91" s="726">
        <f t="shared" si="24"/>
        <v>2.5651114934067198</v>
      </c>
      <c r="M91" s="725">
        <f t="shared" si="4"/>
        <v>1.1543001720330239E-3</v>
      </c>
      <c r="N91" s="725">
        <f t="shared" si="5"/>
        <v>2.6127950021968115E-3</v>
      </c>
      <c r="O91" s="725">
        <f t="shared" si="6"/>
        <v>1.3973139750445633E-4</v>
      </c>
      <c r="P91" s="725">
        <f t="shared" si="7"/>
        <v>3.9068265717342916</v>
      </c>
      <c r="Q91" s="725">
        <f t="shared" si="28"/>
        <v>12.995673629278274</v>
      </c>
      <c r="R91" s="85">
        <f t="shared" si="8"/>
        <v>6.8</v>
      </c>
      <c r="S91" s="726">
        <f t="shared" si="9"/>
        <v>3.3311119165469101E-4</v>
      </c>
      <c r="T91" s="725">
        <f t="shared" si="10"/>
        <v>0.54922315892055851</v>
      </c>
      <c r="U91" s="725">
        <f t="shared" si="11"/>
        <v>0.74998718588921653</v>
      </c>
      <c r="V91" s="726">
        <f t="shared" si="25"/>
        <v>1.9992103448097751</v>
      </c>
      <c r="W91" s="725">
        <f t="shared" si="12"/>
        <v>8.9964465516439876E-4</v>
      </c>
      <c r="X91" s="725">
        <f t="shared" si="13"/>
        <v>2.6638373613118793E-3</v>
      </c>
      <c r="Y91" s="725">
        <f t="shared" si="14"/>
        <v>1.3968745773267337E-4</v>
      </c>
      <c r="Z91" s="725">
        <f t="shared" si="15"/>
        <v>3.703213413980734</v>
      </c>
      <c r="AA91" s="725">
        <f t="shared" si="29"/>
        <v>8.3106492929095008</v>
      </c>
      <c r="AB91" s="85">
        <f t="shared" si="16"/>
        <v>5.9</v>
      </c>
      <c r="AC91" s="726">
        <f t="shared" si="17"/>
        <v>5.2089844925808136E-4</v>
      </c>
      <c r="AD91" s="725">
        <f t="shared" si="18"/>
        <v>0.35122466041694134</v>
      </c>
      <c r="AE91" s="725">
        <f t="shared" si="19"/>
        <v>0.58639152913555936</v>
      </c>
      <c r="AF91" s="726">
        <f t="shared" si="26"/>
        <v>1.6376161895525008</v>
      </c>
      <c r="AG91" s="725">
        <f t="shared" si="20"/>
        <v>7.3692728529862529E-4</v>
      </c>
      <c r="AH91" s="725">
        <f t="shared" si="21"/>
        <v>3.4121269344713034E-3</v>
      </c>
      <c r="AI91" s="725">
        <f t="shared" si="22"/>
        <v>1.3958229686841548E-4</v>
      </c>
      <c r="AJ91" s="725">
        <f t="shared" si="23"/>
        <v>4.2887856172743852</v>
      </c>
      <c r="AK91" s="725"/>
      <c r="AL91" s="725"/>
      <c r="AM91" s="725"/>
      <c r="AN91" s="725"/>
      <c r="AO91" s="725"/>
      <c r="AP91" s="725"/>
      <c r="AQ91" s="725"/>
      <c r="AR91" s="463"/>
      <c r="AS91" s="61"/>
      <c r="AT91" s="61"/>
      <c r="AU91" s="61"/>
      <c r="AV91" s="61"/>
    </row>
    <row r="92" spans="2:48" x14ac:dyDescent="0.25">
      <c r="B92" s="720"/>
      <c r="C92" s="722"/>
      <c r="D92" s="721"/>
      <c r="E92" s="162"/>
      <c r="F92" s="725"/>
      <c r="G92" s="725">
        <f t="shared" si="27"/>
        <v>16</v>
      </c>
      <c r="H92" s="85">
        <f t="shared" si="0"/>
        <v>6.1</v>
      </c>
      <c r="I92" s="726">
        <f t="shared" si="1"/>
        <v>2.7056277056277056E-4</v>
      </c>
      <c r="J92" s="725">
        <f t="shared" si="2"/>
        <v>0.6761919999999999</v>
      </c>
      <c r="K92" s="725">
        <f t="shared" si="3"/>
        <v>1.2183235867446394</v>
      </c>
      <c r="L92" s="726">
        <f t="shared" si="24"/>
        <v>2.594515586744639</v>
      </c>
      <c r="M92" s="725">
        <f t="shared" si="4"/>
        <v>1.1675320140350875E-3</v>
      </c>
      <c r="N92" s="725">
        <f t="shared" si="5"/>
        <v>2.8079173016716872E-3</v>
      </c>
      <c r="O92" s="725">
        <f t="shared" si="6"/>
        <v>1.3972248484848485E-4</v>
      </c>
      <c r="P92" s="725">
        <f t="shared" si="7"/>
        <v>4.1151718005552604</v>
      </c>
      <c r="Q92" s="725">
        <f t="shared" si="28"/>
        <v>11.995673629278274</v>
      </c>
      <c r="R92" s="85">
        <f t="shared" si="8"/>
        <v>6.3</v>
      </c>
      <c r="S92" s="726">
        <f t="shared" si="9"/>
        <v>3.60880469308399E-4</v>
      </c>
      <c r="T92" s="725">
        <f t="shared" si="10"/>
        <v>0.50696115892055849</v>
      </c>
      <c r="U92" s="725">
        <f t="shared" si="11"/>
        <v>0.81250865896920232</v>
      </c>
      <c r="V92" s="726">
        <f t="shared" si="25"/>
        <v>2.0194698178897608</v>
      </c>
      <c r="W92" s="725">
        <f t="shared" si="12"/>
        <v>9.0876141805039227E-4</v>
      </c>
      <c r="X92" s="725">
        <f t="shared" si="13"/>
        <v>2.9151488625368156E-3</v>
      </c>
      <c r="Y92" s="725">
        <f t="shared" si="14"/>
        <v>1.3967190693718728E-4</v>
      </c>
      <c r="Z92" s="725">
        <f t="shared" si="15"/>
        <v>3.9636327654356931</v>
      </c>
      <c r="AA92" s="725">
        <f t="shared" si="29"/>
        <v>7.3106492929095008</v>
      </c>
      <c r="AB92" s="85">
        <f t="shared" si="16"/>
        <v>5.2</v>
      </c>
      <c r="AC92" s="726">
        <f t="shared" si="17"/>
        <v>5.9215045826407941E-4</v>
      </c>
      <c r="AD92" s="725">
        <f t="shared" si="18"/>
        <v>0.30896266041694126</v>
      </c>
      <c r="AE92" s="725">
        <f t="shared" si="19"/>
        <v>0.66660212406921227</v>
      </c>
      <c r="AF92" s="726">
        <f t="shared" si="26"/>
        <v>1.6755647844861534</v>
      </c>
      <c r="AG92" s="725">
        <f t="shared" si="20"/>
        <v>7.5400415301876906E-4</v>
      </c>
      <c r="AH92" s="725">
        <f t="shared" si="21"/>
        <v>3.9687458199385165E-3</v>
      </c>
      <c r="AI92" s="725">
        <f t="shared" si="22"/>
        <v>1.3954239574337211E-4</v>
      </c>
      <c r="AJ92" s="725">
        <f t="shared" si="23"/>
        <v>4.8624724578057714</v>
      </c>
      <c r="AK92" s="725"/>
      <c r="AL92" s="725"/>
      <c r="AM92" s="725"/>
      <c r="AN92" s="725"/>
      <c r="AO92" s="725"/>
      <c r="AP92" s="725"/>
      <c r="AQ92" s="725"/>
      <c r="AR92" s="463"/>
      <c r="AS92" s="61"/>
      <c r="AT92" s="61"/>
      <c r="AU92" s="61"/>
      <c r="AV92" s="61"/>
    </row>
    <row r="93" spans="2:48" x14ac:dyDescent="0.25">
      <c r="B93" s="720"/>
      <c r="C93" s="722"/>
      <c r="D93" s="721"/>
      <c r="E93" s="162"/>
      <c r="F93" s="725"/>
      <c r="G93" s="725">
        <f t="shared" si="27"/>
        <v>15</v>
      </c>
      <c r="H93" s="85">
        <f t="shared" si="0"/>
        <v>5.8</v>
      </c>
      <c r="I93" s="726">
        <f t="shared" si="1"/>
        <v>2.886002886002886E-4</v>
      </c>
      <c r="J93" s="725">
        <f t="shared" si="2"/>
        <v>0.63392999999999999</v>
      </c>
      <c r="K93" s="725">
        <f t="shared" si="3"/>
        <v>1.2995451591942817</v>
      </c>
      <c r="L93" s="726">
        <f t="shared" si="24"/>
        <v>2.6334751591942815</v>
      </c>
      <c r="M93" s="725">
        <f t="shared" si="4"/>
        <v>1.1850638216374266E-3</v>
      </c>
      <c r="N93" s="725">
        <f t="shared" si="5"/>
        <v>3.0400867638606423E-3</v>
      </c>
      <c r="O93" s="725">
        <f t="shared" si="6"/>
        <v>1.3971238383838383E-4</v>
      </c>
      <c r="P93" s="725">
        <f t="shared" si="7"/>
        <v>4.3648629693364525</v>
      </c>
      <c r="Q93" s="725">
        <f t="shared" si="28"/>
        <v>10.995673629278274</v>
      </c>
      <c r="R93" s="85">
        <f t="shared" si="8"/>
        <v>5.9</v>
      </c>
      <c r="S93" s="726">
        <f t="shared" si="9"/>
        <v>3.937006931051002E-4</v>
      </c>
      <c r="T93" s="725">
        <f t="shared" si="10"/>
        <v>0.46469915892055841</v>
      </c>
      <c r="U93" s="725">
        <f t="shared" si="11"/>
        <v>0.88640214529510852</v>
      </c>
      <c r="V93" s="726">
        <f t="shared" si="25"/>
        <v>2.0511013042156669</v>
      </c>
      <c r="W93" s="725">
        <f t="shared" si="12"/>
        <v>9.2299558689705008E-4</v>
      </c>
      <c r="X93" s="725">
        <f t="shared" si="13"/>
        <v>3.2300800203939324E-3</v>
      </c>
      <c r="Y93" s="725">
        <f t="shared" si="14"/>
        <v>1.3965352761186113E-4</v>
      </c>
      <c r="Z93" s="725">
        <f t="shared" si="15"/>
        <v>4.2927879911293658</v>
      </c>
      <c r="AA93" s="725">
        <f t="shared" si="29"/>
        <v>6.3106492929095008</v>
      </c>
      <c r="AB93" s="85">
        <f t="shared" si="16"/>
        <v>4.4000000000000004</v>
      </c>
      <c r="AC93" s="726">
        <f t="shared" si="17"/>
        <v>6.8598398169080605E-4</v>
      </c>
      <c r="AD93" s="725">
        <f t="shared" si="18"/>
        <v>0.26670066041694135</v>
      </c>
      <c r="AE93" s="725">
        <f t="shared" si="19"/>
        <v>0.77223342968117048</v>
      </c>
      <c r="AF93" s="726">
        <f t="shared" si="26"/>
        <v>1.7389340900981116</v>
      </c>
      <c r="AG93" s="725">
        <f t="shared" si="20"/>
        <v>7.8252034054415015E-4</v>
      </c>
      <c r="AH93" s="725">
        <f t="shared" si="21"/>
        <v>4.7715237240935262E-3</v>
      </c>
      <c r="AI93" s="725">
        <f t="shared" si="22"/>
        <v>1.3948984897025314E-4</v>
      </c>
      <c r="AJ93" s="725">
        <f t="shared" si="23"/>
        <v>5.6937564484760603</v>
      </c>
      <c r="AK93" s="725"/>
      <c r="AL93" s="725"/>
      <c r="AM93" s="725"/>
      <c r="AN93" s="725"/>
      <c r="AO93" s="725"/>
      <c r="AP93" s="725"/>
      <c r="AQ93" s="725"/>
      <c r="AR93" s="463"/>
      <c r="AS93" s="61"/>
      <c r="AT93" s="61"/>
      <c r="AU93" s="61"/>
      <c r="AV93" s="61"/>
    </row>
    <row r="94" spans="2:48" x14ac:dyDescent="0.25">
      <c r="B94" s="720"/>
      <c r="C94" s="722"/>
      <c r="D94" s="721"/>
      <c r="E94" s="162"/>
      <c r="F94" s="725"/>
      <c r="G94" s="725">
        <f t="shared" si="27"/>
        <v>14</v>
      </c>
      <c r="H94" s="85">
        <f t="shared" si="0"/>
        <v>5.4</v>
      </c>
      <c r="I94" s="726">
        <f t="shared" si="1"/>
        <v>3.0921459492888067E-4</v>
      </c>
      <c r="J94" s="725">
        <f t="shared" si="2"/>
        <v>0.59166800000000008</v>
      </c>
      <c r="K94" s="725">
        <f t="shared" si="3"/>
        <v>1.3923698134224449</v>
      </c>
      <c r="L94" s="726">
        <f t="shared" si="24"/>
        <v>2.684037813422445</v>
      </c>
      <c r="M94" s="725">
        <f t="shared" si="4"/>
        <v>1.2078170160401002E-3</v>
      </c>
      <c r="N94" s="725">
        <f t="shared" si="5"/>
        <v>3.3197746610048795E-3</v>
      </c>
      <c r="O94" s="725">
        <f t="shared" si="6"/>
        <v>1.3970083982683981E-4</v>
      </c>
      <c r="P94" s="725">
        <f t="shared" si="7"/>
        <v>4.6672925168718198</v>
      </c>
      <c r="Q94" s="725">
        <f t="shared" si="28"/>
        <v>9.995673629278274</v>
      </c>
      <c r="R94" s="85">
        <f t="shared" si="8"/>
        <v>5.3</v>
      </c>
      <c r="S94" s="726">
        <f t="shared" si="9"/>
        <v>4.3308780273940378E-4</v>
      </c>
      <c r="T94" s="725">
        <f t="shared" si="10"/>
        <v>0.42243715892055844</v>
      </c>
      <c r="U94" s="725">
        <f t="shared" si="11"/>
        <v>0.97508072546590907</v>
      </c>
      <c r="V94" s="726">
        <f t="shared" si="25"/>
        <v>2.0975178843864675</v>
      </c>
      <c r="W94" s="725">
        <f t="shared" si="12"/>
        <v>9.4388304797391029E-4</v>
      </c>
      <c r="X94" s="725">
        <f t="shared" si="13"/>
        <v>3.6336376470221519E-3</v>
      </c>
      <c r="Y94" s="725">
        <f t="shared" si="14"/>
        <v>1.3963147083046593E-4</v>
      </c>
      <c r="Z94" s="725">
        <f t="shared" si="15"/>
        <v>4.7172215348229019</v>
      </c>
      <c r="AA94" s="725">
        <f t="shared" si="29"/>
        <v>5.3106492929095008</v>
      </c>
      <c r="AB94" s="85">
        <f t="shared" si="16"/>
        <v>3.6</v>
      </c>
      <c r="AC94" s="726">
        <f t="shared" si="17"/>
        <v>8.1515537747600599E-4</v>
      </c>
      <c r="AD94" s="725">
        <f t="shared" si="18"/>
        <v>0.22443866041694133</v>
      </c>
      <c r="AE94" s="725">
        <f t="shared" si="19"/>
        <v>0.91764567347445114</v>
      </c>
      <c r="AF94" s="726">
        <f t="shared" si="26"/>
        <v>1.8420843338913924</v>
      </c>
      <c r="AG94" s="725">
        <f t="shared" si="20"/>
        <v>8.2893795025112656E-4</v>
      </c>
      <c r="AH94" s="725">
        <f t="shared" si="21"/>
        <v>6.0063398021435004E-3</v>
      </c>
      <c r="AI94" s="725">
        <f t="shared" si="22"/>
        <v>1.3941751298861342E-4</v>
      </c>
      <c r="AJ94" s="725">
        <f t="shared" si="23"/>
        <v>6.9749785922214658</v>
      </c>
      <c r="AK94" s="725"/>
      <c r="AL94" s="725"/>
      <c r="AM94" s="725"/>
      <c r="AN94" s="725"/>
      <c r="AO94" s="725"/>
      <c r="AP94" s="725"/>
      <c r="AQ94" s="725"/>
      <c r="AR94" s="463"/>
      <c r="AS94" s="61"/>
      <c r="AT94" s="61"/>
      <c r="AU94" s="61"/>
      <c r="AV94" s="61"/>
    </row>
    <row r="95" spans="2:48" x14ac:dyDescent="0.25">
      <c r="B95" s="720"/>
      <c r="C95" s="722"/>
      <c r="D95" s="721"/>
      <c r="E95" s="162"/>
      <c r="F95" s="725"/>
      <c r="G95" s="725">
        <f t="shared" si="27"/>
        <v>13</v>
      </c>
      <c r="H95" s="85">
        <f t="shared" si="0"/>
        <v>5</v>
      </c>
      <c r="I95" s="726">
        <f t="shared" si="1"/>
        <v>3.33000333000333E-4</v>
      </c>
      <c r="J95" s="725">
        <f t="shared" si="2"/>
        <v>0.54940599999999995</v>
      </c>
      <c r="K95" s="725">
        <f t="shared" si="3"/>
        <v>1.4994751836857099</v>
      </c>
      <c r="L95" s="726">
        <f t="shared" si="24"/>
        <v>2.7488811836857101</v>
      </c>
      <c r="M95" s="725">
        <f t="shared" si="4"/>
        <v>1.2369965326585696E-3</v>
      </c>
      <c r="N95" s="725">
        <f t="shared" si="5"/>
        <v>3.661513398182764E-3</v>
      </c>
      <c r="O95" s="725">
        <f t="shared" si="6"/>
        <v>1.396875198135198E-4</v>
      </c>
      <c r="P95" s="725">
        <f t="shared" si="7"/>
        <v>5.0381974506548532</v>
      </c>
      <c r="Q95" s="725">
        <f t="shared" si="28"/>
        <v>8.995673629278274</v>
      </c>
      <c r="R95" s="85">
        <f t="shared" si="8"/>
        <v>4.8</v>
      </c>
      <c r="S95" s="726">
        <f t="shared" si="9"/>
        <v>4.8123181291445395E-4</v>
      </c>
      <c r="T95" s="725">
        <f t="shared" si="10"/>
        <v>0.38017515892055842</v>
      </c>
      <c r="U95" s="725">
        <f t="shared" si="11"/>
        <v>1.0834751343395599</v>
      </c>
      <c r="V95" s="726">
        <f t="shared" si="25"/>
        <v>2.163650293260118</v>
      </c>
      <c r="W95" s="725">
        <f t="shared" si="12"/>
        <v>9.7364263196705306E-4</v>
      </c>
      <c r="X95" s="725">
        <f t="shared" si="13"/>
        <v>4.164869412553826E-3</v>
      </c>
      <c r="Y95" s="725">
        <f t="shared" si="14"/>
        <v>1.396045101847679E-4</v>
      </c>
      <c r="Z95" s="725">
        <f t="shared" si="15"/>
        <v>5.2781995643343986</v>
      </c>
      <c r="AA95" s="725">
        <f t="shared" si="29"/>
        <v>4.3106492929095008</v>
      </c>
      <c r="AB95" s="85">
        <f t="shared" si="16"/>
        <v>2.8</v>
      </c>
      <c r="AC95" s="726">
        <f t="shared" si="17"/>
        <v>1.0042580676013287E-3</v>
      </c>
      <c r="AD95" s="725">
        <f t="shared" si="18"/>
        <v>0.18217666041694133</v>
      </c>
      <c r="AE95" s="725">
        <f t="shared" si="19"/>
        <v>1.1305244328260571</v>
      </c>
      <c r="AF95" s="726">
        <f t="shared" si="26"/>
        <v>2.0127010932429985</v>
      </c>
      <c r="AG95" s="725">
        <f t="shared" si="20"/>
        <v>9.0571549195934931E-4</v>
      </c>
      <c r="AH95" s="725">
        <f t="shared" si="21"/>
        <v>8.0850852422371805E-3</v>
      </c>
      <c r="AI95" s="725">
        <f t="shared" si="22"/>
        <v>1.3931161548214323E-4</v>
      </c>
      <c r="AJ95" s="725">
        <f t="shared" si="23"/>
        <v>9.13048825401005</v>
      </c>
      <c r="AK95" s="725"/>
      <c r="AL95" s="725"/>
      <c r="AM95" s="725"/>
      <c r="AN95" s="725"/>
      <c r="AO95" s="725"/>
      <c r="AP95" s="725"/>
      <c r="AQ95" s="725"/>
      <c r="AR95" s="463"/>
      <c r="AS95" s="61"/>
      <c r="AT95" s="61"/>
      <c r="AU95" s="61"/>
      <c r="AV95" s="61"/>
    </row>
    <row r="96" spans="2:48" x14ac:dyDescent="0.25">
      <c r="B96" s="720"/>
      <c r="C96" s="722"/>
      <c r="D96" s="721"/>
      <c r="E96" s="162"/>
      <c r="F96" s="725"/>
      <c r="G96" s="725">
        <f t="shared" si="27"/>
        <v>12</v>
      </c>
      <c r="H96" s="85">
        <f t="shared" si="0"/>
        <v>4.5999999999999996</v>
      </c>
      <c r="I96" s="726">
        <f t="shared" si="1"/>
        <v>3.6075036075036075E-4</v>
      </c>
      <c r="J96" s="725">
        <f t="shared" si="2"/>
        <v>0.50714399999999993</v>
      </c>
      <c r="K96" s="725">
        <f t="shared" si="3"/>
        <v>1.6244314489928524</v>
      </c>
      <c r="L96" s="726">
        <f t="shared" si="24"/>
        <v>2.8315754489928526</v>
      </c>
      <c r="M96" s="725">
        <f t="shared" si="4"/>
        <v>1.2742089520467836E-3</v>
      </c>
      <c r="N96" s="725">
        <f t="shared" si="5"/>
        <v>4.0859674588641448E-3</v>
      </c>
      <c r="O96" s="725">
        <f t="shared" si="6"/>
        <v>1.3967197979797977E-4</v>
      </c>
      <c r="P96" s="725">
        <f t="shared" si="7"/>
        <v>5.499848390708908</v>
      </c>
      <c r="Q96" s="725">
        <f t="shared" si="28"/>
        <v>7.995673629278274</v>
      </c>
      <c r="R96" s="85">
        <f t="shared" si="8"/>
        <v>4.2</v>
      </c>
      <c r="S96" s="726">
        <f t="shared" si="9"/>
        <v>5.4141833818135531E-4</v>
      </c>
      <c r="T96" s="725">
        <f t="shared" si="10"/>
        <v>0.33791315892055845</v>
      </c>
      <c r="U96" s="725">
        <f t="shared" si="11"/>
        <v>1.2189828081860923</v>
      </c>
      <c r="V96" s="726">
        <f t="shared" si="25"/>
        <v>2.2568959671066509</v>
      </c>
      <c r="W96" s="725">
        <f t="shared" si="12"/>
        <v>1.0156031851979929E-3</v>
      </c>
      <c r="X96" s="725">
        <f t="shared" si="13"/>
        <v>4.8876994558363423E-3</v>
      </c>
      <c r="Y96" s="725">
        <f t="shared" si="14"/>
        <v>1.3957080573061842E-4</v>
      </c>
      <c r="Z96" s="725">
        <f t="shared" si="15"/>
        <v>6.0429746208323145</v>
      </c>
      <c r="AA96" s="725">
        <f t="shared" si="29"/>
        <v>3.3106492929095008</v>
      </c>
      <c r="AB96" s="85">
        <f t="shared" si="16"/>
        <v>1.9</v>
      </c>
      <c r="AC96" s="726">
        <f t="shared" si="17"/>
        <v>1.3075997926678205E-3</v>
      </c>
      <c r="AD96" s="725">
        <f t="shared" si="18"/>
        <v>0.13991466041694134</v>
      </c>
      <c r="AE96" s="725">
        <f t="shared" si="19"/>
        <v>1.4720056145529554</v>
      </c>
      <c r="AF96" s="726">
        <f t="shared" si="26"/>
        <v>2.3119202749698968</v>
      </c>
      <c r="AG96" s="725">
        <f t="shared" si="20"/>
        <v>1.0403641237364536E-3</v>
      </c>
      <c r="AH96" s="725">
        <f t="shared" si="21"/>
        <v>1.209226588886067E-2</v>
      </c>
      <c r="AI96" s="725">
        <f t="shared" si="22"/>
        <v>1.3914174411610601E-4</v>
      </c>
      <c r="AJ96" s="725">
        <f t="shared" si="23"/>
        <v>13.272301992395104</v>
      </c>
      <c r="AK96" s="725"/>
      <c r="AL96" s="725"/>
      <c r="AM96" s="725"/>
      <c r="AN96" s="725"/>
      <c r="AO96" s="725"/>
      <c r="AP96" s="725"/>
      <c r="AQ96" s="725"/>
      <c r="AR96" s="463"/>
      <c r="AS96" s="61"/>
      <c r="AT96" s="61"/>
      <c r="AU96" s="61"/>
      <c r="AV96" s="61"/>
    </row>
    <row r="97" spans="2:48" x14ac:dyDescent="0.25">
      <c r="B97" s="720"/>
      <c r="C97" s="722"/>
      <c r="D97" s="721"/>
      <c r="E97" s="162"/>
      <c r="F97" s="725"/>
      <c r="G97" s="725">
        <f t="shared" si="27"/>
        <v>11</v>
      </c>
      <c r="H97" s="85">
        <f t="shared" si="0"/>
        <v>4.0999999999999996</v>
      </c>
      <c r="I97" s="726">
        <f t="shared" si="1"/>
        <v>3.9354584809130262E-4</v>
      </c>
      <c r="J97" s="725">
        <f t="shared" si="2"/>
        <v>0.46488199999999996</v>
      </c>
      <c r="K97" s="725">
        <f t="shared" si="3"/>
        <v>1.7721070352649297</v>
      </c>
      <c r="L97" s="726">
        <f t="shared" si="24"/>
        <v>2.9369890352649297</v>
      </c>
      <c r="M97" s="725">
        <f t="shared" si="4"/>
        <v>1.3216450658692183E-3</v>
      </c>
      <c r="N97" s="725">
        <f t="shared" si="5"/>
        <v>4.623359362872774E-3</v>
      </c>
      <c r="O97" s="725">
        <f t="shared" si="6"/>
        <v>1.3965361432506887E-4</v>
      </c>
      <c r="P97" s="725">
        <f t="shared" si="7"/>
        <v>6.0846580430670612</v>
      </c>
      <c r="Q97" s="725">
        <f t="shared" si="28"/>
        <v>6.995673629278274</v>
      </c>
      <c r="R97" s="85">
        <f t="shared" si="8"/>
        <v>3.5</v>
      </c>
      <c r="S97" s="726">
        <f t="shared" si="9"/>
        <v>6.1881164822878416E-4</v>
      </c>
      <c r="T97" s="725">
        <f t="shared" si="10"/>
        <v>0.29565115892055843</v>
      </c>
      <c r="U97" s="725">
        <f t="shared" si="11"/>
        <v>1.3932309039069117</v>
      </c>
      <c r="V97" s="726">
        <f t="shared" si="25"/>
        <v>2.3888820628274701</v>
      </c>
      <c r="W97" s="725">
        <f t="shared" si="12"/>
        <v>1.0749969282723615E-3</v>
      </c>
      <c r="X97" s="725">
        <f t="shared" si="13"/>
        <v>5.9130721868897789E-3</v>
      </c>
      <c r="Y97" s="725">
        <f t="shared" si="14"/>
        <v>1.3952746547699188E-4</v>
      </c>
      <c r="Z97" s="725">
        <f t="shared" si="15"/>
        <v>7.1277227294872096</v>
      </c>
      <c r="AA97" s="725">
        <f t="shared" si="29"/>
        <v>2.3106492929095008</v>
      </c>
      <c r="AB97" s="85">
        <f t="shared" si="16"/>
        <v>1.1000000000000001</v>
      </c>
      <c r="AC97" s="726">
        <f t="shared" si="17"/>
        <v>1.8735012458569063E-3</v>
      </c>
      <c r="AD97" s="725">
        <f t="shared" si="18"/>
        <v>9.7652660416941317E-2</v>
      </c>
      <c r="AE97" s="725">
        <f t="shared" si="19"/>
        <v>2.1090584200435929</v>
      </c>
      <c r="AF97" s="726">
        <f t="shared" si="26"/>
        <v>2.9067110804605343</v>
      </c>
      <c r="AG97" s="725">
        <f t="shared" si="20"/>
        <v>1.3080199862072403E-3</v>
      </c>
      <c r="AH97" s="725">
        <f t="shared" si="21"/>
        <v>2.1782907322355542E-2</v>
      </c>
      <c r="AI97" s="725">
        <f t="shared" si="22"/>
        <v>1.3882483930232012E-4</v>
      </c>
      <c r="AJ97" s="725">
        <f t="shared" si="23"/>
        <v>23.230580922887853</v>
      </c>
      <c r="AK97" s="725"/>
      <c r="AL97" s="725"/>
      <c r="AM97" s="725"/>
      <c r="AN97" s="725"/>
      <c r="AO97" s="725"/>
      <c r="AP97" s="725"/>
      <c r="AQ97" s="725"/>
      <c r="AR97" s="463"/>
      <c r="AS97" s="61"/>
      <c r="AT97" s="61"/>
      <c r="AU97" s="61"/>
      <c r="AV97" s="61"/>
    </row>
    <row r="98" spans="2:48" x14ac:dyDescent="0.25">
      <c r="B98" s="720"/>
      <c r="C98" s="722"/>
      <c r="D98" s="721"/>
      <c r="E98" s="162"/>
      <c r="F98" s="725"/>
      <c r="G98" s="725">
        <f t="shared" si="27"/>
        <v>11</v>
      </c>
      <c r="H98" s="85">
        <f t="shared" si="0"/>
        <v>4.0999999999999996</v>
      </c>
      <c r="I98" s="726">
        <f t="shared" si="1"/>
        <v>3.9354584809130262E-4</v>
      </c>
      <c r="J98" s="725">
        <f t="shared" si="2"/>
        <v>0.46488199999999996</v>
      </c>
      <c r="K98" s="725">
        <f t="shared" si="3"/>
        <v>1.7721070352649297</v>
      </c>
      <c r="L98" s="726">
        <f t="shared" si="24"/>
        <v>2.9369890352649297</v>
      </c>
      <c r="M98" s="725">
        <f t="shared" si="4"/>
        <v>1.3216450658692183E-3</v>
      </c>
      <c r="N98" s="725">
        <f t="shared" si="5"/>
        <v>4.623359362872774E-3</v>
      </c>
      <c r="O98" s="725">
        <f t="shared" si="6"/>
        <v>1.3965361432506887E-4</v>
      </c>
      <c r="P98" s="725">
        <f t="shared" si="7"/>
        <v>6.0846580430670612</v>
      </c>
      <c r="Q98" s="725">
        <f t="shared" si="28"/>
        <v>5.995673629278274</v>
      </c>
      <c r="R98" s="85">
        <f t="shared" si="8"/>
        <v>2.9</v>
      </c>
      <c r="S98" s="726">
        <f t="shared" si="9"/>
        <v>7.220213435008855E-4</v>
      </c>
      <c r="T98" s="725">
        <f t="shared" si="10"/>
        <v>0.25338915892055841</v>
      </c>
      <c r="U98" s="725">
        <f t="shared" si="11"/>
        <v>1.6256036096364965</v>
      </c>
      <c r="V98" s="726">
        <f t="shared" si="25"/>
        <v>2.5789927685570548</v>
      </c>
      <c r="W98" s="725">
        <f t="shared" si="12"/>
        <v>1.1605467458506746E-3</v>
      </c>
      <c r="X98" s="725">
        <f t="shared" si="13"/>
        <v>7.4483512945305317E-3</v>
      </c>
      <c r="Y98" s="725">
        <f t="shared" si="14"/>
        <v>1.3946966804763948E-4</v>
      </c>
      <c r="Z98" s="725">
        <f t="shared" si="15"/>
        <v>8.748551654706274</v>
      </c>
      <c r="AA98" s="725">
        <f t="shared" si="29"/>
        <v>2.3106492929095008</v>
      </c>
      <c r="AB98" s="85">
        <f t="shared" si="16"/>
        <v>1.1000000000000001</v>
      </c>
      <c r="AC98" s="726">
        <f t="shared" si="17"/>
        <v>1.8735012458569063E-3</v>
      </c>
      <c r="AD98" s="725">
        <f t="shared" si="18"/>
        <v>9.7652660416941317E-2</v>
      </c>
      <c r="AE98" s="725">
        <f t="shared" si="19"/>
        <v>2.1090584200435929</v>
      </c>
      <c r="AF98" s="726">
        <f t="shared" si="26"/>
        <v>2.9067110804605343</v>
      </c>
      <c r="AG98" s="725">
        <f t="shared" si="20"/>
        <v>1.3080199862072403E-3</v>
      </c>
      <c r="AH98" s="725">
        <f t="shared" si="21"/>
        <v>2.1782907322355542E-2</v>
      </c>
      <c r="AI98" s="725">
        <f t="shared" si="22"/>
        <v>1.3882483930232012E-4</v>
      </c>
      <c r="AJ98" s="725">
        <f t="shared" si="23"/>
        <v>23.230580922887853</v>
      </c>
      <c r="AK98" s="725"/>
      <c r="AL98" s="725"/>
      <c r="AM98" s="725"/>
      <c r="AN98" s="725"/>
      <c r="AO98" s="725"/>
      <c r="AP98" s="725"/>
      <c r="AQ98" s="725"/>
      <c r="AR98" s="463"/>
      <c r="AS98" s="61"/>
      <c r="AT98" s="61"/>
      <c r="AU98" s="61"/>
      <c r="AV98" s="61"/>
    </row>
    <row r="99" spans="2:48" x14ac:dyDescent="0.25">
      <c r="B99" s="720"/>
      <c r="C99" s="722"/>
      <c r="D99" s="721"/>
      <c r="E99" s="162"/>
      <c r="F99" s="725"/>
      <c r="G99" s="725">
        <f t="shared" si="27"/>
        <v>11</v>
      </c>
      <c r="H99" s="85">
        <f t="shared" si="0"/>
        <v>4.0999999999999996</v>
      </c>
      <c r="I99" s="726">
        <f t="shared" si="1"/>
        <v>3.9354584809130262E-4</v>
      </c>
      <c r="J99" s="725">
        <f t="shared" si="2"/>
        <v>0.46488199999999996</v>
      </c>
      <c r="K99" s="725">
        <f t="shared" si="3"/>
        <v>1.7721070352649297</v>
      </c>
      <c r="L99" s="726">
        <f t="shared" si="24"/>
        <v>2.9369890352649297</v>
      </c>
      <c r="M99" s="725">
        <f t="shared" si="4"/>
        <v>1.3216450658692183E-3</v>
      </c>
      <c r="N99" s="725">
        <f t="shared" si="5"/>
        <v>4.623359362872774E-3</v>
      </c>
      <c r="O99" s="725">
        <f t="shared" si="6"/>
        <v>1.3965361432506887E-4</v>
      </c>
      <c r="P99" s="725">
        <f t="shared" si="7"/>
        <v>6.0846580430670612</v>
      </c>
      <c r="Q99" s="725">
        <f t="shared" si="28"/>
        <v>4.995673629278274</v>
      </c>
      <c r="R99" s="85">
        <f t="shared" si="8"/>
        <v>2.2000000000000002</v>
      </c>
      <c r="S99" s="726">
        <f t="shared" si="9"/>
        <v>8.665506696901138E-4</v>
      </c>
      <c r="T99" s="725">
        <f t="shared" si="10"/>
        <v>0.21112715892055842</v>
      </c>
      <c r="U99" s="725">
        <f t="shared" si="11"/>
        <v>1.9510058937467467</v>
      </c>
      <c r="V99" s="726">
        <f t="shared" si="25"/>
        <v>2.8621330526673052</v>
      </c>
      <c r="W99" s="725">
        <f t="shared" si="12"/>
        <v>1.2879598737002872E-3</v>
      </c>
      <c r="X99" s="725">
        <f t="shared" si="13"/>
        <v>9.9207332541242522E-3</v>
      </c>
      <c r="Y99" s="725">
        <f t="shared" si="14"/>
        <v>1.3938873162497352E-4</v>
      </c>
      <c r="Z99" s="725">
        <f t="shared" si="15"/>
        <v>11.348346742149609</v>
      </c>
      <c r="AA99" s="725">
        <f t="shared" si="29"/>
        <v>2.3106492929095008</v>
      </c>
      <c r="AB99" s="85">
        <f t="shared" si="16"/>
        <v>1.1000000000000001</v>
      </c>
      <c r="AC99" s="726">
        <f t="shared" si="17"/>
        <v>1.8735012458569063E-3</v>
      </c>
      <c r="AD99" s="725">
        <f t="shared" si="18"/>
        <v>9.7652660416941317E-2</v>
      </c>
      <c r="AE99" s="725">
        <f t="shared" si="19"/>
        <v>2.1090584200435929</v>
      </c>
      <c r="AF99" s="726">
        <f t="shared" si="26"/>
        <v>2.9067110804605343</v>
      </c>
      <c r="AG99" s="725">
        <f t="shared" si="20"/>
        <v>1.3080199862072403E-3</v>
      </c>
      <c r="AH99" s="725">
        <f t="shared" si="21"/>
        <v>2.1782907322355542E-2</v>
      </c>
      <c r="AI99" s="725">
        <f t="shared" si="22"/>
        <v>1.3882483930232012E-4</v>
      </c>
      <c r="AJ99" s="725">
        <f t="shared" si="23"/>
        <v>23.230580922887853</v>
      </c>
      <c r="AK99" s="725"/>
      <c r="AL99" s="725"/>
      <c r="AM99" s="725"/>
      <c r="AN99" s="725"/>
      <c r="AO99" s="725"/>
      <c r="AP99" s="725"/>
      <c r="AQ99" s="725"/>
      <c r="AR99" s="463"/>
      <c r="AS99" s="61"/>
      <c r="AT99" s="61"/>
      <c r="AU99" s="61"/>
      <c r="AV99" s="61"/>
    </row>
    <row r="100" spans="2:48" x14ac:dyDescent="0.25">
      <c r="B100" s="720"/>
      <c r="C100" s="722"/>
      <c r="D100" s="721"/>
      <c r="E100" s="162"/>
      <c r="F100" s="725"/>
      <c r="G100" s="725">
        <f t="shared" si="27"/>
        <v>11</v>
      </c>
      <c r="H100" s="85">
        <f t="shared" si="0"/>
        <v>4.0999999999999996</v>
      </c>
      <c r="I100" s="726">
        <f t="shared" si="1"/>
        <v>3.9354584809130262E-4</v>
      </c>
      <c r="J100" s="725">
        <f t="shared" si="2"/>
        <v>0.46488199999999996</v>
      </c>
      <c r="K100" s="725">
        <f t="shared" si="3"/>
        <v>1.7721070352649297</v>
      </c>
      <c r="L100" s="726">
        <f t="shared" si="24"/>
        <v>2.9369890352649297</v>
      </c>
      <c r="M100" s="725">
        <f t="shared" si="4"/>
        <v>1.3216450658692183E-3</v>
      </c>
      <c r="N100" s="725">
        <f t="shared" si="5"/>
        <v>4.623359362872774E-3</v>
      </c>
      <c r="O100" s="725">
        <f t="shared" si="6"/>
        <v>1.3965361432506887E-4</v>
      </c>
      <c r="P100" s="725">
        <f t="shared" si="7"/>
        <v>6.0846580430670612</v>
      </c>
      <c r="Q100" s="725">
        <f t="shared" si="28"/>
        <v>4.995673629278274</v>
      </c>
      <c r="R100" s="85">
        <f t="shared" si="8"/>
        <v>2.2000000000000002</v>
      </c>
      <c r="S100" s="726">
        <f t="shared" si="9"/>
        <v>8.665506696901138E-4</v>
      </c>
      <c r="T100" s="725">
        <f t="shared" si="10"/>
        <v>0.21112715892055842</v>
      </c>
      <c r="U100" s="725">
        <f t="shared" si="11"/>
        <v>1.9510058937467467</v>
      </c>
      <c r="V100" s="726">
        <f t="shared" si="25"/>
        <v>2.8621330526673052</v>
      </c>
      <c r="W100" s="725">
        <f t="shared" si="12"/>
        <v>1.2879598737002872E-3</v>
      </c>
      <c r="X100" s="725">
        <f t="shared" si="13"/>
        <v>9.9207332541242522E-3</v>
      </c>
      <c r="Y100" s="725">
        <f t="shared" si="14"/>
        <v>1.3938873162497352E-4</v>
      </c>
      <c r="Z100" s="725">
        <f t="shared" si="15"/>
        <v>11.348346742149609</v>
      </c>
      <c r="AA100" s="725">
        <f t="shared" si="29"/>
        <v>2.3106492929095008</v>
      </c>
      <c r="AB100" s="85">
        <f t="shared" si="16"/>
        <v>1.1000000000000001</v>
      </c>
      <c r="AC100" s="726">
        <f t="shared" si="17"/>
        <v>1.8735012458569063E-3</v>
      </c>
      <c r="AD100" s="725">
        <f t="shared" si="18"/>
        <v>9.7652660416941317E-2</v>
      </c>
      <c r="AE100" s="725">
        <f t="shared" si="19"/>
        <v>2.1090584200435929</v>
      </c>
      <c r="AF100" s="726">
        <f t="shared" si="26"/>
        <v>2.9067110804605343</v>
      </c>
      <c r="AG100" s="725">
        <f t="shared" si="20"/>
        <v>1.3080199862072403E-3</v>
      </c>
      <c r="AH100" s="725">
        <f t="shared" si="21"/>
        <v>2.1782907322355542E-2</v>
      </c>
      <c r="AI100" s="725">
        <f t="shared" si="22"/>
        <v>1.3882483930232012E-4</v>
      </c>
      <c r="AJ100" s="725">
        <f t="shared" si="23"/>
        <v>23.230580922887853</v>
      </c>
      <c r="AK100" s="725"/>
      <c r="AL100" s="725"/>
      <c r="AM100" s="725"/>
      <c r="AN100" s="725"/>
      <c r="AO100" s="725"/>
      <c r="AP100" s="725"/>
      <c r="AQ100" s="725"/>
      <c r="AR100" s="463"/>
      <c r="AS100" s="61"/>
      <c r="AT100" s="61"/>
      <c r="AU100" s="61"/>
    </row>
    <row r="101" spans="2:48" x14ac:dyDescent="0.25">
      <c r="B101" s="720"/>
      <c r="C101" s="722"/>
      <c r="D101" s="721"/>
      <c r="E101" s="162"/>
      <c r="F101" s="725"/>
      <c r="G101" s="725">
        <f t="shared" si="27"/>
        <v>11</v>
      </c>
      <c r="H101" s="85">
        <f t="shared" si="0"/>
        <v>4.0999999999999996</v>
      </c>
      <c r="I101" s="726">
        <f t="shared" si="1"/>
        <v>3.9354584809130262E-4</v>
      </c>
      <c r="J101" s="725">
        <f t="shared" si="2"/>
        <v>0.46488199999999996</v>
      </c>
      <c r="K101" s="725">
        <f t="shared" si="3"/>
        <v>1.7721070352649297</v>
      </c>
      <c r="L101" s="726">
        <f t="shared" si="24"/>
        <v>2.9369890352649297</v>
      </c>
      <c r="M101" s="725">
        <f t="shared" si="4"/>
        <v>1.3216450658692183E-3</v>
      </c>
      <c r="N101" s="725">
        <f t="shared" si="5"/>
        <v>4.623359362872774E-3</v>
      </c>
      <c r="O101" s="725">
        <f t="shared" si="6"/>
        <v>1.3965361432506887E-4</v>
      </c>
      <c r="P101" s="725">
        <f t="shared" si="7"/>
        <v>6.0846580430670612</v>
      </c>
      <c r="Q101" s="725">
        <f t="shared" si="28"/>
        <v>4.995673629278274</v>
      </c>
      <c r="R101" s="85">
        <f t="shared" si="8"/>
        <v>2.2000000000000002</v>
      </c>
      <c r="S101" s="726">
        <f t="shared" si="9"/>
        <v>8.665506696901138E-4</v>
      </c>
      <c r="T101" s="725">
        <f t="shared" si="10"/>
        <v>0.21112715892055842</v>
      </c>
      <c r="U101" s="725">
        <f t="shared" si="11"/>
        <v>1.9510058937467467</v>
      </c>
      <c r="V101" s="726">
        <f t="shared" si="25"/>
        <v>2.8621330526673052</v>
      </c>
      <c r="W101" s="725">
        <f t="shared" si="12"/>
        <v>1.2879598737002872E-3</v>
      </c>
      <c r="X101" s="725">
        <f t="shared" si="13"/>
        <v>9.9207332541242522E-3</v>
      </c>
      <c r="Y101" s="725">
        <f t="shared" si="14"/>
        <v>1.3938873162497352E-4</v>
      </c>
      <c r="Z101" s="725">
        <f t="shared" si="15"/>
        <v>11.348346742149609</v>
      </c>
      <c r="AA101" s="725">
        <f t="shared" si="29"/>
        <v>2.3106492929095008</v>
      </c>
      <c r="AB101" s="85">
        <f t="shared" si="16"/>
        <v>1.1000000000000001</v>
      </c>
      <c r="AC101" s="726">
        <f t="shared" si="17"/>
        <v>1.8735012458569063E-3</v>
      </c>
      <c r="AD101" s="725">
        <f t="shared" si="18"/>
        <v>9.7652660416941317E-2</v>
      </c>
      <c r="AE101" s="725">
        <f t="shared" si="19"/>
        <v>2.1090584200435929</v>
      </c>
      <c r="AF101" s="726">
        <f t="shared" si="26"/>
        <v>2.9067110804605343</v>
      </c>
      <c r="AG101" s="725">
        <f t="shared" si="20"/>
        <v>1.3080199862072403E-3</v>
      </c>
      <c r="AH101" s="725">
        <f t="shared" si="21"/>
        <v>2.1782907322355542E-2</v>
      </c>
      <c r="AI101" s="725">
        <f t="shared" si="22"/>
        <v>1.3882483930232012E-4</v>
      </c>
      <c r="AJ101" s="725">
        <f t="shared" si="23"/>
        <v>23.230580922887853</v>
      </c>
      <c r="AK101" s="725"/>
      <c r="AL101" s="725"/>
      <c r="AM101" s="725"/>
      <c r="AN101" s="725"/>
      <c r="AO101" s="725"/>
      <c r="AP101" s="725"/>
      <c r="AQ101" s="725"/>
      <c r="AR101" s="463"/>
      <c r="AS101" s="61"/>
      <c r="AT101" s="61"/>
      <c r="AU101" s="61"/>
    </row>
    <row r="102" spans="2:48" x14ac:dyDescent="0.25">
      <c r="B102" s="720"/>
      <c r="C102" s="722"/>
      <c r="D102" s="721"/>
      <c r="E102" s="162"/>
      <c r="F102" s="725"/>
      <c r="G102" s="725">
        <f t="shared" si="27"/>
        <v>11</v>
      </c>
      <c r="H102" s="85">
        <f t="shared" si="0"/>
        <v>4.0999999999999996</v>
      </c>
      <c r="I102" s="726">
        <f t="shared" si="1"/>
        <v>3.9354584809130262E-4</v>
      </c>
      <c r="J102" s="725">
        <f t="shared" si="2"/>
        <v>0.46488199999999996</v>
      </c>
      <c r="K102" s="725">
        <f t="shared" si="3"/>
        <v>1.7721070352649297</v>
      </c>
      <c r="L102" s="726">
        <f t="shared" si="24"/>
        <v>2.9369890352649297</v>
      </c>
      <c r="M102" s="725">
        <f t="shared" si="4"/>
        <v>1.3216450658692183E-3</v>
      </c>
      <c r="N102" s="725">
        <f t="shared" si="5"/>
        <v>4.623359362872774E-3</v>
      </c>
      <c r="O102" s="725">
        <f t="shared" si="6"/>
        <v>1.3965361432506887E-4</v>
      </c>
      <c r="P102" s="725">
        <f t="shared" si="7"/>
        <v>6.0846580430670612</v>
      </c>
      <c r="Q102" s="725">
        <f t="shared" si="28"/>
        <v>4.995673629278274</v>
      </c>
      <c r="R102" s="85">
        <f t="shared" si="8"/>
        <v>2.2000000000000002</v>
      </c>
      <c r="S102" s="726">
        <f t="shared" si="9"/>
        <v>8.665506696901138E-4</v>
      </c>
      <c r="T102" s="725">
        <f t="shared" si="10"/>
        <v>0.21112715892055842</v>
      </c>
      <c r="U102" s="725">
        <f t="shared" si="11"/>
        <v>1.9510058937467467</v>
      </c>
      <c r="V102" s="726">
        <f t="shared" si="25"/>
        <v>2.8621330526673052</v>
      </c>
      <c r="W102" s="725">
        <f t="shared" si="12"/>
        <v>1.2879598737002872E-3</v>
      </c>
      <c r="X102" s="725">
        <f t="shared" si="13"/>
        <v>9.9207332541242522E-3</v>
      </c>
      <c r="Y102" s="725">
        <f t="shared" si="14"/>
        <v>1.3938873162497352E-4</v>
      </c>
      <c r="Z102" s="725">
        <f t="shared" si="15"/>
        <v>11.348346742149609</v>
      </c>
      <c r="AA102" s="725">
        <f t="shared" si="29"/>
        <v>2.3106492929095008</v>
      </c>
      <c r="AB102" s="85">
        <f t="shared" si="16"/>
        <v>1.1000000000000001</v>
      </c>
      <c r="AC102" s="726">
        <f t="shared" si="17"/>
        <v>1.8735012458569063E-3</v>
      </c>
      <c r="AD102" s="725">
        <f t="shared" si="18"/>
        <v>9.7652660416941317E-2</v>
      </c>
      <c r="AE102" s="725">
        <f t="shared" si="19"/>
        <v>2.1090584200435929</v>
      </c>
      <c r="AF102" s="726">
        <f t="shared" si="26"/>
        <v>2.9067110804605343</v>
      </c>
      <c r="AG102" s="725">
        <f t="shared" si="20"/>
        <v>1.3080199862072403E-3</v>
      </c>
      <c r="AH102" s="725">
        <f t="shared" si="21"/>
        <v>2.1782907322355542E-2</v>
      </c>
      <c r="AI102" s="725">
        <f t="shared" si="22"/>
        <v>1.3882483930232012E-4</v>
      </c>
      <c r="AJ102" s="725">
        <f t="shared" si="23"/>
        <v>23.230580922887853</v>
      </c>
      <c r="AK102" s="725"/>
      <c r="AL102" s="725"/>
      <c r="AM102" s="725"/>
      <c r="AN102" s="725"/>
      <c r="AO102" s="725"/>
      <c r="AP102" s="725"/>
      <c r="AQ102" s="725"/>
      <c r="AR102" s="463"/>
      <c r="AS102" s="61"/>
      <c r="AT102" s="61"/>
      <c r="AU102" s="61"/>
    </row>
    <row r="103" spans="2:48" x14ac:dyDescent="0.25">
      <c r="B103" s="720"/>
      <c r="C103" s="722"/>
      <c r="D103" s="721"/>
      <c r="E103" s="162"/>
      <c r="F103" s="725"/>
      <c r="G103" s="725">
        <f t="shared" si="27"/>
        <v>11</v>
      </c>
      <c r="H103" s="85">
        <f t="shared" si="0"/>
        <v>4.0999999999999996</v>
      </c>
      <c r="I103" s="726">
        <f t="shared" si="1"/>
        <v>3.9354584809130262E-4</v>
      </c>
      <c r="J103" s="725">
        <f t="shared" si="2"/>
        <v>0.46488199999999996</v>
      </c>
      <c r="K103" s="725">
        <f t="shared" si="3"/>
        <v>1.7721070352649297</v>
      </c>
      <c r="L103" s="726">
        <f t="shared" si="24"/>
        <v>2.9369890352649297</v>
      </c>
      <c r="M103" s="725">
        <f t="shared" si="4"/>
        <v>1.3216450658692183E-3</v>
      </c>
      <c r="N103" s="725">
        <f t="shared" si="5"/>
        <v>4.623359362872774E-3</v>
      </c>
      <c r="O103" s="725">
        <f t="shared" si="6"/>
        <v>1.3965361432506887E-4</v>
      </c>
      <c r="P103" s="725">
        <f t="shared" si="7"/>
        <v>6.0846580430670612</v>
      </c>
      <c r="Q103" s="725">
        <f t="shared" si="28"/>
        <v>4.995673629278274</v>
      </c>
      <c r="R103" s="85">
        <f t="shared" si="8"/>
        <v>2.2000000000000002</v>
      </c>
      <c r="S103" s="726">
        <f t="shared" si="9"/>
        <v>8.665506696901138E-4</v>
      </c>
      <c r="T103" s="725">
        <f t="shared" si="10"/>
        <v>0.21112715892055842</v>
      </c>
      <c r="U103" s="725">
        <f t="shared" si="11"/>
        <v>1.9510058937467467</v>
      </c>
      <c r="V103" s="726">
        <f t="shared" si="25"/>
        <v>2.8621330526673052</v>
      </c>
      <c r="W103" s="725">
        <f t="shared" si="12"/>
        <v>1.2879598737002872E-3</v>
      </c>
      <c r="X103" s="725">
        <f t="shared" si="13"/>
        <v>9.9207332541242522E-3</v>
      </c>
      <c r="Y103" s="725">
        <f t="shared" si="14"/>
        <v>1.3938873162497352E-4</v>
      </c>
      <c r="Z103" s="725">
        <f t="shared" si="15"/>
        <v>11.348346742149609</v>
      </c>
      <c r="AA103" s="725">
        <f t="shared" si="29"/>
        <v>2.3106492929095008</v>
      </c>
      <c r="AB103" s="85">
        <f t="shared" si="16"/>
        <v>1.1000000000000001</v>
      </c>
      <c r="AC103" s="726">
        <f t="shared" si="17"/>
        <v>1.8735012458569063E-3</v>
      </c>
      <c r="AD103" s="725">
        <f t="shared" si="18"/>
        <v>9.7652660416941317E-2</v>
      </c>
      <c r="AE103" s="725">
        <f t="shared" si="19"/>
        <v>2.1090584200435929</v>
      </c>
      <c r="AF103" s="726">
        <f t="shared" si="26"/>
        <v>2.9067110804605343</v>
      </c>
      <c r="AG103" s="725">
        <f t="shared" si="20"/>
        <v>1.3080199862072403E-3</v>
      </c>
      <c r="AH103" s="725">
        <f t="shared" si="21"/>
        <v>2.1782907322355542E-2</v>
      </c>
      <c r="AI103" s="725">
        <f t="shared" si="22"/>
        <v>1.3882483930232012E-4</v>
      </c>
      <c r="AJ103" s="725">
        <f t="shared" si="23"/>
        <v>23.230580922887853</v>
      </c>
      <c r="AK103" s="725"/>
      <c r="AL103" s="725"/>
      <c r="AM103" s="725"/>
      <c r="AN103" s="725"/>
      <c r="AO103" s="725"/>
      <c r="AP103" s="725"/>
      <c r="AQ103" s="725"/>
      <c r="AR103" s="463"/>
      <c r="AS103" s="61"/>
      <c r="AT103" s="61"/>
      <c r="AU103" s="61"/>
    </row>
    <row r="104" spans="2:48" x14ac:dyDescent="0.25">
      <c r="B104" s="720"/>
      <c r="C104" s="722"/>
      <c r="D104" s="721"/>
      <c r="E104" s="162"/>
      <c r="F104" s="725"/>
      <c r="G104" s="725">
        <f t="shared" si="27"/>
        <v>11</v>
      </c>
      <c r="H104" s="85">
        <f t="shared" si="0"/>
        <v>4.0999999999999996</v>
      </c>
      <c r="I104" s="726">
        <f t="shared" si="1"/>
        <v>3.9354584809130262E-4</v>
      </c>
      <c r="J104" s="725">
        <f t="shared" si="2"/>
        <v>0.46488199999999996</v>
      </c>
      <c r="K104" s="725">
        <f t="shared" si="3"/>
        <v>1.7721070352649297</v>
      </c>
      <c r="L104" s="726">
        <f t="shared" si="24"/>
        <v>2.9369890352649297</v>
      </c>
      <c r="M104" s="725">
        <f t="shared" si="4"/>
        <v>1.3216450658692183E-3</v>
      </c>
      <c r="N104" s="725">
        <f t="shared" si="5"/>
        <v>4.623359362872774E-3</v>
      </c>
      <c r="O104" s="725">
        <f t="shared" si="6"/>
        <v>1.3965361432506887E-4</v>
      </c>
      <c r="P104" s="725">
        <f t="shared" si="7"/>
        <v>6.0846580430670612</v>
      </c>
      <c r="Q104" s="725">
        <f t="shared" si="28"/>
        <v>4.995673629278274</v>
      </c>
      <c r="R104" s="85">
        <f t="shared" si="8"/>
        <v>2.2000000000000002</v>
      </c>
      <c r="S104" s="726">
        <f t="shared" si="9"/>
        <v>8.665506696901138E-4</v>
      </c>
      <c r="T104" s="725">
        <f t="shared" si="10"/>
        <v>0.21112715892055842</v>
      </c>
      <c r="U104" s="725">
        <f t="shared" si="11"/>
        <v>1.9510058937467467</v>
      </c>
      <c r="V104" s="726">
        <f t="shared" si="25"/>
        <v>2.8621330526673052</v>
      </c>
      <c r="W104" s="725">
        <f t="shared" si="12"/>
        <v>1.2879598737002872E-3</v>
      </c>
      <c r="X104" s="725">
        <f t="shared" si="13"/>
        <v>9.9207332541242522E-3</v>
      </c>
      <c r="Y104" s="725">
        <f t="shared" si="14"/>
        <v>1.3938873162497352E-4</v>
      </c>
      <c r="Z104" s="725">
        <f t="shared" si="15"/>
        <v>11.348346742149609</v>
      </c>
      <c r="AA104" s="725">
        <f t="shared" si="29"/>
        <v>2.3106492929095008</v>
      </c>
      <c r="AB104" s="85">
        <f t="shared" si="16"/>
        <v>1.1000000000000001</v>
      </c>
      <c r="AC104" s="726">
        <f t="shared" si="17"/>
        <v>1.8735012458569063E-3</v>
      </c>
      <c r="AD104" s="725">
        <f t="shared" si="18"/>
        <v>9.7652660416941317E-2</v>
      </c>
      <c r="AE104" s="725">
        <f t="shared" si="19"/>
        <v>2.1090584200435929</v>
      </c>
      <c r="AF104" s="726">
        <f t="shared" si="26"/>
        <v>2.9067110804605343</v>
      </c>
      <c r="AG104" s="725">
        <f t="shared" si="20"/>
        <v>1.3080199862072403E-3</v>
      </c>
      <c r="AH104" s="725">
        <f t="shared" si="21"/>
        <v>2.1782907322355542E-2</v>
      </c>
      <c r="AI104" s="725">
        <f t="shared" si="22"/>
        <v>1.3882483930232012E-4</v>
      </c>
      <c r="AJ104" s="725">
        <f t="shared" si="23"/>
        <v>23.230580922887853</v>
      </c>
      <c r="AK104" s="725"/>
      <c r="AL104" s="725"/>
      <c r="AM104" s="725"/>
      <c r="AN104" s="725"/>
      <c r="AO104" s="725"/>
      <c r="AP104" s="725"/>
      <c r="AQ104" s="725"/>
      <c r="AR104" s="463"/>
      <c r="AS104" s="61"/>
      <c r="AT104" s="61"/>
      <c r="AU104" s="61"/>
    </row>
    <row r="105" spans="2:48" x14ac:dyDescent="0.25">
      <c r="B105" s="720"/>
      <c r="C105" s="722"/>
      <c r="D105" s="721"/>
      <c r="E105" s="162"/>
      <c r="F105" s="725"/>
      <c r="G105" s="725">
        <f t="shared" si="27"/>
        <v>11</v>
      </c>
      <c r="H105" s="85">
        <f t="shared" si="0"/>
        <v>4.0999999999999996</v>
      </c>
      <c r="I105" s="726">
        <f t="shared" si="1"/>
        <v>3.9354584809130262E-4</v>
      </c>
      <c r="J105" s="725">
        <f t="shared" si="2"/>
        <v>0.46488199999999996</v>
      </c>
      <c r="K105" s="725">
        <f t="shared" si="3"/>
        <v>1.7721070352649297</v>
      </c>
      <c r="L105" s="726">
        <f t="shared" si="24"/>
        <v>2.9369890352649297</v>
      </c>
      <c r="M105" s="725">
        <f t="shared" si="4"/>
        <v>1.3216450658692183E-3</v>
      </c>
      <c r="N105" s="725">
        <f t="shared" si="5"/>
        <v>4.623359362872774E-3</v>
      </c>
      <c r="O105" s="725">
        <f t="shared" si="6"/>
        <v>1.3965361432506887E-4</v>
      </c>
      <c r="P105" s="725">
        <f t="shared" si="7"/>
        <v>6.0846580430670612</v>
      </c>
      <c r="Q105" s="725">
        <f t="shared" si="28"/>
        <v>4.995673629278274</v>
      </c>
      <c r="R105" s="85">
        <f t="shared" si="8"/>
        <v>2.2000000000000002</v>
      </c>
      <c r="S105" s="726">
        <f t="shared" si="9"/>
        <v>8.665506696901138E-4</v>
      </c>
      <c r="T105" s="725">
        <f t="shared" si="10"/>
        <v>0.21112715892055842</v>
      </c>
      <c r="U105" s="725">
        <f t="shared" si="11"/>
        <v>1.9510058937467467</v>
      </c>
      <c r="V105" s="726">
        <f t="shared" si="25"/>
        <v>2.8621330526673052</v>
      </c>
      <c r="W105" s="725">
        <f t="shared" si="12"/>
        <v>1.2879598737002872E-3</v>
      </c>
      <c r="X105" s="725">
        <f t="shared" si="13"/>
        <v>9.9207332541242522E-3</v>
      </c>
      <c r="Y105" s="725">
        <f t="shared" si="14"/>
        <v>1.3938873162497352E-4</v>
      </c>
      <c r="Z105" s="725">
        <f t="shared" si="15"/>
        <v>11.348346742149609</v>
      </c>
      <c r="AA105" s="725">
        <f t="shared" si="29"/>
        <v>2.3106492929095008</v>
      </c>
      <c r="AB105" s="85">
        <f t="shared" si="16"/>
        <v>1.1000000000000001</v>
      </c>
      <c r="AC105" s="726">
        <f t="shared" si="17"/>
        <v>1.8735012458569063E-3</v>
      </c>
      <c r="AD105" s="725">
        <f t="shared" si="18"/>
        <v>9.7652660416941317E-2</v>
      </c>
      <c r="AE105" s="725">
        <f t="shared" si="19"/>
        <v>2.1090584200435929</v>
      </c>
      <c r="AF105" s="726">
        <f t="shared" si="26"/>
        <v>2.9067110804605343</v>
      </c>
      <c r="AG105" s="725">
        <f t="shared" si="20"/>
        <v>1.3080199862072403E-3</v>
      </c>
      <c r="AH105" s="725">
        <f t="shared" si="21"/>
        <v>2.1782907322355542E-2</v>
      </c>
      <c r="AI105" s="725">
        <f t="shared" si="22"/>
        <v>1.3882483930232012E-4</v>
      </c>
      <c r="AJ105" s="725">
        <f t="shared" si="23"/>
        <v>23.230580922887853</v>
      </c>
      <c r="AK105" s="725"/>
      <c r="AL105" s="725"/>
      <c r="AM105" s="725"/>
      <c r="AN105" s="725"/>
      <c r="AO105" s="725"/>
      <c r="AP105" s="725"/>
      <c r="AQ105" s="725"/>
      <c r="AR105" s="463"/>
      <c r="AS105" s="61"/>
      <c r="AT105" s="61"/>
      <c r="AU105" s="61"/>
    </row>
    <row r="106" spans="2:48" x14ac:dyDescent="0.25">
      <c r="B106" s="720"/>
      <c r="C106" s="722"/>
      <c r="D106" s="721"/>
      <c r="E106" s="162"/>
      <c r="F106" s="725"/>
      <c r="G106" s="725">
        <f t="shared" si="27"/>
        <v>11</v>
      </c>
      <c r="H106" s="85">
        <f t="shared" si="0"/>
        <v>4.0999999999999996</v>
      </c>
      <c r="I106" s="726">
        <f t="shared" si="1"/>
        <v>3.9354584809130262E-4</v>
      </c>
      <c r="J106" s="725">
        <f t="shared" si="2"/>
        <v>0.46488199999999996</v>
      </c>
      <c r="K106" s="725">
        <f t="shared" si="3"/>
        <v>1.7721070352649297</v>
      </c>
      <c r="L106" s="726">
        <f t="shared" si="24"/>
        <v>2.9369890352649297</v>
      </c>
      <c r="M106" s="725">
        <f t="shared" si="4"/>
        <v>1.3216450658692183E-3</v>
      </c>
      <c r="N106" s="725">
        <f t="shared" si="5"/>
        <v>4.623359362872774E-3</v>
      </c>
      <c r="O106" s="725">
        <f t="shared" si="6"/>
        <v>1.3965361432506887E-4</v>
      </c>
      <c r="P106" s="725">
        <f t="shared" si="7"/>
        <v>6.0846580430670612</v>
      </c>
      <c r="Q106" s="725">
        <f t="shared" si="28"/>
        <v>4.995673629278274</v>
      </c>
      <c r="R106" s="85">
        <f t="shared" si="8"/>
        <v>2.2000000000000002</v>
      </c>
      <c r="S106" s="726">
        <f t="shared" si="9"/>
        <v>8.665506696901138E-4</v>
      </c>
      <c r="T106" s="725">
        <f t="shared" si="10"/>
        <v>0.21112715892055842</v>
      </c>
      <c r="U106" s="725">
        <f t="shared" si="11"/>
        <v>1.9510058937467467</v>
      </c>
      <c r="V106" s="726">
        <f t="shared" si="25"/>
        <v>2.8621330526673052</v>
      </c>
      <c r="W106" s="725">
        <f t="shared" si="12"/>
        <v>1.2879598737002872E-3</v>
      </c>
      <c r="X106" s="725">
        <f t="shared" si="13"/>
        <v>9.9207332541242522E-3</v>
      </c>
      <c r="Y106" s="725">
        <f t="shared" si="14"/>
        <v>1.3938873162497352E-4</v>
      </c>
      <c r="Z106" s="725">
        <f t="shared" si="15"/>
        <v>11.348346742149609</v>
      </c>
      <c r="AA106" s="725">
        <f t="shared" si="29"/>
        <v>2.3106492929095008</v>
      </c>
      <c r="AB106" s="85">
        <f t="shared" si="16"/>
        <v>1.1000000000000001</v>
      </c>
      <c r="AC106" s="726">
        <f t="shared" si="17"/>
        <v>1.8735012458569063E-3</v>
      </c>
      <c r="AD106" s="725">
        <f t="shared" si="18"/>
        <v>9.7652660416941317E-2</v>
      </c>
      <c r="AE106" s="725">
        <f t="shared" si="19"/>
        <v>2.1090584200435929</v>
      </c>
      <c r="AF106" s="726">
        <f t="shared" si="26"/>
        <v>2.9067110804605343</v>
      </c>
      <c r="AG106" s="725">
        <f t="shared" si="20"/>
        <v>1.3080199862072403E-3</v>
      </c>
      <c r="AH106" s="725">
        <f t="shared" si="21"/>
        <v>2.1782907322355542E-2</v>
      </c>
      <c r="AI106" s="725">
        <f t="shared" si="22"/>
        <v>1.3882483930232012E-4</v>
      </c>
      <c r="AJ106" s="725">
        <f t="shared" si="23"/>
        <v>23.230580922887853</v>
      </c>
      <c r="AK106" s="725"/>
      <c r="AL106" s="725"/>
      <c r="AM106" s="725"/>
      <c r="AN106" s="725"/>
      <c r="AO106" s="725"/>
      <c r="AP106" s="725"/>
      <c r="AQ106" s="725"/>
      <c r="AR106" s="463"/>
      <c r="AS106" s="61"/>
      <c r="AT106" s="61"/>
      <c r="AU106" s="61"/>
    </row>
    <row r="107" spans="2:48" x14ac:dyDescent="0.25">
      <c r="B107" s="720"/>
      <c r="C107" s="722"/>
      <c r="D107" s="721"/>
      <c r="E107" s="162"/>
      <c r="F107" s="725"/>
      <c r="G107" s="725">
        <f t="shared" si="27"/>
        <v>11</v>
      </c>
      <c r="H107" s="85">
        <f t="shared" si="0"/>
        <v>4.0999999999999996</v>
      </c>
      <c r="I107" s="726">
        <f t="shared" si="1"/>
        <v>3.9354584809130262E-4</v>
      </c>
      <c r="J107" s="725">
        <f t="shared" si="2"/>
        <v>0.46488199999999996</v>
      </c>
      <c r="K107" s="725">
        <f t="shared" si="3"/>
        <v>1.7721070352649297</v>
      </c>
      <c r="L107" s="726">
        <f t="shared" si="24"/>
        <v>2.9369890352649297</v>
      </c>
      <c r="M107" s="725">
        <f t="shared" si="4"/>
        <v>1.3216450658692183E-3</v>
      </c>
      <c r="N107" s="725">
        <f t="shared" si="5"/>
        <v>4.623359362872774E-3</v>
      </c>
      <c r="O107" s="725">
        <f t="shared" si="6"/>
        <v>1.3965361432506887E-4</v>
      </c>
      <c r="P107" s="725">
        <f t="shared" si="7"/>
        <v>6.0846580430670612</v>
      </c>
      <c r="Q107" s="725">
        <f t="shared" si="28"/>
        <v>4.995673629278274</v>
      </c>
      <c r="R107" s="85">
        <f t="shared" si="8"/>
        <v>2.2000000000000002</v>
      </c>
      <c r="S107" s="726">
        <f t="shared" si="9"/>
        <v>8.665506696901138E-4</v>
      </c>
      <c r="T107" s="725">
        <f t="shared" si="10"/>
        <v>0.21112715892055842</v>
      </c>
      <c r="U107" s="725">
        <f t="shared" si="11"/>
        <v>1.9510058937467467</v>
      </c>
      <c r="V107" s="726">
        <f t="shared" si="25"/>
        <v>2.8621330526673052</v>
      </c>
      <c r="W107" s="725">
        <f t="shared" si="12"/>
        <v>1.2879598737002872E-3</v>
      </c>
      <c r="X107" s="725">
        <f t="shared" si="13"/>
        <v>9.9207332541242522E-3</v>
      </c>
      <c r="Y107" s="725">
        <f t="shared" si="14"/>
        <v>1.3938873162497352E-4</v>
      </c>
      <c r="Z107" s="725">
        <f t="shared" si="15"/>
        <v>11.348346742149609</v>
      </c>
      <c r="AA107" s="725">
        <f t="shared" si="29"/>
        <v>2.3106492929095008</v>
      </c>
      <c r="AB107" s="85">
        <f t="shared" si="16"/>
        <v>1.1000000000000001</v>
      </c>
      <c r="AC107" s="726">
        <f t="shared" si="17"/>
        <v>1.8735012458569063E-3</v>
      </c>
      <c r="AD107" s="725">
        <f t="shared" si="18"/>
        <v>9.7652660416941317E-2</v>
      </c>
      <c r="AE107" s="725">
        <f t="shared" si="19"/>
        <v>2.1090584200435929</v>
      </c>
      <c r="AF107" s="726">
        <f t="shared" si="26"/>
        <v>2.9067110804605343</v>
      </c>
      <c r="AG107" s="725">
        <f t="shared" si="20"/>
        <v>1.3080199862072403E-3</v>
      </c>
      <c r="AH107" s="725">
        <f t="shared" si="21"/>
        <v>2.1782907322355542E-2</v>
      </c>
      <c r="AI107" s="725">
        <f t="shared" si="22"/>
        <v>1.3882483930232012E-4</v>
      </c>
      <c r="AJ107" s="725">
        <f t="shared" si="23"/>
        <v>23.230580922887853</v>
      </c>
      <c r="AK107" s="725"/>
      <c r="AL107" s="725"/>
      <c r="AM107" s="725"/>
      <c r="AN107" s="725"/>
      <c r="AO107" s="725"/>
      <c r="AP107" s="725"/>
      <c r="AQ107" s="725"/>
      <c r="AR107" s="463"/>
      <c r="AS107" s="61"/>
      <c r="AT107" s="61"/>
      <c r="AU107" s="61"/>
    </row>
    <row r="108" spans="2:48" x14ac:dyDescent="0.25">
      <c r="B108" s="720"/>
      <c r="C108" s="722"/>
      <c r="D108" s="721"/>
      <c r="E108" s="162"/>
      <c r="F108" s="725"/>
      <c r="G108" s="725">
        <f t="shared" si="27"/>
        <v>11</v>
      </c>
      <c r="H108" s="85">
        <f t="shared" si="0"/>
        <v>4.0999999999999996</v>
      </c>
      <c r="I108" s="726">
        <f t="shared" si="1"/>
        <v>3.9354584809130262E-4</v>
      </c>
      <c r="J108" s="725">
        <f t="shared" si="2"/>
        <v>0.46488199999999996</v>
      </c>
      <c r="K108" s="725">
        <f t="shared" si="3"/>
        <v>1.7721070352649297</v>
      </c>
      <c r="L108" s="726">
        <f t="shared" si="24"/>
        <v>2.9369890352649297</v>
      </c>
      <c r="M108" s="725">
        <f t="shared" si="4"/>
        <v>1.3216450658692183E-3</v>
      </c>
      <c r="N108" s="725">
        <f t="shared" si="5"/>
        <v>4.623359362872774E-3</v>
      </c>
      <c r="O108" s="725">
        <f t="shared" si="6"/>
        <v>1.3965361432506887E-4</v>
      </c>
      <c r="P108" s="725">
        <f t="shared" si="7"/>
        <v>6.0846580430670612</v>
      </c>
      <c r="Q108" s="725">
        <f t="shared" si="28"/>
        <v>4.995673629278274</v>
      </c>
      <c r="R108" s="85">
        <f t="shared" si="8"/>
        <v>2.2000000000000002</v>
      </c>
      <c r="S108" s="726">
        <f t="shared" si="9"/>
        <v>8.665506696901138E-4</v>
      </c>
      <c r="T108" s="725">
        <f t="shared" si="10"/>
        <v>0.21112715892055842</v>
      </c>
      <c r="U108" s="725">
        <f t="shared" si="11"/>
        <v>1.9510058937467467</v>
      </c>
      <c r="V108" s="726">
        <f t="shared" si="25"/>
        <v>2.8621330526673052</v>
      </c>
      <c r="W108" s="725">
        <f t="shared" si="12"/>
        <v>1.2879598737002872E-3</v>
      </c>
      <c r="X108" s="725">
        <f t="shared" si="13"/>
        <v>9.9207332541242522E-3</v>
      </c>
      <c r="Y108" s="725">
        <f t="shared" si="14"/>
        <v>1.3938873162497352E-4</v>
      </c>
      <c r="Z108" s="725">
        <f t="shared" si="15"/>
        <v>11.348346742149609</v>
      </c>
      <c r="AA108" s="725">
        <f t="shared" si="29"/>
        <v>2.3106492929095008</v>
      </c>
      <c r="AB108" s="85">
        <f t="shared" si="16"/>
        <v>1.1000000000000001</v>
      </c>
      <c r="AC108" s="726">
        <f t="shared" si="17"/>
        <v>1.8735012458569063E-3</v>
      </c>
      <c r="AD108" s="725">
        <f t="shared" si="18"/>
        <v>9.7652660416941317E-2</v>
      </c>
      <c r="AE108" s="725">
        <f t="shared" si="19"/>
        <v>2.1090584200435929</v>
      </c>
      <c r="AF108" s="726">
        <f t="shared" si="26"/>
        <v>2.9067110804605343</v>
      </c>
      <c r="AG108" s="725">
        <f t="shared" si="20"/>
        <v>1.3080199862072403E-3</v>
      </c>
      <c r="AH108" s="725">
        <f t="shared" si="21"/>
        <v>2.1782907322355542E-2</v>
      </c>
      <c r="AI108" s="725">
        <f t="shared" si="22"/>
        <v>1.3882483930232012E-4</v>
      </c>
      <c r="AJ108" s="725">
        <f t="shared" si="23"/>
        <v>23.230580922887853</v>
      </c>
      <c r="AK108" s="725"/>
      <c r="AL108" s="725"/>
      <c r="AM108" s="725"/>
      <c r="AN108" s="725"/>
      <c r="AO108" s="725"/>
      <c r="AP108" s="725"/>
      <c r="AQ108" s="725"/>
      <c r="AR108" s="463"/>
      <c r="AS108" s="61"/>
      <c r="AT108" s="61"/>
      <c r="AU108" s="61"/>
    </row>
    <row r="109" spans="2:48" x14ac:dyDescent="0.25">
      <c r="B109" s="720"/>
      <c r="C109" s="722"/>
      <c r="D109" s="721"/>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row>
    <row r="110" spans="2:48" x14ac:dyDescent="0.25">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row>
    <row r="111" spans="2:48" ht="18.75" x14ac:dyDescent="0.3">
      <c r="B111" s="154" t="s">
        <v>588</v>
      </c>
      <c r="AB111" s="162"/>
      <c r="AC111" s="162"/>
      <c r="AD111" s="162"/>
      <c r="AE111" s="162"/>
      <c r="AF111" s="162"/>
      <c r="AG111" s="162"/>
      <c r="AH111" s="162"/>
      <c r="AI111" s="162"/>
      <c r="AJ111" s="162"/>
      <c r="AK111" s="162"/>
      <c r="AL111" s="162"/>
      <c r="AM111" s="162"/>
      <c r="AN111" s="162"/>
      <c r="AO111" s="162"/>
      <c r="AP111" s="162"/>
      <c r="AQ111" s="162"/>
    </row>
    <row r="112" spans="2:48" ht="18.75" x14ac:dyDescent="0.3">
      <c r="B112" s="154"/>
    </row>
    <row r="113" spans="1:33" ht="130.5" customHeight="1" x14ac:dyDescent="0.25"/>
    <row r="115" spans="1:33" x14ac:dyDescent="0.25">
      <c r="B115" s="159" t="s">
        <v>539</v>
      </c>
      <c r="C115" s="170">
        <f>C16</f>
        <v>2.8114739012787093</v>
      </c>
      <c r="D115" s="159" t="s">
        <v>202</v>
      </c>
      <c r="E115" s="310" t="s">
        <v>535</v>
      </c>
    </row>
    <row r="116" spans="1:33" ht="18" x14ac:dyDescent="0.35">
      <c r="B116" s="167" t="s">
        <v>1088</v>
      </c>
      <c r="C116" s="45">
        <v>30</v>
      </c>
      <c r="D116" s="311" t="s">
        <v>537</v>
      </c>
      <c r="E116" s="310"/>
    </row>
    <row r="117" spans="1:33" x14ac:dyDescent="0.25">
      <c r="B117" s="159" t="s">
        <v>538</v>
      </c>
      <c r="C117" s="45">
        <v>10</v>
      </c>
      <c r="D117" s="311" t="s">
        <v>537</v>
      </c>
      <c r="E117" s="162" t="str">
        <f>IF(C117+C116&gt;360,"Angle of Gap + Event is too large!","")</f>
        <v/>
      </c>
    </row>
    <row r="118" spans="1:33" x14ac:dyDescent="0.25">
      <c r="B118" s="159" t="s">
        <v>536</v>
      </c>
      <c r="C118" s="171">
        <f>360/(C116+C117)</f>
        <v>9</v>
      </c>
      <c r="D118" s="159"/>
      <c r="E118" s="310"/>
    </row>
    <row r="119" spans="1:33" x14ac:dyDescent="0.25">
      <c r="B119" s="159" t="s">
        <v>532</v>
      </c>
      <c r="C119" s="45">
        <v>3</v>
      </c>
      <c r="D119" s="159"/>
      <c r="E119" s="285" t="s">
        <v>604</v>
      </c>
    </row>
    <row r="120" spans="1:33" x14ac:dyDescent="0.25">
      <c r="A120" s="175"/>
      <c r="B120" s="158" t="s">
        <v>534</v>
      </c>
      <c r="C120" s="348">
        <f>C16*60000/C119/C118</f>
        <v>6247.7197806193544</v>
      </c>
      <c r="D120" s="158" t="s">
        <v>533</v>
      </c>
      <c r="E120" s="175"/>
      <c r="F120" s="175"/>
      <c r="G120" s="175"/>
      <c r="H120" s="175"/>
      <c r="I120" s="175"/>
      <c r="J120" s="175"/>
      <c r="K120" s="175"/>
      <c r="L120" s="175"/>
      <c r="M120" s="175"/>
      <c r="N120" s="175"/>
      <c r="O120" s="175"/>
      <c r="P120" s="175"/>
      <c r="Q120" s="175"/>
      <c r="R120" s="175"/>
      <c r="S120" s="175"/>
      <c r="T120" s="175"/>
      <c r="U120" s="175"/>
    </row>
    <row r="121" spans="1:33" x14ac:dyDescent="0.25">
      <c r="A121" s="175"/>
      <c r="B121" s="175"/>
      <c r="C121" s="175"/>
      <c r="D121" s="175"/>
      <c r="E121" s="175"/>
      <c r="F121" s="175"/>
      <c r="G121" s="175"/>
      <c r="H121" s="175"/>
      <c r="I121" s="175"/>
      <c r="J121" s="175"/>
      <c r="K121" s="175"/>
      <c r="L121" s="175"/>
      <c r="M121" s="175"/>
      <c r="N121" s="175"/>
      <c r="O121" s="175"/>
      <c r="P121" s="175"/>
      <c r="Q121" s="175"/>
      <c r="R121" s="175"/>
      <c r="S121" s="175"/>
      <c r="T121" s="175"/>
      <c r="U121" s="175"/>
    </row>
    <row r="122" spans="1:33" x14ac:dyDescent="0.25">
      <c r="A122" s="175"/>
      <c r="B122" s="175"/>
      <c r="C122" s="175"/>
      <c r="D122" s="175"/>
      <c r="E122" s="175"/>
      <c r="F122" s="175"/>
      <c r="G122" s="175"/>
      <c r="H122" s="175"/>
      <c r="I122" s="175"/>
      <c r="J122" s="175"/>
      <c r="K122" s="175"/>
      <c r="L122" s="175"/>
      <c r="M122" s="175"/>
      <c r="N122" s="175"/>
      <c r="O122" s="175"/>
      <c r="P122" s="175"/>
      <c r="Q122" s="175"/>
      <c r="R122" s="175"/>
      <c r="S122" s="175"/>
      <c r="T122" s="175"/>
      <c r="U122" s="175"/>
    </row>
    <row r="123" spans="1:33" x14ac:dyDescent="0.25">
      <c r="A123" s="176"/>
      <c r="B123" s="176"/>
      <c r="C123" s="176"/>
      <c r="D123" s="176"/>
      <c r="E123" s="176"/>
      <c r="F123" s="176"/>
      <c r="G123" s="176"/>
      <c r="H123" s="176"/>
      <c r="I123" s="176"/>
      <c r="J123" s="176"/>
      <c r="K123" s="176"/>
      <c r="L123" s="176"/>
      <c r="M123" s="176"/>
      <c r="N123" s="176"/>
      <c r="O123" s="176"/>
      <c r="P123" s="176"/>
      <c r="Q123" s="176"/>
      <c r="R123" s="175"/>
      <c r="S123" s="177" t="str">
        <f>CONCATENATE("Switching Distance (",D23,")")</f>
        <v>Switching Distance (mm)</v>
      </c>
      <c r="T123" s="177"/>
      <c r="U123" s="177"/>
      <c r="V123" s="177"/>
      <c r="W123" s="177"/>
      <c r="X123" s="177"/>
      <c r="Y123" s="177"/>
      <c r="Z123" s="177"/>
      <c r="AA123" s="177"/>
      <c r="AB123" s="177"/>
      <c r="AC123" s="177"/>
      <c r="AD123" s="177"/>
      <c r="AE123" s="177"/>
      <c r="AF123" s="177"/>
      <c r="AG123" s="175"/>
    </row>
    <row r="124" spans="1:33" ht="14.45" hidden="1" x14ac:dyDescent="0.3">
      <c r="A124" s="176"/>
      <c r="B124" s="627" t="s">
        <v>430</v>
      </c>
      <c r="C124" s="627" t="s">
        <v>429</v>
      </c>
      <c r="D124" s="627" t="s">
        <v>428</v>
      </c>
      <c r="E124" s="627" t="s">
        <v>431</v>
      </c>
      <c r="F124" s="627" t="s">
        <v>432</v>
      </c>
      <c r="G124" s="627"/>
      <c r="H124" s="627"/>
      <c r="I124" s="627"/>
      <c r="J124" s="627"/>
      <c r="K124" s="627"/>
      <c r="L124" s="627"/>
      <c r="M124" s="627"/>
      <c r="N124" s="627"/>
      <c r="O124" s="627"/>
      <c r="P124" s="627"/>
      <c r="Q124" s="627"/>
      <c r="R124" s="627"/>
      <c r="S124" s="627" t="s">
        <v>451</v>
      </c>
      <c r="T124" s="627" t="s">
        <v>452</v>
      </c>
      <c r="U124" s="627" t="s">
        <v>453</v>
      </c>
      <c r="V124" s="627" t="s">
        <v>454</v>
      </c>
      <c r="W124" s="627" t="s">
        <v>455</v>
      </c>
      <c r="X124" s="627" t="s">
        <v>456</v>
      </c>
      <c r="Y124" s="627" t="s">
        <v>457</v>
      </c>
      <c r="Z124" s="179" t="str">
        <f>C23&amp;D23</f>
        <v>9mm</v>
      </c>
      <c r="AA124" s="179"/>
      <c r="AB124" s="179"/>
      <c r="AC124" s="179"/>
      <c r="AD124" s="179"/>
      <c r="AE124" s="179"/>
      <c r="AF124" s="179"/>
      <c r="AG124" s="175"/>
    </row>
    <row r="125" spans="1:33" ht="14.45" hidden="1" x14ac:dyDescent="0.3">
      <c r="A125" s="176"/>
      <c r="B125" s="622">
        <v>250000</v>
      </c>
      <c r="C125" s="622">
        <f>1.3/(2*PI()*C$8*0.001*$B125*10^-6)</f>
        <v>137.93428401297598</v>
      </c>
      <c r="D125" s="623">
        <f>2/((2*PI()*$B125*10^-6)^2*33)*10^6</f>
        <v>24562.711186021286</v>
      </c>
      <c r="E125" s="624">
        <f>C14*1000000</f>
        <v>12170882.689518223</v>
      </c>
      <c r="F125" s="625">
        <f>C10</f>
        <v>6</v>
      </c>
      <c r="G125" s="625"/>
      <c r="H125" s="625"/>
      <c r="I125" s="625"/>
      <c r="J125" s="166"/>
      <c r="K125" s="166"/>
      <c r="L125" s="166"/>
      <c r="M125" s="166"/>
      <c r="N125" s="166"/>
      <c r="O125" s="166"/>
      <c r="P125" s="166"/>
      <c r="Q125" s="166"/>
      <c r="R125" s="166"/>
      <c r="S125" s="166">
        <v>15</v>
      </c>
      <c r="T125" s="166">
        <v>4.0773946360153248</v>
      </c>
      <c r="U125" s="166">
        <v>3.73639846743295</v>
      </c>
      <c r="V125" s="166">
        <f>T125/100*$C$23</f>
        <v>0.36696551724137921</v>
      </c>
      <c r="W125" s="166">
        <f>U125/100*$C$23</f>
        <v>0.33627586206896548</v>
      </c>
      <c r="X125" s="166">
        <f>$C$40</f>
        <v>1.4</v>
      </c>
      <c r="Y125" s="625">
        <f>$C$25</f>
        <v>1.2</v>
      </c>
      <c r="Z125" s="177"/>
      <c r="AA125" s="177"/>
      <c r="AB125" s="177"/>
      <c r="AC125" s="177"/>
      <c r="AD125" s="177"/>
      <c r="AE125" s="177"/>
      <c r="AF125" s="177"/>
      <c r="AG125" s="175"/>
    </row>
    <row r="126" spans="1:33" ht="14.45" hidden="1" x14ac:dyDescent="0.3">
      <c r="A126" s="176"/>
      <c r="B126" s="622">
        <v>500000</v>
      </c>
      <c r="C126" s="622">
        <f t="shared" ref="C126:C189" si="30">1.3/(2*PI()*C$8*0.001*$B126*10^-6)</f>
        <v>68.96714200648799</v>
      </c>
      <c r="D126" s="623">
        <f t="shared" ref="D126:D189" si="31">2/((2*PI()*$B126*10^-6)^2*33)*10^6</f>
        <v>6140.6777965053216</v>
      </c>
      <c r="E126" s="624">
        <f>1000000000/(PI()*SQRT(2*F126*C$13))</f>
        <v>12595240.046250511</v>
      </c>
      <c r="F126" s="626">
        <f>F125-(F$125-F$129)/4</f>
        <v>5.6025082593606239</v>
      </c>
      <c r="G126" s="626"/>
      <c r="H126" s="626"/>
      <c r="I126" s="626"/>
      <c r="J126" s="166"/>
      <c r="K126" s="166"/>
      <c r="L126" s="166"/>
      <c r="M126" s="166"/>
      <c r="N126" s="166"/>
      <c r="O126" s="166"/>
      <c r="P126" s="166"/>
      <c r="Q126" s="166"/>
      <c r="R126" s="166"/>
      <c r="S126" s="166">
        <v>14</v>
      </c>
      <c r="T126" s="166">
        <v>8.5272030651341009</v>
      </c>
      <c r="U126" s="166">
        <v>7.9954022988505749</v>
      </c>
      <c r="V126" s="166">
        <f t="shared" ref="V126:W138" si="32">T126/100*$C$23</f>
        <v>0.7674482758620691</v>
      </c>
      <c r="W126" s="166">
        <f t="shared" si="32"/>
        <v>0.71958620689655173</v>
      </c>
      <c r="X126" s="166">
        <f t="shared" ref="X126:X139" si="33">$C$40</f>
        <v>1.4</v>
      </c>
      <c r="Y126" s="625">
        <f t="shared" ref="Y126:Y139" si="34">$C$25</f>
        <v>1.2</v>
      </c>
      <c r="Z126" s="177"/>
      <c r="AA126" s="177"/>
      <c r="AB126" s="177"/>
      <c r="AC126" s="177"/>
      <c r="AD126" s="177"/>
      <c r="AE126" s="177"/>
      <c r="AF126" s="177"/>
      <c r="AG126" s="175"/>
    </row>
    <row r="127" spans="1:33" ht="14.45" hidden="1" x14ac:dyDescent="0.3">
      <c r="A127" s="176"/>
      <c r="B127" s="622">
        <f t="shared" ref="B127:B158" si="35">B126+B$125</f>
        <v>750000</v>
      </c>
      <c r="C127" s="622">
        <f t="shared" si="30"/>
        <v>45.978094670991986</v>
      </c>
      <c r="D127" s="623">
        <f t="shared" si="31"/>
        <v>2729.1901317801421</v>
      </c>
      <c r="E127" s="624">
        <f>1000000000/(PI()*SQRT(2*F127*C$13))</f>
        <v>13067323.583234638</v>
      </c>
      <c r="F127" s="626">
        <f>F126-(F$125-F$129)/4</f>
        <v>5.2050165187212478</v>
      </c>
      <c r="G127" s="626"/>
      <c r="H127" s="626"/>
      <c r="I127" s="626"/>
      <c r="J127" s="166"/>
      <c r="K127" s="166"/>
      <c r="L127" s="166"/>
      <c r="M127" s="166"/>
      <c r="N127" s="166"/>
      <c r="O127" s="166"/>
      <c r="P127" s="166"/>
      <c r="Q127" s="166"/>
      <c r="R127" s="166"/>
      <c r="S127" s="166">
        <v>13</v>
      </c>
      <c r="T127" s="166">
        <v>12.209961685823755</v>
      </c>
      <c r="U127" s="166">
        <v>11.578160919540201</v>
      </c>
      <c r="V127" s="166">
        <f t="shared" si="32"/>
        <v>1.0988965517241378</v>
      </c>
      <c r="W127" s="166">
        <f t="shared" si="32"/>
        <v>1.0420344827586181</v>
      </c>
      <c r="X127" s="166">
        <f t="shared" si="33"/>
        <v>1.4</v>
      </c>
      <c r="Y127" s="625">
        <f t="shared" si="34"/>
        <v>1.2</v>
      </c>
      <c r="Z127" s="177"/>
      <c r="AA127" s="177"/>
      <c r="AB127" s="177"/>
      <c r="AC127" s="177"/>
      <c r="AD127" s="177"/>
      <c r="AE127" s="177"/>
      <c r="AF127" s="177"/>
      <c r="AG127" s="175"/>
    </row>
    <row r="128" spans="1:33" ht="14.45" hidden="1" x14ac:dyDescent="0.3">
      <c r="A128" s="176"/>
      <c r="B128" s="622">
        <f t="shared" si="35"/>
        <v>1000000</v>
      </c>
      <c r="C128" s="622">
        <f t="shared" si="30"/>
        <v>34.483571003243995</v>
      </c>
      <c r="D128" s="623">
        <f t="shared" si="31"/>
        <v>1535.1694491263304</v>
      </c>
      <c r="E128" s="624">
        <f>1000000000/(PI()*SQRT(2*F128*C$13))</f>
        <v>13596807.093993297</v>
      </c>
      <c r="F128" s="626">
        <f>F127-(F$125-F$129)/4</f>
        <v>4.8075247780818717</v>
      </c>
      <c r="G128" s="626"/>
      <c r="H128" s="626"/>
      <c r="I128" s="626"/>
      <c r="J128" s="166"/>
      <c r="K128" s="166"/>
      <c r="L128" s="166"/>
      <c r="M128" s="166"/>
      <c r="N128" s="166"/>
      <c r="O128" s="166"/>
      <c r="P128" s="166"/>
      <c r="Q128" s="166"/>
      <c r="R128" s="166"/>
      <c r="S128" s="166">
        <v>12</v>
      </c>
      <c r="T128" s="166">
        <v>15.424137931034485</v>
      </c>
      <c r="U128" s="166">
        <v>14.71455938697318</v>
      </c>
      <c r="V128" s="166">
        <f t="shared" si="32"/>
        <v>1.3881724137931035</v>
      </c>
      <c r="W128" s="166">
        <f t="shared" si="32"/>
        <v>1.3243103448275861</v>
      </c>
      <c r="X128" s="166">
        <f t="shared" si="33"/>
        <v>1.4</v>
      </c>
      <c r="Y128" s="625">
        <f t="shared" si="34"/>
        <v>1.2</v>
      </c>
      <c r="Z128" s="177"/>
      <c r="AA128" s="177"/>
      <c r="AB128" s="177"/>
      <c r="AC128" s="177"/>
      <c r="AD128" s="177"/>
      <c r="AE128" s="177"/>
      <c r="AF128" s="177"/>
      <c r="AG128" s="175"/>
    </row>
    <row r="129" spans="1:33" ht="14.45" hidden="1" x14ac:dyDescent="0.3">
      <c r="A129" s="176"/>
      <c r="B129" s="622">
        <f t="shared" si="35"/>
        <v>1250000</v>
      </c>
      <c r="C129" s="622">
        <f t="shared" si="30"/>
        <v>27.586856802595197</v>
      </c>
      <c r="D129" s="623">
        <f t="shared" si="31"/>
        <v>982.50844744085134</v>
      </c>
      <c r="E129" s="624">
        <f>C31*1000000</f>
        <v>14196352.685462618</v>
      </c>
      <c r="F129" s="626">
        <f>C30</f>
        <v>4.4100330374424939</v>
      </c>
      <c r="G129" s="626"/>
      <c r="H129" s="626"/>
      <c r="I129" s="626"/>
      <c r="J129" s="166"/>
      <c r="K129" s="166"/>
      <c r="L129" s="166"/>
      <c r="M129" s="166"/>
      <c r="N129" s="166"/>
      <c r="O129" s="166"/>
      <c r="P129" s="166"/>
      <c r="Q129" s="166"/>
      <c r="R129" s="166"/>
      <c r="S129" s="166">
        <v>11</v>
      </c>
      <c r="T129" s="166">
        <v>18.627203065134101</v>
      </c>
      <c r="U129" s="166">
        <v>17.736015325670497</v>
      </c>
      <c r="V129" s="166">
        <f t="shared" si="32"/>
        <v>1.6764482758620691</v>
      </c>
      <c r="W129" s="166">
        <f t="shared" si="32"/>
        <v>1.5962413793103445</v>
      </c>
      <c r="X129" s="166">
        <f t="shared" si="33"/>
        <v>1.4</v>
      </c>
      <c r="Y129" s="625">
        <f t="shared" si="34"/>
        <v>1.2</v>
      </c>
      <c r="Z129" s="177"/>
      <c r="AA129" s="177"/>
      <c r="AB129" s="177"/>
      <c r="AC129" s="177"/>
      <c r="AD129" s="177"/>
      <c r="AE129" s="177"/>
      <c r="AF129" s="177"/>
      <c r="AG129" s="175"/>
    </row>
    <row r="130" spans="1:33" ht="14.45" hidden="1" x14ac:dyDescent="0.3">
      <c r="A130" s="176"/>
      <c r="B130" s="622">
        <f t="shared" si="35"/>
        <v>1500000</v>
      </c>
      <c r="C130" s="622">
        <f t="shared" si="30"/>
        <v>22.989047335495993</v>
      </c>
      <c r="D130" s="623">
        <f t="shared" si="31"/>
        <v>682.29753294503553</v>
      </c>
      <c r="E130" s="624"/>
      <c r="F130" s="166"/>
      <c r="G130" s="166"/>
      <c r="H130" s="166"/>
      <c r="I130" s="166"/>
      <c r="J130" s="166"/>
      <c r="K130" s="166"/>
      <c r="L130" s="166"/>
      <c r="M130" s="166"/>
      <c r="N130" s="166"/>
      <c r="O130" s="166"/>
      <c r="P130" s="166"/>
      <c r="Q130" s="166"/>
      <c r="R130" s="166"/>
      <c r="S130" s="166">
        <v>10</v>
      </c>
      <c r="T130" s="166">
        <v>21.622605363984675</v>
      </c>
      <c r="U130" s="166">
        <v>20.666666666666668</v>
      </c>
      <c r="V130" s="166">
        <f t="shared" si="32"/>
        <v>1.9460344827586209</v>
      </c>
      <c r="W130" s="166">
        <f t="shared" si="32"/>
        <v>1.8599999999999999</v>
      </c>
      <c r="X130" s="166">
        <f t="shared" si="33"/>
        <v>1.4</v>
      </c>
      <c r="Y130" s="625">
        <f t="shared" si="34"/>
        <v>1.2</v>
      </c>
      <c r="Z130" s="177"/>
      <c r="AA130" s="177"/>
      <c r="AB130" s="177"/>
      <c r="AC130" s="177"/>
      <c r="AD130" s="177"/>
      <c r="AE130" s="177"/>
      <c r="AF130" s="177"/>
      <c r="AG130" s="175"/>
    </row>
    <row r="131" spans="1:33" ht="14.45" hidden="1" x14ac:dyDescent="0.3">
      <c r="A131" s="176"/>
      <c r="B131" s="622">
        <f t="shared" si="35"/>
        <v>1750000</v>
      </c>
      <c r="C131" s="622">
        <f t="shared" si="30"/>
        <v>19.704897716139428</v>
      </c>
      <c r="D131" s="623">
        <f t="shared" si="31"/>
        <v>501.27982012288322</v>
      </c>
      <c r="E131" s="624"/>
      <c r="F131" s="166"/>
      <c r="G131" s="166"/>
      <c r="H131" s="166"/>
      <c r="I131" s="166"/>
      <c r="J131" s="166"/>
      <c r="K131" s="166"/>
      <c r="L131" s="166"/>
      <c r="M131" s="166"/>
      <c r="N131" s="166"/>
      <c r="O131" s="166"/>
      <c r="P131" s="166"/>
      <c r="Q131" s="166"/>
      <c r="R131" s="166"/>
      <c r="S131" s="166">
        <v>9</v>
      </c>
      <c r="T131" s="166">
        <v>24.501149425287355</v>
      </c>
      <c r="U131" s="166">
        <v>23.232183908045972</v>
      </c>
      <c r="V131" s="166">
        <f t="shared" si="32"/>
        <v>2.205103448275862</v>
      </c>
      <c r="W131" s="166">
        <f t="shared" si="32"/>
        <v>2.0908965517241374</v>
      </c>
      <c r="X131" s="166">
        <f t="shared" si="33"/>
        <v>1.4</v>
      </c>
      <c r="Y131" s="625">
        <f t="shared" si="34"/>
        <v>1.2</v>
      </c>
      <c r="Z131" s="177"/>
      <c r="AA131" s="177"/>
      <c r="AB131" s="177"/>
      <c r="AC131" s="177"/>
      <c r="AD131" s="177"/>
      <c r="AE131" s="177"/>
      <c r="AF131" s="177"/>
      <c r="AG131" s="175"/>
    </row>
    <row r="132" spans="1:33" ht="14.45" hidden="1" x14ac:dyDescent="0.3">
      <c r="A132" s="176"/>
      <c r="B132" s="622">
        <f t="shared" si="35"/>
        <v>2000000</v>
      </c>
      <c r="C132" s="622">
        <f t="shared" si="30"/>
        <v>17.241785501621997</v>
      </c>
      <c r="D132" s="623">
        <f t="shared" si="31"/>
        <v>383.7923622815826</v>
      </c>
      <c r="E132" s="624">
        <f>1000000000/(PI()*SQRT(2*F132*C$13))</f>
        <v>13318021.257948814</v>
      </c>
      <c r="F132" s="166">
        <f>C10*C44</f>
        <v>5.0109029987802671</v>
      </c>
      <c r="G132" s="166"/>
      <c r="H132" s="166"/>
      <c r="I132" s="166"/>
      <c r="J132" s="166" t="s">
        <v>437</v>
      </c>
      <c r="K132" s="166"/>
      <c r="L132" s="166"/>
      <c r="M132" s="166"/>
      <c r="N132" s="166"/>
      <c r="O132" s="166"/>
      <c r="P132" s="166"/>
      <c r="Q132" s="166"/>
      <c r="R132" s="166"/>
      <c r="S132" s="166">
        <v>8</v>
      </c>
      <c r="T132" s="166">
        <v>27.383524904214564</v>
      </c>
      <c r="U132" s="166">
        <v>25.91072796934866</v>
      </c>
      <c r="V132" s="166">
        <f t="shared" si="32"/>
        <v>2.4645172413793106</v>
      </c>
      <c r="W132" s="166">
        <f t="shared" si="32"/>
        <v>2.3319655172413789</v>
      </c>
      <c r="X132" s="166">
        <f t="shared" si="33"/>
        <v>1.4</v>
      </c>
      <c r="Y132" s="625">
        <f t="shared" si="34"/>
        <v>1.2</v>
      </c>
      <c r="Z132" s="177"/>
      <c r="AA132" s="177"/>
      <c r="AB132" s="177"/>
      <c r="AC132" s="177"/>
      <c r="AD132" s="177"/>
      <c r="AE132" s="177"/>
      <c r="AF132" s="177"/>
      <c r="AG132" s="175"/>
    </row>
    <row r="133" spans="1:33" ht="14.45" hidden="1" x14ac:dyDescent="0.3">
      <c r="A133" s="176"/>
      <c r="B133" s="622">
        <f t="shared" si="35"/>
        <v>2250000</v>
      </c>
      <c r="C133" s="622">
        <f t="shared" si="30"/>
        <v>15.32603155699733</v>
      </c>
      <c r="D133" s="623">
        <f t="shared" si="31"/>
        <v>303.24334797557145</v>
      </c>
      <c r="E133" s="624">
        <f>1000000000/(PI()*SQRT(2*F133*C$13))</f>
        <v>13882331.893091129</v>
      </c>
      <c r="F133" s="166">
        <f>C10*C54</f>
        <v>4.6118009774880893</v>
      </c>
      <c r="G133" s="166"/>
      <c r="H133" s="166"/>
      <c r="I133" s="166"/>
      <c r="J133" s="166" t="s">
        <v>438</v>
      </c>
      <c r="K133" s="166"/>
      <c r="L133" s="166"/>
      <c r="M133" s="166"/>
      <c r="N133" s="166"/>
      <c r="O133" s="166"/>
      <c r="P133" s="166"/>
      <c r="Q133" s="166"/>
      <c r="R133" s="166"/>
      <c r="S133" s="166">
        <v>7</v>
      </c>
      <c r="T133" s="166">
        <v>30.434482758620693</v>
      </c>
      <c r="U133" s="166">
        <v>28.681992337164754</v>
      </c>
      <c r="V133" s="166">
        <f t="shared" si="32"/>
        <v>2.7391034482758623</v>
      </c>
      <c r="W133" s="166">
        <f t="shared" si="32"/>
        <v>2.5813793103448277</v>
      </c>
      <c r="X133" s="166">
        <f t="shared" si="33"/>
        <v>1.4</v>
      </c>
      <c r="Y133" s="625">
        <f t="shared" si="34"/>
        <v>1.2</v>
      </c>
      <c r="Z133" s="177"/>
      <c r="AA133" s="177"/>
      <c r="AB133" s="177"/>
      <c r="AC133" s="177"/>
      <c r="AD133" s="177"/>
      <c r="AE133" s="177"/>
      <c r="AF133" s="177"/>
      <c r="AG133" s="175"/>
    </row>
    <row r="134" spans="1:33" ht="14.45" hidden="1" x14ac:dyDescent="0.3">
      <c r="A134" s="176"/>
      <c r="B134" s="622">
        <f t="shared" si="35"/>
        <v>2500000</v>
      </c>
      <c r="C134" s="622">
        <f t="shared" si="30"/>
        <v>13.793428401297598</v>
      </c>
      <c r="D134" s="623">
        <f t="shared" si="31"/>
        <v>245.62711186021284</v>
      </c>
      <c r="E134" s="166"/>
      <c r="F134" s="166"/>
      <c r="G134" s="166"/>
      <c r="H134" s="166"/>
      <c r="I134" s="166"/>
      <c r="J134" s="166"/>
      <c r="K134" s="166"/>
      <c r="L134" s="166"/>
      <c r="M134" s="166"/>
      <c r="N134" s="166"/>
      <c r="O134" s="166"/>
      <c r="P134" s="166"/>
      <c r="Q134" s="166"/>
      <c r="R134" s="166"/>
      <c r="S134" s="166">
        <v>6</v>
      </c>
      <c r="T134" s="166">
        <v>33.48735632183908</v>
      </c>
      <c r="U134" s="166">
        <v>31.35325670498084</v>
      </c>
      <c r="V134" s="166">
        <f t="shared" si="32"/>
        <v>3.0138620689655173</v>
      </c>
      <c r="W134" s="166">
        <f t="shared" si="32"/>
        <v>2.8217931034482757</v>
      </c>
      <c r="X134" s="166">
        <f t="shared" si="33"/>
        <v>1.4</v>
      </c>
      <c r="Y134" s="625">
        <f t="shared" si="34"/>
        <v>1.2</v>
      </c>
      <c r="Z134" s="177"/>
      <c r="AA134" s="177"/>
      <c r="AB134" s="177"/>
      <c r="AC134" s="177"/>
      <c r="AD134" s="177"/>
      <c r="AE134" s="177"/>
      <c r="AF134" s="177"/>
      <c r="AG134" s="175"/>
    </row>
    <row r="135" spans="1:33" ht="14.45" hidden="1" x14ac:dyDescent="0.3">
      <c r="A135" s="176"/>
      <c r="B135" s="622">
        <f t="shared" si="35"/>
        <v>2750000</v>
      </c>
      <c r="C135" s="622">
        <f t="shared" si="30"/>
        <v>12.539480364815997</v>
      </c>
      <c r="D135" s="623">
        <f t="shared" si="31"/>
        <v>202.99761310761392</v>
      </c>
      <c r="E135" s="166"/>
      <c r="F135" s="166"/>
      <c r="G135" s="166"/>
      <c r="H135" s="166"/>
      <c r="I135" s="166"/>
      <c r="J135" s="166"/>
      <c r="K135" s="166"/>
      <c r="L135" s="166"/>
      <c r="M135" s="166"/>
      <c r="N135" s="166"/>
      <c r="O135" s="166"/>
      <c r="P135" s="166"/>
      <c r="Q135" s="166"/>
      <c r="R135" s="166"/>
      <c r="S135" s="166">
        <v>5</v>
      </c>
      <c r="T135" s="166">
        <v>36.708812260536398</v>
      </c>
      <c r="U135" s="166">
        <v>33.976245210727967</v>
      </c>
      <c r="V135" s="166">
        <f t="shared" si="32"/>
        <v>3.3037931034482759</v>
      </c>
      <c r="W135" s="166">
        <f t="shared" si="32"/>
        <v>3.0578620689655169</v>
      </c>
      <c r="X135" s="166">
        <f t="shared" si="33"/>
        <v>1.4</v>
      </c>
      <c r="Y135" s="625">
        <f t="shared" si="34"/>
        <v>1.2</v>
      </c>
      <c r="Z135" s="177"/>
      <c r="AA135" s="177"/>
      <c r="AB135" s="177"/>
      <c r="AC135" s="177"/>
      <c r="AD135" s="177"/>
      <c r="AE135" s="177"/>
      <c r="AF135" s="177"/>
      <c r="AG135" s="175"/>
    </row>
    <row r="136" spans="1:33" ht="14.45" hidden="1" x14ac:dyDescent="0.3">
      <c r="A136" s="176"/>
      <c r="B136" s="622">
        <f t="shared" si="35"/>
        <v>3000000</v>
      </c>
      <c r="C136" s="622">
        <f t="shared" si="30"/>
        <v>11.494523667747996</v>
      </c>
      <c r="D136" s="623">
        <f t="shared" si="31"/>
        <v>170.57438323625888</v>
      </c>
      <c r="E136" s="166"/>
      <c r="F136" s="166"/>
      <c r="G136" s="166"/>
      <c r="H136" s="166"/>
      <c r="I136" s="166"/>
      <c r="J136" s="166"/>
      <c r="K136" s="166"/>
      <c r="L136" s="166"/>
      <c r="M136" s="166"/>
      <c r="N136" s="166"/>
      <c r="O136" s="166"/>
      <c r="P136" s="166"/>
      <c r="Q136" s="166"/>
      <c r="R136" s="166"/>
      <c r="S136" s="166">
        <v>4</v>
      </c>
      <c r="T136" s="166">
        <v>40.039463601532567</v>
      </c>
      <c r="U136" s="166">
        <v>36.918007662835244</v>
      </c>
      <c r="V136" s="166">
        <f t="shared" si="32"/>
        <v>3.6035517241379309</v>
      </c>
      <c r="W136" s="166">
        <f t="shared" si="32"/>
        <v>3.3226206896551722</v>
      </c>
      <c r="X136" s="166">
        <f t="shared" si="33"/>
        <v>1.4</v>
      </c>
      <c r="Y136" s="625">
        <f t="shared" si="34"/>
        <v>1.2</v>
      </c>
      <c r="Z136" s="177"/>
      <c r="AA136" s="177"/>
      <c r="AB136" s="177"/>
      <c r="AC136" s="177"/>
      <c r="AD136" s="177"/>
      <c r="AE136" s="177"/>
      <c r="AF136" s="177"/>
      <c r="AG136" s="175"/>
    </row>
    <row r="137" spans="1:33" ht="14.45" hidden="1" x14ac:dyDescent="0.3">
      <c r="A137" s="176"/>
      <c r="B137" s="622">
        <f t="shared" si="35"/>
        <v>3250000</v>
      </c>
      <c r="C137" s="622">
        <f t="shared" si="30"/>
        <v>10.610329539459689</v>
      </c>
      <c r="D137" s="623">
        <f t="shared" si="31"/>
        <v>145.34148630781823</v>
      </c>
      <c r="E137" s="166"/>
      <c r="F137" s="166"/>
      <c r="G137" s="166"/>
      <c r="H137" s="166"/>
      <c r="I137" s="166"/>
      <c r="J137" s="166"/>
      <c r="K137" s="166"/>
      <c r="L137" s="166"/>
      <c r="M137" s="166"/>
      <c r="N137" s="166"/>
      <c r="O137" s="166"/>
      <c r="P137" s="166"/>
      <c r="Q137" s="166"/>
      <c r="R137" s="166"/>
      <c r="S137" s="166">
        <v>3</v>
      </c>
      <c r="T137" s="166">
        <v>43.125670498084297</v>
      </c>
      <c r="U137" s="166">
        <v>39.567049808429118</v>
      </c>
      <c r="V137" s="166">
        <f t="shared" si="32"/>
        <v>3.8813103448275865</v>
      </c>
      <c r="W137" s="166">
        <f t="shared" si="32"/>
        <v>3.5610344827586204</v>
      </c>
      <c r="X137" s="166">
        <f t="shared" si="33"/>
        <v>1.4</v>
      </c>
      <c r="Y137" s="625">
        <f t="shared" si="34"/>
        <v>1.2</v>
      </c>
      <c r="Z137" s="177"/>
      <c r="AA137" s="177"/>
      <c r="AB137" s="177"/>
      <c r="AC137" s="177"/>
      <c r="AD137" s="177"/>
      <c r="AE137" s="177"/>
      <c r="AF137" s="177"/>
      <c r="AG137" s="175"/>
    </row>
    <row r="138" spans="1:33" ht="14.45" hidden="1" x14ac:dyDescent="0.3">
      <c r="A138" s="176"/>
      <c r="B138" s="622">
        <f t="shared" si="35"/>
        <v>3500000</v>
      </c>
      <c r="C138" s="622">
        <f t="shared" si="30"/>
        <v>9.8524488580697138</v>
      </c>
      <c r="D138" s="623">
        <f t="shared" si="31"/>
        <v>125.31995503072081</v>
      </c>
      <c r="E138" s="166"/>
      <c r="F138" s="166"/>
      <c r="G138" s="166"/>
      <c r="H138" s="166"/>
      <c r="I138" s="166"/>
      <c r="J138" s="166"/>
      <c r="K138" s="166"/>
      <c r="L138" s="166"/>
      <c r="M138" s="166"/>
      <c r="N138" s="166"/>
      <c r="O138" s="166"/>
      <c r="P138" s="166"/>
      <c r="Q138" s="166"/>
      <c r="R138" s="166"/>
      <c r="S138" s="166">
        <v>2</v>
      </c>
      <c r="T138" s="166">
        <v>46.011877394636009</v>
      </c>
      <c r="U138" s="166">
        <v>41.769731800766287</v>
      </c>
      <c r="V138" s="166">
        <f t="shared" si="32"/>
        <v>4.141068965517241</v>
      </c>
      <c r="W138" s="166">
        <f t="shared" si="32"/>
        <v>3.7592758620689657</v>
      </c>
      <c r="X138" s="166">
        <f t="shared" si="33"/>
        <v>1.4</v>
      </c>
      <c r="Y138" s="625">
        <f t="shared" si="34"/>
        <v>1.2</v>
      </c>
      <c r="Z138" s="177"/>
      <c r="AA138" s="177"/>
      <c r="AB138" s="177"/>
      <c r="AC138" s="177"/>
      <c r="AD138" s="177"/>
      <c r="AE138" s="177"/>
      <c r="AF138" s="177"/>
      <c r="AG138" s="175"/>
    </row>
    <row r="139" spans="1:33" ht="14.45" hidden="1" x14ac:dyDescent="0.3">
      <c r="A139" s="176"/>
      <c r="B139" s="622">
        <f t="shared" si="35"/>
        <v>3750000</v>
      </c>
      <c r="C139" s="622">
        <f t="shared" si="30"/>
        <v>9.1956189341983983</v>
      </c>
      <c r="D139" s="623">
        <f t="shared" si="31"/>
        <v>109.16760527120572</v>
      </c>
      <c r="E139" s="166"/>
      <c r="F139" s="166"/>
      <c r="G139" s="166"/>
      <c r="H139" s="166"/>
      <c r="I139" s="166"/>
      <c r="J139" s="166"/>
      <c r="K139" s="166"/>
      <c r="L139" s="166"/>
      <c r="M139" s="166"/>
      <c r="N139" s="166"/>
      <c r="O139" s="166"/>
      <c r="P139" s="166"/>
      <c r="Q139" s="166"/>
      <c r="R139" s="166"/>
      <c r="S139" s="166">
        <v>1</v>
      </c>
      <c r="T139" s="166">
        <v>49.546360153256707</v>
      </c>
      <c r="U139" s="166">
        <v>44.563218390804593</v>
      </c>
      <c r="V139" s="166">
        <f>T139/100*$C$23</f>
        <v>4.4591724137931035</v>
      </c>
      <c r="W139" s="166">
        <f>U139/100*$C$23</f>
        <v>4.0106896551724134</v>
      </c>
      <c r="X139" s="166">
        <f t="shared" si="33"/>
        <v>1.4</v>
      </c>
      <c r="Y139" s="625">
        <f t="shared" si="34"/>
        <v>1.2</v>
      </c>
      <c r="Z139" s="177"/>
      <c r="AA139" s="177"/>
      <c r="AB139" s="177"/>
      <c r="AC139" s="177"/>
      <c r="AD139" s="177"/>
      <c r="AE139" s="177"/>
      <c r="AF139" s="177"/>
      <c r="AG139" s="175"/>
    </row>
    <row r="140" spans="1:33" ht="14.45" hidden="1" x14ac:dyDescent="0.3">
      <c r="A140" s="176"/>
      <c r="B140" s="622">
        <f t="shared" si="35"/>
        <v>4000000</v>
      </c>
      <c r="C140" s="622">
        <f t="shared" si="30"/>
        <v>8.6208927508109987</v>
      </c>
      <c r="D140" s="623">
        <f t="shared" si="31"/>
        <v>95.948090570395649</v>
      </c>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77"/>
      <c r="AA140" s="177"/>
      <c r="AB140" s="177"/>
      <c r="AC140" s="177"/>
      <c r="AD140" s="177"/>
      <c r="AE140" s="177"/>
      <c r="AF140" s="177"/>
      <c r="AG140" s="175"/>
    </row>
    <row r="141" spans="1:33" ht="14.45" hidden="1" x14ac:dyDescent="0.3">
      <c r="A141" s="176"/>
      <c r="B141" s="622">
        <f t="shared" si="35"/>
        <v>4250000</v>
      </c>
      <c r="C141" s="622">
        <f t="shared" si="30"/>
        <v>8.1137814125279988</v>
      </c>
      <c r="D141" s="623">
        <f t="shared" si="31"/>
        <v>84.992080228447335</v>
      </c>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77"/>
      <c r="AA141" s="177"/>
      <c r="AB141" s="177"/>
      <c r="AC141" s="177"/>
      <c r="AD141" s="177"/>
      <c r="AE141" s="177"/>
      <c r="AF141" s="177"/>
    </row>
    <row r="142" spans="1:33" ht="14.45" hidden="1" x14ac:dyDescent="0.3">
      <c r="A142" s="176"/>
      <c r="B142" s="622">
        <f t="shared" si="35"/>
        <v>4500000</v>
      </c>
      <c r="C142" s="622">
        <f t="shared" si="30"/>
        <v>7.6630157784986652</v>
      </c>
      <c r="D142" s="623">
        <f t="shared" si="31"/>
        <v>75.810836993892863</v>
      </c>
      <c r="E142" s="166"/>
      <c r="F142" s="166"/>
      <c r="G142" s="166"/>
      <c r="H142" s="166"/>
      <c r="I142" s="166"/>
      <c r="J142" s="166"/>
      <c r="K142" s="166"/>
      <c r="L142" s="166"/>
      <c r="M142" s="166"/>
      <c r="N142" s="166"/>
      <c r="O142" s="166"/>
      <c r="P142" s="166"/>
      <c r="Q142" s="166"/>
      <c r="R142" s="166"/>
      <c r="S142" s="166"/>
      <c r="T142" s="166"/>
      <c r="U142" s="166"/>
      <c r="V142" s="166"/>
      <c r="W142" s="166"/>
      <c r="X142" s="166"/>
      <c r="Y142" s="166"/>
    </row>
    <row r="143" spans="1:33" ht="14.45" hidden="1" x14ac:dyDescent="0.3">
      <c r="A143" s="176"/>
      <c r="B143" s="622">
        <f t="shared" si="35"/>
        <v>4750000</v>
      </c>
      <c r="C143" s="622">
        <f t="shared" si="30"/>
        <v>7.2596991585776829</v>
      </c>
      <c r="D143" s="623">
        <f t="shared" si="31"/>
        <v>68.040751207815177</v>
      </c>
      <c r="E143" s="166"/>
      <c r="F143" s="166"/>
      <c r="G143" s="166"/>
      <c r="H143" s="166"/>
      <c r="I143" s="166"/>
      <c r="J143" s="166"/>
      <c r="K143" s="166"/>
      <c r="L143" s="166"/>
      <c r="M143" s="166"/>
      <c r="N143" s="166"/>
      <c r="O143" s="166"/>
      <c r="P143" s="166"/>
      <c r="Q143" s="166"/>
      <c r="R143" s="166"/>
      <c r="S143" s="166"/>
      <c r="T143" s="166"/>
      <c r="U143" s="166"/>
      <c r="V143" s="166"/>
      <c r="W143" s="166"/>
      <c r="X143" s="166"/>
      <c r="Y143" s="166"/>
    </row>
    <row r="144" spans="1:33" ht="14.45" hidden="1" x14ac:dyDescent="0.3">
      <c r="A144" s="178"/>
      <c r="B144" s="622">
        <f t="shared" si="35"/>
        <v>5000000</v>
      </c>
      <c r="C144" s="622">
        <f t="shared" si="30"/>
        <v>6.8967142006487991</v>
      </c>
      <c r="D144" s="623">
        <f t="shared" si="31"/>
        <v>61.406777965053209</v>
      </c>
      <c r="E144" s="166"/>
      <c r="F144" s="166"/>
      <c r="G144" s="166"/>
      <c r="H144" s="166"/>
      <c r="I144" s="166"/>
      <c r="J144" s="166"/>
      <c r="K144" s="166"/>
      <c r="L144" s="166"/>
      <c r="M144" s="166"/>
      <c r="N144" s="166"/>
      <c r="O144" s="166"/>
      <c r="P144" s="166"/>
      <c r="Q144" s="166"/>
      <c r="R144" s="166"/>
      <c r="S144" s="166"/>
      <c r="T144" s="166"/>
      <c r="U144" s="166"/>
      <c r="V144" s="166"/>
      <c r="W144" s="166"/>
      <c r="X144" s="166"/>
      <c r="Y144" s="166"/>
    </row>
    <row r="145" spans="1:25" ht="14.45" hidden="1" x14ac:dyDescent="0.3">
      <c r="A145" s="178"/>
      <c r="B145" s="622">
        <f t="shared" si="35"/>
        <v>5250000</v>
      </c>
      <c r="C145" s="622">
        <f t="shared" si="30"/>
        <v>6.5682992387131414</v>
      </c>
      <c r="D145" s="623">
        <f t="shared" si="31"/>
        <v>55.697757791431471</v>
      </c>
      <c r="E145" s="166"/>
      <c r="F145" s="166"/>
      <c r="G145" s="166"/>
      <c r="H145" s="166"/>
      <c r="I145" s="166"/>
      <c r="J145" s="166"/>
      <c r="K145" s="166"/>
      <c r="L145" s="166"/>
      <c r="M145" s="166"/>
      <c r="N145" s="166"/>
      <c r="O145" s="166"/>
      <c r="P145" s="166"/>
      <c r="Q145" s="166"/>
      <c r="R145" s="166"/>
      <c r="S145" s="166"/>
      <c r="T145" s="166"/>
      <c r="U145" s="166"/>
      <c r="V145" s="166"/>
      <c r="W145" s="166"/>
      <c r="X145" s="166"/>
      <c r="Y145" s="166"/>
    </row>
    <row r="146" spans="1:25" ht="14.45" hidden="1" x14ac:dyDescent="0.3">
      <c r="A146" s="178"/>
      <c r="B146" s="622">
        <f t="shared" si="35"/>
        <v>5500000</v>
      </c>
      <c r="C146" s="622">
        <f t="shared" si="30"/>
        <v>6.2697401824079986</v>
      </c>
      <c r="D146" s="623">
        <f t="shared" si="31"/>
        <v>50.749403276903479</v>
      </c>
      <c r="E146" s="166"/>
      <c r="F146" s="166"/>
      <c r="G146" s="166"/>
      <c r="H146" s="166"/>
      <c r="I146" s="166"/>
      <c r="J146" s="166"/>
      <c r="K146" s="166"/>
      <c r="L146" s="166"/>
      <c r="M146" s="166"/>
      <c r="N146" s="166"/>
      <c r="O146" s="166"/>
      <c r="P146" s="166"/>
      <c r="Q146" s="166"/>
      <c r="R146" s="166"/>
      <c r="S146" s="166"/>
      <c r="T146" s="166"/>
      <c r="U146" s="166"/>
      <c r="V146" s="166"/>
      <c r="W146" s="166"/>
      <c r="X146" s="166"/>
      <c r="Y146" s="166"/>
    </row>
    <row r="147" spans="1:25" ht="14.45" hidden="1" x14ac:dyDescent="0.3">
      <c r="A147" s="178"/>
      <c r="B147" s="622">
        <f t="shared" si="35"/>
        <v>5750000</v>
      </c>
      <c r="C147" s="622">
        <f t="shared" si="30"/>
        <v>5.997142783172869</v>
      </c>
      <c r="D147" s="623">
        <f t="shared" si="31"/>
        <v>46.432346287374834</v>
      </c>
      <c r="E147" s="166"/>
      <c r="F147" s="166"/>
      <c r="G147" s="166"/>
      <c r="H147" s="166"/>
      <c r="I147" s="166"/>
      <c r="J147" s="166"/>
      <c r="K147" s="166"/>
      <c r="L147" s="166"/>
      <c r="M147" s="166"/>
      <c r="N147" s="166"/>
      <c r="O147" s="166"/>
      <c r="P147" s="166"/>
      <c r="Q147" s="166"/>
      <c r="R147" s="166"/>
      <c r="S147" s="166"/>
      <c r="T147" s="166"/>
      <c r="U147" s="166"/>
      <c r="V147" s="166"/>
      <c r="W147" s="166"/>
      <c r="X147" s="166"/>
      <c r="Y147" s="166"/>
    </row>
    <row r="148" spans="1:25" ht="14.45" hidden="1" x14ac:dyDescent="0.3">
      <c r="A148" s="178"/>
      <c r="B148" s="622">
        <f t="shared" si="35"/>
        <v>6000000</v>
      </c>
      <c r="C148" s="622">
        <f t="shared" si="30"/>
        <v>5.7472618338739982</v>
      </c>
      <c r="D148" s="623">
        <f t="shared" si="31"/>
        <v>42.64359580906472</v>
      </c>
      <c r="E148" s="166"/>
      <c r="F148" s="166"/>
      <c r="G148" s="166"/>
      <c r="H148" s="166"/>
      <c r="I148" s="166"/>
      <c r="J148" s="166"/>
      <c r="K148" s="166"/>
      <c r="L148" s="166"/>
      <c r="M148" s="166"/>
      <c r="N148" s="166"/>
      <c r="O148" s="166"/>
      <c r="P148" s="166"/>
      <c r="Q148" s="166"/>
      <c r="R148" s="166"/>
      <c r="S148" s="166"/>
      <c r="T148" s="166"/>
      <c r="U148" s="166"/>
      <c r="V148" s="166"/>
      <c r="W148" s="166"/>
      <c r="X148" s="166"/>
      <c r="Y148" s="166"/>
    </row>
    <row r="149" spans="1:25" ht="14.45" hidden="1" x14ac:dyDescent="0.3">
      <c r="A149" s="178"/>
      <c r="B149" s="622">
        <f t="shared" si="35"/>
        <v>6250000</v>
      </c>
      <c r="C149" s="622">
        <f t="shared" si="30"/>
        <v>5.5173713605190384</v>
      </c>
      <c r="D149" s="623">
        <f t="shared" si="31"/>
        <v>39.300337897634058</v>
      </c>
      <c r="E149" s="166"/>
      <c r="F149" s="166"/>
      <c r="G149" s="166"/>
      <c r="H149" s="166"/>
      <c r="I149" s="166"/>
      <c r="J149" s="166"/>
      <c r="K149" s="166"/>
      <c r="L149" s="166"/>
      <c r="M149" s="166"/>
      <c r="N149" s="166"/>
      <c r="O149" s="166"/>
      <c r="P149" s="166"/>
      <c r="Q149" s="166"/>
      <c r="R149" s="166"/>
      <c r="S149" s="166"/>
      <c r="T149" s="166"/>
      <c r="U149" s="166"/>
      <c r="V149" s="166"/>
      <c r="W149" s="166"/>
      <c r="X149" s="166"/>
      <c r="Y149" s="166"/>
    </row>
    <row r="150" spans="1:25" ht="14.45" hidden="1" x14ac:dyDescent="0.3">
      <c r="A150" s="178"/>
      <c r="B150" s="622">
        <f t="shared" si="35"/>
        <v>6500000</v>
      </c>
      <c r="C150" s="622">
        <f t="shared" si="30"/>
        <v>5.3051647697298447</v>
      </c>
      <c r="D150" s="623">
        <f t="shared" si="31"/>
        <v>36.335371576954557</v>
      </c>
      <c r="E150" s="166"/>
      <c r="F150" s="166"/>
      <c r="G150" s="166"/>
      <c r="H150" s="166"/>
      <c r="I150" s="166"/>
      <c r="J150" s="166"/>
      <c r="K150" s="166"/>
      <c r="L150" s="166"/>
      <c r="M150" s="166"/>
      <c r="N150" s="166"/>
      <c r="O150" s="166"/>
      <c r="P150" s="166"/>
      <c r="Q150" s="166"/>
      <c r="R150" s="166"/>
      <c r="S150" s="166"/>
      <c r="T150" s="166"/>
      <c r="U150" s="166"/>
      <c r="V150" s="166"/>
      <c r="W150" s="166"/>
      <c r="X150" s="166"/>
      <c r="Y150" s="166"/>
    </row>
    <row r="151" spans="1:25" ht="14.45" hidden="1" x14ac:dyDescent="0.3">
      <c r="A151" s="178"/>
      <c r="B151" s="622">
        <f t="shared" si="35"/>
        <v>6750000</v>
      </c>
      <c r="C151" s="622">
        <f t="shared" si="30"/>
        <v>5.1086771856657771</v>
      </c>
      <c r="D151" s="623">
        <f t="shared" si="31"/>
        <v>33.693705330619039</v>
      </c>
      <c r="E151" s="166"/>
      <c r="F151" s="166"/>
      <c r="G151" s="166"/>
      <c r="H151" s="166"/>
      <c r="I151" s="166"/>
      <c r="J151" s="166"/>
      <c r="K151" s="166"/>
      <c r="L151" s="166"/>
      <c r="M151" s="166"/>
      <c r="N151" s="166"/>
      <c r="O151" s="166"/>
      <c r="P151" s="166"/>
      <c r="Q151" s="166"/>
      <c r="R151" s="166"/>
      <c r="S151" s="166"/>
      <c r="T151" s="166"/>
      <c r="U151" s="166"/>
      <c r="V151" s="166"/>
      <c r="W151" s="166"/>
      <c r="X151" s="166"/>
      <c r="Y151" s="166"/>
    </row>
    <row r="152" spans="1:25" ht="14.45" hidden="1" x14ac:dyDescent="0.3">
      <c r="A152" s="178"/>
      <c r="B152" s="622">
        <f t="shared" si="35"/>
        <v>7000000</v>
      </c>
      <c r="C152" s="622">
        <f t="shared" si="30"/>
        <v>4.9262244290348569</v>
      </c>
      <c r="D152" s="623">
        <f t="shared" si="31"/>
        <v>31.329988757680201</v>
      </c>
      <c r="E152" s="166"/>
      <c r="F152" s="166"/>
      <c r="G152" s="166"/>
      <c r="H152" s="166"/>
      <c r="I152" s="166"/>
      <c r="J152" s="166"/>
      <c r="K152" s="166"/>
      <c r="L152" s="166"/>
      <c r="M152" s="166"/>
      <c r="N152" s="166"/>
      <c r="O152" s="166"/>
      <c r="P152" s="166"/>
      <c r="Q152" s="166"/>
      <c r="R152" s="166"/>
      <c r="S152" s="166"/>
      <c r="T152" s="166"/>
      <c r="U152" s="166"/>
      <c r="V152" s="166"/>
      <c r="W152" s="166"/>
      <c r="X152" s="166"/>
      <c r="Y152" s="166"/>
    </row>
    <row r="153" spans="1:25" ht="14.45" hidden="1" x14ac:dyDescent="0.3">
      <c r="A153" s="178"/>
      <c r="B153" s="622">
        <f t="shared" si="35"/>
        <v>7250000</v>
      </c>
      <c r="C153" s="622">
        <f t="shared" si="30"/>
        <v>4.7563546211371026</v>
      </c>
      <c r="D153" s="623">
        <f t="shared" si="31"/>
        <v>29.206553134389154</v>
      </c>
      <c r="E153" s="166"/>
      <c r="F153" s="166"/>
      <c r="G153" s="166"/>
      <c r="H153" s="166"/>
      <c r="I153" s="166"/>
      <c r="J153" s="166"/>
      <c r="K153" s="166"/>
      <c r="L153" s="166"/>
      <c r="M153" s="166"/>
      <c r="N153" s="166"/>
      <c r="O153" s="166"/>
      <c r="P153" s="166"/>
      <c r="Q153" s="166"/>
      <c r="R153" s="166"/>
      <c r="S153" s="166"/>
      <c r="T153" s="166"/>
      <c r="U153" s="166"/>
      <c r="V153" s="166"/>
      <c r="W153" s="166"/>
      <c r="X153" s="166"/>
      <c r="Y153" s="166"/>
    </row>
    <row r="154" spans="1:25" ht="14.45" hidden="1" x14ac:dyDescent="0.3">
      <c r="A154" s="178"/>
      <c r="B154" s="622">
        <f t="shared" si="35"/>
        <v>7500000</v>
      </c>
      <c r="C154" s="622">
        <f t="shared" si="30"/>
        <v>4.5978094670991991</v>
      </c>
      <c r="D154" s="623">
        <f t="shared" si="31"/>
        <v>27.291901317801429</v>
      </c>
      <c r="E154" s="166"/>
      <c r="F154" s="166"/>
      <c r="G154" s="166"/>
      <c r="H154" s="166"/>
      <c r="I154" s="166"/>
      <c r="J154" s="166"/>
      <c r="K154" s="166"/>
      <c r="L154" s="166"/>
      <c r="M154" s="166"/>
      <c r="N154" s="166"/>
      <c r="O154" s="166"/>
      <c r="P154" s="166"/>
      <c r="Q154" s="166"/>
      <c r="R154" s="166"/>
      <c r="S154" s="166"/>
      <c r="T154" s="166"/>
      <c r="U154" s="166"/>
      <c r="V154" s="166"/>
      <c r="W154" s="166"/>
      <c r="X154" s="166"/>
      <c r="Y154" s="166"/>
    </row>
    <row r="155" spans="1:25" ht="14.45" hidden="1" x14ac:dyDescent="0.3">
      <c r="A155" s="178"/>
      <c r="B155" s="622">
        <f t="shared" si="35"/>
        <v>7750000</v>
      </c>
      <c r="C155" s="622">
        <f t="shared" si="30"/>
        <v>4.4494930326766449</v>
      </c>
      <c r="D155" s="623">
        <f t="shared" si="31"/>
        <v>25.559532971926409</v>
      </c>
      <c r="E155" s="166"/>
      <c r="F155" s="166"/>
      <c r="G155" s="166"/>
      <c r="H155" s="166"/>
      <c r="I155" s="166"/>
      <c r="J155" s="166"/>
      <c r="K155" s="166"/>
      <c r="L155" s="166"/>
      <c r="M155" s="166"/>
      <c r="N155" s="166"/>
      <c r="O155" s="166"/>
      <c r="P155" s="166"/>
      <c r="Q155" s="166"/>
      <c r="R155" s="166"/>
      <c r="S155" s="166"/>
      <c r="T155" s="166"/>
      <c r="U155" s="166"/>
      <c r="V155" s="166"/>
      <c r="W155" s="166"/>
      <c r="X155" s="166"/>
      <c r="Y155" s="166"/>
    </row>
    <row r="156" spans="1:25" ht="14.45" hidden="1" x14ac:dyDescent="0.3">
      <c r="A156" s="178"/>
      <c r="B156" s="622">
        <f t="shared" si="35"/>
        <v>8000000</v>
      </c>
      <c r="C156" s="622">
        <f t="shared" si="30"/>
        <v>4.3104463754054994</v>
      </c>
      <c r="D156" s="623">
        <f t="shared" si="31"/>
        <v>23.987022642598912</v>
      </c>
      <c r="E156" s="166"/>
      <c r="F156" s="166"/>
      <c r="G156" s="166"/>
      <c r="H156" s="166"/>
      <c r="I156" s="166"/>
      <c r="J156" s="166"/>
      <c r="K156" s="166"/>
      <c r="L156" s="166"/>
      <c r="M156" s="166"/>
      <c r="N156" s="166"/>
      <c r="O156" s="166"/>
      <c r="P156" s="166"/>
      <c r="Q156" s="166"/>
      <c r="R156" s="166"/>
      <c r="S156" s="166"/>
      <c r="T156" s="166"/>
      <c r="U156" s="166"/>
      <c r="V156" s="166"/>
      <c r="W156" s="166"/>
      <c r="X156" s="166"/>
      <c r="Y156" s="166"/>
    </row>
    <row r="157" spans="1:25" ht="14.45" hidden="1" x14ac:dyDescent="0.3">
      <c r="A157" s="178"/>
      <c r="B157" s="622">
        <f t="shared" si="35"/>
        <v>8250000</v>
      </c>
      <c r="C157" s="622">
        <f t="shared" si="30"/>
        <v>4.179826788271999</v>
      </c>
      <c r="D157" s="623">
        <f t="shared" si="31"/>
        <v>22.55529034529043</v>
      </c>
      <c r="E157" s="166"/>
      <c r="F157" s="166"/>
      <c r="G157" s="166"/>
      <c r="H157" s="166"/>
      <c r="I157" s="166"/>
      <c r="J157" s="166"/>
      <c r="K157" s="166"/>
      <c r="L157" s="166"/>
      <c r="M157" s="166"/>
      <c r="N157" s="166"/>
      <c r="O157" s="166"/>
      <c r="P157" s="166"/>
      <c r="Q157" s="166"/>
      <c r="R157" s="166"/>
      <c r="S157" s="166"/>
      <c r="T157" s="166"/>
      <c r="U157" s="166"/>
      <c r="V157" s="166"/>
      <c r="W157" s="166"/>
      <c r="X157" s="166"/>
      <c r="Y157" s="166"/>
    </row>
    <row r="158" spans="1:25" ht="14.45" hidden="1" x14ac:dyDescent="0.3">
      <c r="A158" s="178"/>
      <c r="B158" s="622">
        <f t="shared" si="35"/>
        <v>8500000</v>
      </c>
      <c r="C158" s="622">
        <f t="shared" si="30"/>
        <v>4.0568907062639994</v>
      </c>
      <c r="D158" s="623">
        <f t="shared" si="31"/>
        <v>21.248020057111834</v>
      </c>
      <c r="E158" s="166"/>
      <c r="F158" s="166"/>
      <c r="G158" s="166"/>
      <c r="H158" s="166"/>
      <c r="I158" s="166"/>
      <c r="J158" s="166"/>
      <c r="K158" s="166"/>
      <c r="L158" s="166"/>
      <c r="M158" s="166"/>
      <c r="N158" s="166"/>
      <c r="O158" s="166"/>
      <c r="P158" s="166"/>
      <c r="Q158" s="166"/>
      <c r="R158" s="166"/>
      <c r="S158" s="166"/>
      <c r="T158" s="166"/>
      <c r="U158" s="166"/>
      <c r="V158" s="166"/>
      <c r="W158" s="166"/>
      <c r="X158" s="166"/>
      <c r="Y158" s="166"/>
    </row>
    <row r="159" spans="1:25" ht="14.45" hidden="1" x14ac:dyDescent="0.3">
      <c r="A159" s="178"/>
      <c r="B159" s="622">
        <f t="shared" ref="B159:B191" si="36">B158+B$125</f>
        <v>8750000</v>
      </c>
      <c r="C159" s="622">
        <f t="shared" si="30"/>
        <v>3.9409795432278845</v>
      </c>
      <c r="D159" s="623">
        <f t="shared" si="31"/>
        <v>20.051192804915331</v>
      </c>
      <c r="E159" s="166"/>
      <c r="F159" s="166"/>
      <c r="G159" s="166"/>
      <c r="H159" s="166"/>
      <c r="I159" s="166"/>
      <c r="J159" s="166"/>
      <c r="K159" s="166"/>
      <c r="L159" s="166"/>
      <c r="M159" s="166"/>
      <c r="N159" s="166"/>
      <c r="O159" s="166"/>
      <c r="P159" s="166"/>
      <c r="Q159" s="166"/>
      <c r="R159" s="166"/>
      <c r="S159" s="166"/>
      <c r="T159" s="166"/>
      <c r="U159" s="166"/>
      <c r="V159" s="166"/>
      <c r="W159" s="166"/>
      <c r="X159" s="166"/>
      <c r="Y159" s="166"/>
    </row>
    <row r="160" spans="1:25" ht="14.45" hidden="1" x14ac:dyDescent="0.3">
      <c r="A160" s="178"/>
      <c r="B160" s="622">
        <f t="shared" si="36"/>
        <v>9000000</v>
      </c>
      <c r="C160" s="622">
        <f t="shared" si="30"/>
        <v>3.8315078892493326</v>
      </c>
      <c r="D160" s="623">
        <f t="shared" si="31"/>
        <v>18.952709248473216</v>
      </c>
      <c r="E160" s="166"/>
      <c r="F160" s="166"/>
      <c r="G160" s="166"/>
      <c r="H160" s="166"/>
      <c r="I160" s="166"/>
      <c r="J160" s="166"/>
      <c r="K160" s="166"/>
      <c r="L160" s="166"/>
      <c r="M160" s="166"/>
      <c r="N160" s="166"/>
      <c r="O160" s="166"/>
      <c r="P160" s="166"/>
      <c r="Q160" s="166"/>
      <c r="R160" s="166"/>
      <c r="S160" s="166"/>
      <c r="T160" s="166"/>
      <c r="U160" s="166"/>
      <c r="V160" s="166"/>
      <c r="W160" s="166"/>
      <c r="X160" s="166"/>
      <c r="Y160" s="166"/>
    </row>
    <row r="161" spans="1:25" ht="14.45" hidden="1" x14ac:dyDescent="0.3">
      <c r="A161" s="178"/>
      <c r="B161" s="622">
        <f t="shared" si="36"/>
        <v>9250000</v>
      </c>
      <c r="C161" s="622">
        <f t="shared" si="30"/>
        <v>3.7279536219723237</v>
      </c>
      <c r="D161" s="623">
        <f t="shared" si="31"/>
        <v>17.942082677882603</v>
      </c>
      <c r="E161" s="166"/>
      <c r="F161" s="166"/>
      <c r="G161" s="166"/>
      <c r="H161" s="166"/>
      <c r="I161" s="166"/>
      <c r="J161" s="166"/>
      <c r="K161" s="166"/>
      <c r="L161" s="166"/>
      <c r="M161" s="166"/>
      <c r="N161" s="166"/>
      <c r="O161" s="166"/>
      <c r="P161" s="166"/>
      <c r="Q161" s="166"/>
      <c r="R161" s="166"/>
      <c r="S161" s="166"/>
      <c r="T161" s="166"/>
      <c r="U161" s="166"/>
      <c r="V161" s="166"/>
      <c r="W161" s="166"/>
      <c r="X161" s="166"/>
      <c r="Y161" s="166"/>
    </row>
    <row r="162" spans="1:25" ht="14.45" hidden="1" x14ac:dyDescent="0.3">
      <c r="A162" s="178"/>
      <c r="B162" s="622">
        <f t="shared" si="36"/>
        <v>9500000</v>
      </c>
      <c r="C162" s="622">
        <f t="shared" si="30"/>
        <v>3.6298495792888414</v>
      </c>
      <c r="D162" s="623">
        <f t="shared" si="31"/>
        <v>17.010187801953794</v>
      </c>
      <c r="E162" s="166"/>
      <c r="F162" s="166"/>
      <c r="G162" s="166"/>
      <c r="H162" s="166"/>
      <c r="I162" s="166"/>
      <c r="J162" s="166"/>
      <c r="K162" s="166"/>
      <c r="L162" s="166"/>
      <c r="M162" s="166"/>
      <c r="N162" s="166"/>
      <c r="O162" s="166"/>
      <c r="P162" s="166"/>
      <c r="Q162" s="166"/>
      <c r="R162" s="166"/>
      <c r="S162" s="166"/>
      <c r="T162" s="166"/>
      <c r="U162" s="166"/>
      <c r="V162" s="166"/>
      <c r="W162" s="166"/>
      <c r="X162" s="166"/>
      <c r="Y162" s="166"/>
    </row>
    <row r="163" spans="1:25" ht="14.45" hidden="1" x14ac:dyDescent="0.3">
      <c r="A163" s="178"/>
      <c r="B163" s="622">
        <f t="shared" si="36"/>
        <v>9750000</v>
      </c>
      <c r="C163" s="622">
        <f t="shared" si="30"/>
        <v>3.5367765131532298</v>
      </c>
      <c r="D163" s="623">
        <f t="shared" si="31"/>
        <v>16.149054034202027</v>
      </c>
      <c r="E163" s="166"/>
      <c r="F163" s="166"/>
      <c r="G163" s="166"/>
      <c r="H163" s="166"/>
      <c r="I163" s="166"/>
      <c r="J163" s="166"/>
      <c r="K163" s="166"/>
      <c r="L163" s="166"/>
      <c r="M163" s="166"/>
      <c r="N163" s="166"/>
      <c r="O163" s="166"/>
      <c r="P163" s="166"/>
      <c r="Q163" s="166"/>
      <c r="R163" s="166"/>
      <c r="S163" s="166"/>
      <c r="T163" s="166"/>
      <c r="U163" s="166"/>
      <c r="V163" s="166"/>
      <c r="W163" s="166"/>
      <c r="X163" s="166"/>
      <c r="Y163" s="166"/>
    </row>
    <row r="164" spans="1:25" ht="14.45" hidden="1" x14ac:dyDescent="0.3">
      <c r="A164" s="178"/>
      <c r="B164" s="622">
        <f t="shared" si="36"/>
        <v>10000000</v>
      </c>
      <c r="C164" s="622">
        <f t="shared" si="30"/>
        <v>3.4483571003243996</v>
      </c>
      <c r="D164" s="623">
        <f t="shared" si="31"/>
        <v>15.351694491263302</v>
      </c>
      <c r="E164" s="166"/>
      <c r="F164" s="166"/>
      <c r="G164" s="166"/>
      <c r="H164" s="166"/>
      <c r="I164" s="166"/>
      <c r="J164" s="166"/>
      <c r="K164" s="166"/>
      <c r="L164" s="166"/>
      <c r="M164" s="166"/>
      <c r="N164" s="166"/>
      <c r="O164" s="166"/>
      <c r="P164" s="166"/>
      <c r="Q164" s="166"/>
      <c r="R164" s="166"/>
      <c r="S164" s="166"/>
      <c r="T164" s="166"/>
      <c r="U164" s="166"/>
      <c r="V164" s="166"/>
      <c r="W164" s="166"/>
      <c r="X164" s="166"/>
      <c r="Y164" s="166"/>
    </row>
    <row r="165" spans="1:25" ht="14.45" hidden="1" x14ac:dyDescent="0.3">
      <c r="A165" s="178"/>
      <c r="B165" s="622">
        <f t="shared" si="36"/>
        <v>10250000</v>
      </c>
      <c r="C165" s="622">
        <f t="shared" si="30"/>
        <v>3.3642508295847797</v>
      </c>
      <c r="D165" s="623">
        <f t="shared" si="31"/>
        <v>14.611963822737229</v>
      </c>
      <c r="E165" s="166"/>
      <c r="F165" s="166"/>
      <c r="G165" s="166"/>
      <c r="H165" s="166"/>
      <c r="I165" s="166"/>
      <c r="J165" s="166"/>
      <c r="K165" s="166"/>
      <c r="L165" s="166"/>
      <c r="M165" s="166"/>
      <c r="N165" s="166"/>
      <c r="O165" s="166"/>
      <c r="P165" s="166"/>
      <c r="Q165" s="166"/>
      <c r="R165" s="166"/>
      <c r="S165" s="166"/>
      <c r="T165" s="166"/>
      <c r="U165" s="166"/>
      <c r="V165" s="166"/>
      <c r="W165" s="166"/>
      <c r="X165" s="166"/>
      <c r="Y165" s="166"/>
    </row>
    <row r="166" spans="1:25" ht="14.45" hidden="1" x14ac:dyDescent="0.3">
      <c r="A166" s="178"/>
      <c r="B166" s="622">
        <f t="shared" si="36"/>
        <v>10500000</v>
      </c>
      <c r="C166" s="622">
        <f t="shared" si="30"/>
        <v>3.2841496193565707</v>
      </c>
      <c r="D166" s="623">
        <f t="shared" si="31"/>
        <v>13.924439447857868</v>
      </c>
      <c r="E166" s="166"/>
      <c r="F166" s="166"/>
      <c r="G166" s="166"/>
      <c r="H166" s="166"/>
      <c r="I166" s="166"/>
      <c r="J166" s="166"/>
      <c r="K166" s="166"/>
      <c r="L166" s="166"/>
      <c r="M166" s="166"/>
      <c r="N166" s="166"/>
      <c r="O166" s="166"/>
      <c r="P166" s="166"/>
      <c r="Q166" s="166"/>
      <c r="R166" s="166"/>
      <c r="S166" s="166"/>
      <c r="T166" s="166"/>
      <c r="U166" s="166"/>
      <c r="V166" s="166"/>
      <c r="W166" s="166"/>
      <c r="X166" s="166"/>
      <c r="Y166" s="166"/>
    </row>
    <row r="167" spans="1:25" ht="14.45" hidden="1" x14ac:dyDescent="0.3">
      <c r="A167" s="178"/>
      <c r="B167" s="622">
        <f t="shared" si="36"/>
        <v>10750000</v>
      </c>
      <c r="C167" s="622">
        <f t="shared" si="30"/>
        <v>3.2077740468133946</v>
      </c>
      <c r="D167" s="623">
        <f t="shared" si="31"/>
        <v>13.284321896171596</v>
      </c>
      <c r="E167" s="166"/>
      <c r="F167" s="166"/>
      <c r="G167" s="166"/>
      <c r="H167" s="166"/>
      <c r="I167" s="166"/>
      <c r="J167" s="166"/>
      <c r="K167" s="166"/>
      <c r="L167" s="166"/>
      <c r="M167" s="166"/>
      <c r="N167" s="166"/>
      <c r="O167" s="166"/>
      <c r="P167" s="166"/>
      <c r="Q167" s="166"/>
      <c r="R167" s="166"/>
      <c r="S167" s="166"/>
      <c r="T167" s="166"/>
      <c r="U167" s="166"/>
      <c r="V167" s="166"/>
      <c r="W167" s="166"/>
      <c r="X167" s="166"/>
      <c r="Y167" s="166"/>
    </row>
    <row r="168" spans="1:25" ht="14.45" hidden="1" x14ac:dyDescent="0.3">
      <c r="A168" s="178"/>
      <c r="B168" s="622">
        <f t="shared" si="36"/>
        <v>11000000</v>
      </c>
      <c r="C168" s="622">
        <f t="shared" si="30"/>
        <v>3.1348700912039993</v>
      </c>
      <c r="D168" s="623">
        <f t="shared" si="31"/>
        <v>12.68735081922587</v>
      </c>
      <c r="E168" s="166"/>
      <c r="F168" s="166"/>
      <c r="G168" s="166"/>
      <c r="H168" s="166"/>
      <c r="I168" s="166"/>
      <c r="J168" s="166"/>
      <c r="K168" s="166"/>
      <c r="L168" s="166"/>
      <c r="M168" s="166"/>
      <c r="N168" s="166"/>
      <c r="O168" s="166"/>
      <c r="P168" s="166"/>
      <c r="Q168" s="166"/>
      <c r="R168" s="166"/>
      <c r="S168" s="166"/>
      <c r="T168" s="166"/>
      <c r="U168" s="166"/>
      <c r="V168" s="166"/>
      <c r="W168" s="166"/>
      <c r="X168" s="166"/>
      <c r="Y168" s="166"/>
    </row>
    <row r="169" spans="1:25" ht="14.45" hidden="1" x14ac:dyDescent="0.3">
      <c r="A169" s="178"/>
      <c r="B169" s="622">
        <f t="shared" si="36"/>
        <v>11250000</v>
      </c>
      <c r="C169" s="622">
        <f t="shared" si="30"/>
        <v>3.0652063113994661</v>
      </c>
      <c r="D169" s="623">
        <f t="shared" si="31"/>
        <v>12.129733919022854</v>
      </c>
      <c r="E169" s="166"/>
      <c r="F169" s="166"/>
      <c r="G169" s="166"/>
      <c r="H169" s="166"/>
      <c r="I169" s="166"/>
      <c r="J169" s="166"/>
      <c r="K169" s="166"/>
      <c r="L169" s="166"/>
      <c r="M169" s="166"/>
      <c r="N169" s="166"/>
      <c r="O169" s="166"/>
      <c r="P169" s="166"/>
      <c r="Q169" s="166"/>
      <c r="R169" s="166"/>
      <c r="S169" s="166"/>
      <c r="T169" s="166"/>
      <c r="U169" s="166"/>
      <c r="V169" s="166"/>
      <c r="W169" s="166"/>
      <c r="X169" s="166"/>
      <c r="Y169" s="166"/>
    </row>
    <row r="170" spans="1:25" ht="14.45" hidden="1" x14ac:dyDescent="0.3">
      <c r="A170" s="178"/>
      <c r="B170" s="622">
        <f t="shared" si="36"/>
        <v>11500000</v>
      </c>
      <c r="C170" s="622">
        <f t="shared" si="30"/>
        <v>2.9985713915864345</v>
      </c>
      <c r="D170" s="623">
        <f t="shared" si="31"/>
        <v>11.608086571843709</v>
      </c>
      <c r="E170" s="166"/>
      <c r="F170" s="166"/>
      <c r="G170" s="166"/>
      <c r="H170" s="166"/>
      <c r="I170" s="166"/>
      <c r="J170" s="166"/>
      <c r="K170" s="166"/>
      <c r="L170" s="166"/>
      <c r="M170" s="166"/>
      <c r="N170" s="166"/>
      <c r="O170" s="166"/>
      <c r="P170" s="166"/>
      <c r="Q170" s="166"/>
      <c r="R170" s="166"/>
      <c r="S170" s="166"/>
      <c r="T170" s="166"/>
      <c r="U170" s="166"/>
      <c r="V170" s="166"/>
      <c r="W170" s="166"/>
      <c r="X170" s="166"/>
      <c r="Y170" s="166"/>
    </row>
    <row r="171" spans="1:25" ht="14.45" hidden="1" x14ac:dyDescent="0.3">
      <c r="A171" s="178"/>
      <c r="B171" s="622">
        <f t="shared" si="36"/>
        <v>11750000</v>
      </c>
      <c r="C171" s="622">
        <f t="shared" si="30"/>
        <v>2.9347720002760842</v>
      </c>
      <c r="D171" s="623">
        <f t="shared" si="31"/>
        <v>11.119380346772871</v>
      </c>
      <c r="E171" s="166"/>
      <c r="F171" s="166"/>
      <c r="G171" s="166"/>
      <c r="H171" s="166"/>
      <c r="I171" s="166"/>
      <c r="J171" s="166"/>
      <c r="K171" s="166"/>
      <c r="L171" s="166"/>
      <c r="M171" s="166"/>
      <c r="N171" s="166"/>
      <c r="O171" s="166"/>
      <c r="P171" s="166"/>
      <c r="Q171" s="166"/>
      <c r="R171" s="166"/>
      <c r="S171" s="166"/>
      <c r="T171" s="166"/>
      <c r="U171" s="166"/>
      <c r="V171" s="166"/>
      <c r="W171" s="166"/>
      <c r="X171" s="166"/>
      <c r="Y171" s="166"/>
    </row>
    <row r="172" spans="1:25" ht="14.45" hidden="1" x14ac:dyDescent="0.3">
      <c r="A172" s="178"/>
      <c r="B172" s="622">
        <f t="shared" si="36"/>
        <v>12000000</v>
      </c>
      <c r="C172" s="622">
        <f t="shared" si="30"/>
        <v>2.8736309169369991</v>
      </c>
      <c r="D172" s="623">
        <f t="shared" si="31"/>
        <v>10.66089895226618</v>
      </c>
      <c r="E172" s="166"/>
      <c r="F172" s="166"/>
      <c r="G172" s="166"/>
      <c r="H172" s="166"/>
      <c r="I172" s="166"/>
      <c r="J172" s="166"/>
      <c r="K172" s="166"/>
      <c r="L172" s="166"/>
      <c r="M172" s="166"/>
      <c r="N172" s="166"/>
      <c r="O172" s="166"/>
      <c r="P172" s="166"/>
      <c r="Q172" s="166"/>
      <c r="R172" s="166"/>
      <c r="S172" s="166"/>
      <c r="T172" s="166"/>
      <c r="U172" s="166"/>
      <c r="V172" s="166"/>
      <c r="W172" s="166"/>
      <c r="X172" s="166"/>
      <c r="Y172" s="166"/>
    </row>
    <row r="173" spans="1:25" ht="14.45" hidden="1" x14ac:dyDescent="0.3">
      <c r="A173" s="178"/>
      <c r="B173" s="622">
        <f t="shared" si="36"/>
        <v>12250000</v>
      </c>
      <c r="C173" s="622">
        <f t="shared" si="30"/>
        <v>2.814985388019918</v>
      </c>
      <c r="D173" s="623">
        <f t="shared" si="31"/>
        <v>10.23020041067109</v>
      </c>
      <c r="E173" s="166"/>
      <c r="F173" s="166"/>
      <c r="G173" s="166"/>
      <c r="H173" s="166"/>
      <c r="I173" s="166"/>
      <c r="J173" s="166"/>
      <c r="K173" s="166"/>
      <c r="L173" s="166"/>
      <c r="M173" s="166"/>
      <c r="N173" s="166"/>
      <c r="O173" s="166"/>
      <c r="P173" s="166"/>
      <c r="Q173" s="166"/>
      <c r="R173" s="166"/>
      <c r="S173" s="166"/>
      <c r="T173" s="166"/>
      <c r="U173" s="166"/>
      <c r="V173" s="166"/>
      <c r="W173" s="166"/>
      <c r="X173" s="166"/>
      <c r="Y173" s="166"/>
    </row>
    <row r="174" spans="1:25" ht="14.45" hidden="1" x14ac:dyDescent="0.3">
      <c r="A174" s="178"/>
      <c r="B174" s="622">
        <f t="shared" si="36"/>
        <v>12500000</v>
      </c>
      <c r="C174" s="622">
        <f t="shared" si="30"/>
        <v>2.7586856802595192</v>
      </c>
      <c r="D174" s="623">
        <f t="shared" si="31"/>
        <v>9.8250844744085146</v>
      </c>
      <c r="E174" s="166"/>
      <c r="F174" s="166"/>
      <c r="G174" s="166"/>
      <c r="H174" s="166"/>
      <c r="I174" s="166"/>
      <c r="J174" s="166"/>
      <c r="K174" s="166"/>
      <c r="L174" s="166"/>
      <c r="M174" s="166"/>
      <c r="N174" s="166"/>
      <c r="O174" s="166"/>
      <c r="P174" s="166"/>
      <c r="Q174" s="166"/>
      <c r="R174" s="166"/>
      <c r="S174" s="166"/>
      <c r="T174" s="166"/>
      <c r="U174" s="166"/>
      <c r="V174" s="166"/>
      <c r="W174" s="166"/>
      <c r="X174" s="166"/>
      <c r="Y174" s="166"/>
    </row>
    <row r="175" spans="1:25" ht="14.45" hidden="1" x14ac:dyDescent="0.3">
      <c r="A175" s="178"/>
      <c r="B175" s="622">
        <f t="shared" si="36"/>
        <v>12750000</v>
      </c>
      <c r="C175" s="622">
        <f t="shared" si="30"/>
        <v>2.7045938041759996</v>
      </c>
      <c r="D175" s="623">
        <f t="shared" si="31"/>
        <v>9.4435644698274821</v>
      </c>
      <c r="E175" s="166"/>
      <c r="F175" s="166"/>
      <c r="G175" s="166"/>
      <c r="H175" s="166"/>
      <c r="I175" s="166"/>
      <c r="J175" s="166"/>
      <c r="K175" s="166"/>
      <c r="L175" s="166"/>
      <c r="M175" s="166"/>
      <c r="N175" s="166"/>
      <c r="O175" s="166"/>
      <c r="P175" s="166"/>
      <c r="Q175" s="166"/>
      <c r="R175" s="166"/>
      <c r="S175" s="166"/>
      <c r="T175" s="166"/>
      <c r="U175" s="166"/>
      <c r="V175" s="166"/>
      <c r="W175" s="166"/>
      <c r="X175" s="166"/>
      <c r="Y175" s="166"/>
    </row>
    <row r="176" spans="1:25" ht="14.45" hidden="1" x14ac:dyDescent="0.3">
      <c r="A176" s="178"/>
      <c r="B176" s="622">
        <f t="shared" si="36"/>
        <v>13000000</v>
      </c>
      <c r="C176" s="622">
        <f t="shared" si="30"/>
        <v>2.6525823848649224</v>
      </c>
      <c r="D176" s="623">
        <f t="shared" si="31"/>
        <v>9.0838428942386393</v>
      </c>
      <c r="E176" s="166"/>
      <c r="F176" s="166"/>
      <c r="G176" s="166"/>
      <c r="H176" s="166"/>
      <c r="I176" s="166"/>
      <c r="J176" s="166"/>
      <c r="K176" s="166"/>
      <c r="L176" s="166"/>
      <c r="M176" s="166"/>
      <c r="N176" s="166"/>
      <c r="O176" s="166"/>
      <c r="P176" s="166"/>
      <c r="Q176" s="166"/>
      <c r="R176" s="166"/>
      <c r="S176" s="166"/>
      <c r="T176" s="166"/>
      <c r="U176" s="166"/>
      <c r="V176" s="166"/>
      <c r="W176" s="166"/>
      <c r="X176" s="166"/>
      <c r="Y176" s="166"/>
    </row>
    <row r="177" spans="1:25" ht="14.45" hidden="1" x14ac:dyDescent="0.3">
      <c r="A177" s="178"/>
      <c r="B177" s="622">
        <f t="shared" si="36"/>
        <v>13250000</v>
      </c>
      <c r="C177" s="622">
        <f t="shared" si="30"/>
        <v>2.6025336606221878</v>
      </c>
      <c r="D177" s="623">
        <f t="shared" si="31"/>
        <v>8.7442902050627573</v>
      </c>
      <c r="E177" s="166"/>
      <c r="F177" s="166"/>
      <c r="G177" s="166"/>
      <c r="H177" s="166"/>
      <c r="I177" s="166"/>
      <c r="J177" s="166"/>
      <c r="K177" s="166"/>
      <c r="L177" s="166"/>
      <c r="M177" s="166"/>
      <c r="N177" s="166"/>
      <c r="O177" s="166"/>
      <c r="P177" s="166"/>
      <c r="Q177" s="166"/>
      <c r="R177" s="166"/>
      <c r="S177" s="166"/>
      <c r="T177" s="166"/>
      <c r="U177" s="166"/>
      <c r="V177" s="166"/>
      <c r="W177" s="166"/>
      <c r="X177" s="166"/>
      <c r="Y177" s="166"/>
    </row>
    <row r="178" spans="1:25" ht="14.45" hidden="1" x14ac:dyDescent="0.3">
      <c r="A178" s="178"/>
      <c r="B178" s="622">
        <f t="shared" si="36"/>
        <v>13500000</v>
      </c>
      <c r="C178" s="622">
        <f t="shared" si="30"/>
        <v>2.5543385928328886</v>
      </c>
      <c r="D178" s="623">
        <f t="shared" si="31"/>
        <v>8.4234263326547598</v>
      </c>
      <c r="E178" s="166"/>
      <c r="F178" s="166"/>
      <c r="G178" s="166"/>
      <c r="H178" s="166"/>
      <c r="I178" s="166"/>
      <c r="J178" s="166"/>
      <c r="K178" s="166"/>
      <c r="L178" s="166"/>
      <c r="M178" s="166"/>
      <c r="N178" s="166"/>
      <c r="O178" s="166"/>
      <c r="P178" s="166"/>
      <c r="Q178" s="166"/>
      <c r="R178" s="166"/>
      <c r="S178" s="166"/>
      <c r="T178" s="166"/>
      <c r="U178" s="166"/>
      <c r="V178" s="166"/>
      <c r="W178" s="166"/>
      <c r="X178" s="166"/>
      <c r="Y178" s="166"/>
    </row>
    <row r="179" spans="1:25" ht="14.45" hidden="1" x14ac:dyDescent="0.3">
      <c r="A179" s="178"/>
      <c r="B179" s="622">
        <f t="shared" si="36"/>
        <v>13750000</v>
      </c>
      <c r="C179" s="622">
        <f t="shared" si="30"/>
        <v>2.5078960729631996</v>
      </c>
      <c r="D179" s="623">
        <f t="shared" si="31"/>
        <v>8.1199045243045536</v>
      </c>
      <c r="E179" s="166"/>
      <c r="F179" s="166"/>
      <c r="G179" s="166"/>
      <c r="H179" s="166"/>
      <c r="I179" s="166"/>
      <c r="J179" s="166"/>
      <c r="K179" s="166"/>
      <c r="L179" s="166"/>
      <c r="M179" s="166"/>
      <c r="N179" s="166"/>
      <c r="O179" s="166"/>
      <c r="P179" s="166"/>
      <c r="Q179" s="166"/>
      <c r="R179" s="166"/>
      <c r="S179" s="166"/>
      <c r="T179" s="166"/>
      <c r="U179" s="166"/>
      <c r="V179" s="166"/>
      <c r="W179" s="166"/>
      <c r="X179" s="166"/>
      <c r="Y179" s="166"/>
    </row>
    <row r="180" spans="1:25" ht="14.45" hidden="1" x14ac:dyDescent="0.3">
      <c r="A180" s="178"/>
      <c r="B180" s="622">
        <f t="shared" si="36"/>
        <v>14000000</v>
      </c>
      <c r="C180" s="622">
        <f t="shared" si="30"/>
        <v>2.4631122145174285</v>
      </c>
      <c r="D180" s="623">
        <f t="shared" si="31"/>
        <v>7.8324971894200504</v>
      </c>
      <c r="E180" s="166"/>
      <c r="F180" s="166"/>
      <c r="G180" s="166"/>
      <c r="H180" s="166"/>
      <c r="I180" s="166"/>
      <c r="J180" s="166"/>
      <c r="K180" s="166"/>
      <c r="L180" s="166"/>
      <c r="M180" s="166"/>
      <c r="N180" s="166"/>
      <c r="O180" s="166"/>
      <c r="P180" s="166"/>
      <c r="Q180" s="166"/>
      <c r="R180" s="166"/>
      <c r="S180" s="166"/>
      <c r="T180" s="166"/>
      <c r="U180" s="166"/>
      <c r="V180" s="166"/>
      <c r="W180" s="166"/>
      <c r="X180" s="166"/>
      <c r="Y180" s="166"/>
    </row>
    <row r="181" spans="1:25" ht="14.45" hidden="1" x14ac:dyDescent="0.3">
      <c r="A181" s="178"/>
      <c r="B181" s="622">
        <f t="shared" si="36"/>
        <v>14250000</v>
      </c>
      <c r="C181" s="622">
        <f t="shared" si="30"/>
        <v>2.4198997195258944</v>
      </c>
      <c r="D181" s="623">
        <f t="shared" si="31"/>
        <v>7.560083467535021</v>
      </c>
      <c r="E181" s="166"/>
      <c r="F181" s="166"/>
      <c r="G181" s="166"/>
      <c r="H181" s="166"/>
      <c r="I181" s="166"/>
      <c r="J181" s="166"/>
      <c r="K181" s="166"/>
      <c r="L181" s="166"/>
      <c r="M181" s="166"/>
      <c r="N181" s="166"/>
      <c r="O181" s="166"/>
      <c r="P181" s="166"/>
      <c r="Q181" s="166"/>
      <c r="R181" s="166"/>
      <c r="S181" s="166"/>
      <c r="T181" s="166"/>
      <c r="U181" s="166"/>
      <c r="V181" s="166"/>
      <c r="W181" s="166"/>
      <c r="X181" s="166"/>
      <c r="Y181" s="166"/>
    </row>
    <row r="182" spans="1:25" ht="14.45" hidden="1" x14ac:dyDescent="0.3">
      <c r="A182" s="178"/>
      <c r="B182" s="622">
        <f t="shared" si="36"/>
        <v>14500000</v>
      </c>
      <c r="C182" s="622">
        <f t="shared" si="30"/>
        <v>2.3781773105685513</v>
      </c>
      <c r="D182" s="623">
        <f t="shared" si="31"/>
        <v>7.3016382835972884</v>
      </c>
      <c r="E182" s="166"/>
      <c r="F182" s="166"/>
      <c r="G182" s="166"/>
      <c r="H182" s="166"/>
      <c r="I182" s="166"/>
      <c r="J182" s="166"/>
      <c r="K182" s="166"/>
      <c r="L182" s="166"/>
      <c r="M182" s="166"/>
      <c r="N182" s="166"/>
      <c r="O182" s="166"/>
      <c r="P182" s="166"/>
      <c r="Q182" s="166"/>
      <c r="R182" s="166"/>
      <c r="S182" s="166"/>
      <c r="T182" s="166"/>
      <c r="U182" s="166"/>
      <c r="V182" s="166"/>
      <c r="W182" s="166"/>
      <c r="X182" s="166"/>
      <c r="Y182" s="166"/>
    </row>
    <row r="183" spans="1:25" ht="14.45" hidden="1" x14ac:dyDescent="0.3">
      <c r="A183" s="178"/>
      <c r="B183" s="622">
        <f t="shared" si="36"/>
        <v>14750000</v>
      </c>
      <c r="C183" s="622">
        <f t="shared" si="30"/>
        <v>2.3378692205589147</v>
      </c>
      <c r="D183" s="623">
        <f t="shared" si="31"/>
        <v>7.0562226906122607</v>
      </c>
      <c r="E183" s="166"/>
      <c r="F183" s="166"/>
      <c r="G183" s="166"/>
      <c r="H183" s="166"/>
      <c r="I183" s="166"/>
      <c r="J183" s="166"/>
      <c r="K183" s="166"/>
      <c r="L183" s="166"/>
      <c r="M183" s="166"/>
      <c r="N183" s="166"/>
      <c r="O183" s="166"/>
      <c r="P183" s="166"/>
      <c r="Q183" s="166"/>
      <c r="R183" s="166"/>
      <c r="S183" s="166"/>
      <c r="T183" s="166"/>
      <c r="U183" s="166"/>
      <c r="V183" s="166"/>
      <c r="W183" s="166"/>
      <c r="X183" s="166"/>
      <c r="Y183" s="166"/>
    </row>
    <row r="184" spans="1:25" ht="14.45" hidden="1" x14ac:dyDescent="0.3">
      <c r="A184" s="178"/>
      <c r="B184" s="622">
        <f t="shared" si="36"/>
        <v>15000000</v>
      </c>
      <c r="C184" s="622">
        <f t="shared" si="30"/>
        <v>2.2989047335495996</v>
      </c>
      <c r="D184" s="623">
        <f t="shared" si="31"/>
        <v>6.8229753294503572</v>
      </c>
      <c r="E184" s="166"/>
      <c r="F184" s="166"/>
      <c r="G184" s="166"/>
      <c r="H184" s="166"/>
      <c r="I184" s="166"/>
      <c r="J184" s="166"/>
      <c r="K184" s="166"/>
      <c r="L184" s="166"/>
      <c r="M184" s="166"/>
      <c r="N184" s="166"/>
      <c r="O184" s="166"/>
      <c r="P184" s="166"/>
      <c r="Q184" s="166"/>
      <c r="R184" s="166"/>
      <c r="S184" s="166"/>
      <c r="T184" s="166"/>
      <c r="U184" s="166"/>
      <c r="V184" s="166"/>
      <c r="W184" s="166"/>
      <c r="X184" s="166"/>
      <c r="Y184" s="166"/>
    </row>
    <row r="185" spans="1:25" ht="14.45" hidden="1" x14ac:dyDescent="0.3">
      <c r="A185" s="178"/>
      <c r="B185" s="622">
        <f t="shared" si="36"/>
        <v>15250000</v>
      </c>
      <c r="C185" s="622">
        <f t="shared" si="30"/>
        <v>2.261217770704524</v>
      </c>
      <c r="D185" s="623">
        <f t="shared" si="31"/>
        <v>6.6011048605270854</v>
      </c>
      <c r="E185" s="166"/>
      <c r="F185" s="166"/>
      <c r="G185" s="166"/>
      <c r="H185" s="166"/>
      <c r="I185" s="166"/>
      <c r="J185" s="166"/>
      <c r="K185" s="166"/>
      <c r="L185" s="166"/>
      <c r="M185" s="166"/>
      <c r="N185" s="166"/>
      <c r="O185" s="166"/>
      <c r="P185" s="166"/>
      <c r="Q185" s="166"/>
      <c r="R185" s="166"/>
      <c r="S185" s="166"/>
      <c r="T185" s="166"/>
      <c r="U185" s="166"/>
      <c r="V185" s="166"/>
      <c r="W185" s="166"/>
      <c r="X185" s="166"/>
      <c r="Y185" s="166"/>
    </row>
    <row r="186" spans="1:25" ht="14.45" hidden="1" x14ac:dyDescent="0.3">
      <c r="A186" s="178"/>
      <c r="B186" s="622">
        <f t="shared" si="36"/>
        <v>15500000</v>
      </c>
      <c r="C186" s="622">
        <f t="shared" si="30"/>
        <v>2.2247465163383224</v>
      </c>
      <c r="D186" s="623">
        <f t="shared" si="31"/>
        <v>6.3898832429816022</v>
      </c>
      <c r="E186" s="166"/>
      <c r="F186" s="166"/>
      <c r="G186" s="166"/>
      <c r="H186" s="166"/>
      <c r="I186" s="166"/>
      <c r="J186" s="166"/>
      <c r="K186" s="166"/>
      <c r="L186" s="166"/>
      <c r="M186" s="166"/>
      <c r="N186" s="166"/>
      <c r="O186" s="166"/>
      <c r="P186" s="166"/>
      <c r="Q186" s="166"/>
      <c r="R186" s="166"/>
      <c r="S186" s="166"/>
      <c r="T186" s="166"/>
      <c r="U186" s="166"/>
      <c r="V186" s="166"/>
      <c r="W186" s="166"/>
      <c r="X186" s="166"/>
      <c r="Y186" s="166"/>
    </row>
    <row r="187" spans="1:25" ht="14.45" hidden="1" x14ac:dyDescent="0.3">
      <c r="A187" s="178"/>
      <c r="B187" s="622">
        <f t="shared" si="36"/>
        <v>15750000</v>
      </c>
      <c r="C187" s="622">
        <f t="shared" si="30"/>
        <v>2.1894330795710473</v>
      </c>
      <c r="D187" s="623">
        <f t="shared" si="31"/>
        <v>6.1886397546034981</v>
      </c>
      <c r="E187" s="166"/>
      <c r="F187" s="166"/>
      <c r="G187" s="166"/>
      <c r="H187" s="166"/>
      <c r="I187" s="166"/>
      <c r="J187" s="166"/>
      <c r="K187" s="166"/>
      <c r="L187" s="166"/>
      <c r="M187" s="166"/>
      <c r="N187" s="166"/>
      <c r="O187" s="166"/>
      <c r="P187" s="166"/>
      <c r="Q187" s="166"/>
      <c r="R187" s="166"/>
      <c r="S187" s="166"/>
      <c r="T187" s="166"/>
      <c r="U187" s="166"/>
      <c r="V187" s="166"/>
      <c r="W187" s="166"/>
      <c r="X187" s="166"/>
      <c r="Y187" s="166"/>
    </row>
    <row r="188" spans="1:25" ht="14.45" hidden="1" x14ac:dyDescent="0.3">
      <c r="A188" s="178"/>
      <c r="B188" s="622">
        <f t="shared" si="36"/>
        <v>16000000</v>
      </c>
      <c r="C188" s="622">
        <f t="shared" si="30"/>
        <v>2.1552231877027497</v>
      </c>
      <c r="D188" s="623">
        <f t="shared" si="31"/>
        <v>5.9967556606497281</v>
      </c>
      <c r="E188" s="166"/>
      <c r="F188" s="166"/>
      <c r="G188" s="166"/>
      <c r="H188" s="166"/>
      <c r="I188" s="166"/>
      <c r="J188" s="166"/>
      <c r="K188" s="166"/>
      <c r="L188" s="166"/>
      <c r="M188" s="166"/>
      <c r="N188" s="166"/>
      <c r="O188" s="166"/>
      <c r="P188" s="166"/>
      <c r="Q188" s="166"/>
      <c r="R188" s="166"/>
      <c r="S188" s="166"/>
      <c r="T188" s="166"/>
      <c r="U188" s="166"/>
      <c r="V188" s="166"/>
      <c r="W188" s="166"/>
      <c r="X188" s="166"/>
      <c r="Y188" s="166"/>
    </row>
    <row r="189" spans="1:25" ht="14.45" hidden="1" x14ac:dyDescent="0.3">
      <c r="A189" s="178"/>
      <c r="B189" s="622">
        <f t="shared" si="36"/>
        <v>16250000</v>
      </c>
      <c r="C189" s="622">
        <f t="shared" si="30"/>
        <v>2.1220659078919382</v>
      </c>
      <c r="D189" s="623">
        <f t="shared" si="31"/>
        <v>5.813659452312729</v>
      </c>
      <c r="E189" s="166"/>
      <c r="F189" s="166"/>
      <c r="G189" s="166"/>
      <c r="H189" s="166"/>
      <c r="I189" s="166"/>
      <c r="J189" s="166"/>
      <c r="K189" s="166"/>
      <c r="L189" s="166"/>
      <c r="M189" s="166"/>
      <c r="N189" s="166"/>
      <c r="O189" s="166"/>
      <c r="P189" s="166"/>
      <c r="Q189" s="166"/>
      <c r="R189" s="166"/>
      <c r="S189" s="166"/>
      <c r="T189" s="166"/>
      <c r="U189" s="166"/>
      <c r="V189" s="166"/>
      <c r="W189" s="166"/>
      <c r="X189" s="166"/>
      <c r="Y189" s="166"/>
    </row>
    <row r="190" spans="1:25" ht="14.45" hidden="1" x14ac:dyDescent="0.3">
      <c r="A190" s="178"/>
      <c r="B190" s="622">
        <f t="shared" si="36"/>
        <v>16500000</v>
      </c>
      <c r="C190" s="622">
        <f t="shared" ref="C190:C203" si="37">1.3/(2*PI()*C$8*0.001*$B190*10^-6)</f>
        <v>2.0899133941359995</v>
      </c>
      <c r="D190" s="623">
        <f t="shared" ref="D190:D203" si="38">2/((2*PI()*$B190*10^-6)^2*33)*10^6</f>
        <v>5.6388225863226076</v>
      </c>
      <c r="E190" s="166"/>
      <c r="F190" s="166"/>
      <c r="G190" s="166"/>
      <c r="H190" s="166"/>
      <c r="I190" s="166"/>
      <c r="J190" s="166"/>
      <c r="K190" s="166"/>
      <c r="L190" s="166"/>
      <c r="M190" s="166"/>
      <c r="N190" s="166"/>
      <c r="O190" s="166"/>
      <c r="P190" s="166"/>
      <c r="Q190" s="166"/>
      <c r="R190" s="166"/>
      <c r="S190" s="166"/>
      <c r="T190" s="166"/>
      <c r="U190" s="166"/>
      <c r="V190" s="166"/>
      <c r="W190" s="166"/>
      <c r="X190" s="166"/>
      <c r="Y190" s="166"/>
    </row>
    <row r="191" spans="1:25" ht="14.45" hidden="1" x14ac:dyDescent="0.3">
      <c r="A191" s="178"/>
      <c r="B191" s="622">
        <f t="shared" si="36"/>
        <v>16750000</v>
      </c>
      <c r="C191" s="622">
        <f t="shared" si="37"/>
        <v>2.0587206569100895</v>
      </c>
      <c r="D191" s="623">
        <f t="shared" si="38"/>
        <v>5.4717556663001288</v>
      </c>
      <c r="E191" s="166"/>
      <c r="F191" s="166"/>
      <c r="G191" s="166"/>
      <c r="H191" s="166"/>
      <c r="I191" s="166"/>
      <c r="J191" s="166"/>
      <c r="K191" s="166"/>
      <c r="L191" s="166"/>
      <c r="M191" s="166"/>
      <c r="N191" s="166"/>
      <c r="O191" s="166"/>
      <c r="P191" s="166"/>
      <c r="Q191" s="166"/>
      <c r="R191" s="166"/>
      <c r="S191" s="166"/>
      <c r="T191" s="166"/>
      <c r="U191" s="166"/>
      <c r="V191" s="166"/>
      <c r="W191" s="166"/>
      <c r="X191" s="166"/>
      <c r="Y191" s="166"/>
    </row>
    <row r="192" spans="1:25" ht="14.45" hidden="1" x14ac:dyDescent="0.3">
      <c r="A192" s="178"/>
      <c r="B192" s="622">
        <f t="shared" ref="B192:B203" si="39">B191+B$125</f>
        <v>17000000</v>
      </c>
      <c r="C192" s="622">
        <f t="shared" si="37"/>
        <v>2.0284453531319997</v>
      </c>
      <c r="D192" s="623">
        <f t="shared" si="38"/>
        <v>5.3120050142779585</v>
      </c>
      <c r="E192" s="166"/>
      <c r="F192" s="166"/>
      <c r="G192" s="166"/>
      <c r="H192" s="166"/>
      <c r="I192" s="166"/>
      <c r="J192" s="166"/>
      <c r="K192" s="166"/>
      <c r="L192" s="166"/>
      <c r="M192" s="166"/>
      <c r="N192" s="166"/>
      <c r="O192" s="166"/>
      <c r="P192" s="166"/>
      <c r="Q192" s="166"/>
      <c r="R192" s="166"/>
      <c r="S192" s="166"/>
      <c r="T192" s="166"/>
      <c r="U192" s="166"/>
      <c r="V192" s="166"/>
      <c r="W192" s="166"/>
      <c r="X192" s="166"/>
      <c r="Y192" s="166"/>
    </row>
    <row r="193" spans="1:25" ht="14.45" hidden="1" x14ac:dyDescent="0.3">
      <c r="A193" s="178"/>
      <c r="B193" s="622">
        <f t="shared" si="39"/>
        <v>17250000</v>
      </c>
      <c r="C193" s="622">
        <f t="shared" si="37"/>
        <v>1.9990475943909563</v>
      </c>
      <c r="D193" s="623">
        <f t="shared" si="38"/>
        <v>5.1591495874860911</v>
      </c>
      <c r="E193" s="166"/>
      <c r="F193" s="166"/>
      <c r="G193" s="166"/>
      <c r="H193" s="166"/>
      <c r="I193" s="166"/>
      <c r="J193" s="166"/>
      <c r="K193" s="166"/>
      <c r="L193" s="166"/>
      <c r="M193" s="166"/>
      <c r="N193" s="166"/>
      <c r="O193" s="166"/>
      <c r="P193" s="166"/>
      <c r="Q193" s="166"/>
      <c r="R193" s="166"/>
      <c r="S193" s="166"/>
      <c r="T193" s="166"/>
      <c r="U193" s="166"/>
      <c r="V193" s="166"/>
      <c r="W193" s="166"/>
      <c r="X193" s="166"/>
      <c r="Y193" s="166"/>
    </row>
    <row r="194" spans="1:25" ht="14.45" hidden="1" x14ac:dyDescent="0.3">
      <c r="A194" s="178"/>
      <c r="B194" s="622">
        <f t="shared" si="39"/>
        <v>17500000</v>
      </c>
      <c r="C194" s="622">
        <f t="shared" si="37"/>
        <v>1.9704897716139422</v>
      </c>
      <c r="D194" s="623">
        <f t="shared" si="38"/>
        <v>5.0127982012288328</v>
      </c>
      <c r="E194" s="166"/>
      <c r="F194" s="166"/>
      <c r="G194" s="166"/>
      <c r="H194" s="166"/>
      <c r="I194" s="166"/>
      <c r="J194" s="166"/>
      <c r="K194" s="166"/>
      <c r="L194" s="166"/>
      <c r="M194" s="166"/>
      <c r="N194" s="166"/>
      <c r="O194" s="166"/>
      <c r="P194" s="166"/>
      <c r="Q194" s="166"/>
      <c r="R194" s="166"/>
      <c r="S194" s="166"/>
      <c r="T194" s="166"/>
      <c r="U194" s="166"/>
      <c r="V194" s="166"/>
      <c r="W194" s="166"/>
      <c r="X194" s="166"/>
      <c r="Y194" s="166"/>
    </row>
    <row r="195" spans="1:25" ht="14.45" hidden="1" x14ac:dyDescent="0.3">
      <c r="A195" s="178"/>
      <c r="B195" s="622">
        <f t="shared" si="39"/>
        <v>17750000</v>
      </c>
      <c r="C195" s="622">
        <f t="shared" si="37"/>
        <v>1.9427363945489573</v>
      </c>
      <c r="D195" s="623">
        <f t="shared" si="38"/>
        <v>4.8725870236106497</v>
      </c>
      <c r="E195" s="166"/>
      <c r="F195" s="166"/>
      <c r="G195" s="166"/>
      <c r="H195" s="166"/>
      <c r="I195" s="166"/>
      <c r="J195" s="166"/>
      <c r="K195" s="166"/>
      <c r="L195" s="166"/>
      <c r="M195" s="166"/>
      <c r="N195" s="166"/>
      <c r="O195" s="166"/>
      <c r="P195" s="166"/>
      <c r="Q195" s="166"/>
      <c r="R195" s="166"/>
      <c r="S195" s="166"/>
      <c r="T195" s="166"/>
      <c r="U195" s="166"/>
      <c r="V195" s="166"/>
      <c r="W195" s="166"/>
      <c r="X195" s="166"/>
      <c r="Y195" s="166"/>
    </row>
    <row r="196" spans="1:25" ht="14.45" hidden="1" x14ac:dyDescent="0.3">
      <c r="A196" s="178"/>
      <c r="B196" s="622">
        <f t="shared" si="39"/>
        <v>18000000</v>
      </c>
      <c r="C196" s="622">
        <f t="shared" si="37"/>
        <v>1.9157539446246663</v>
      </c>
      <c r="D196" s="623">
        <f t="shared" si="38"/>
        <v>4.738177312118304</v>
      </c>
      <c r="E196" s="166"/>
      <c r="F196" s="166"/>
      <c r="G196" s="166"/>
      <c r="H196" s="166"/>
      <c r="I196" s="166"/>
      <c r="J196" s="166"/>
      <c r="K196" s="166"/>
      <c r="L196" s="166"/>
      <c r="M196" s="166"/>
      <c r="N196" s="166"/>
      <c r="O196" s="166"/>
      <c r="P196" s="166"/>
      <c r="Q196" s="166"/>
      <c r="R196" s="166"/>
      <c r="S196" s="166"/>
      <c r="T196" s="166"/>
      <c r="U196" s="166"/>
      <c r="V196" s="166"/>
      <c r="W196" s="166"/>
      <c r="X196" s="166"/>
      <c r="Y196" s="166"/>
    </row>
    <row r="197" spans="1:25" ht="14.45" hidden="1" x14ac:dyDescent="0.3">
      <c r="A197" s="178"/>
      <c r="B197" s="622">
        <f t="shared" si="39"/>
        <v>18250000</v>
      </c>
      <c r="C197" s="622">
        <f t="shared" si="37"/>
        <v>1.8895107399037805</v>
      </c>
      <c r="D197" s="623">
        <f t="shared" si="38"/>
        <v>4.6092533657386534</v>
      </c>
      <c r="E197" s="166"/>
      <c r="F197" s="166"/>
      <c r="G197" s="166"/>
      <c r="H197" s="166"/>
      <c r="I197" s="166"/>
      <c r="J197" s="166"/>
      <c r="K197" s="166"/>
      <c r="L197" s="166"/>
      <c r="M197" s="166"/>
      <c r="N197" s="166"/>
      <c r="O197" s="166"/>
      <c r="P197" s="166"/>
      <c r="Q197" s="166"/>
      <c r="R197" s="166"/>
      <c r="S197" s="166"/>
      <c r="T197" s="166"/>
      <c r="U197" s="166"/>
      <c r="V197" s="166"/>
      <c r="W197" s="166"/>
      <c r="X197" s="166"/>
      <c r="Y197" s="166"/>
    </row>
    <row r="198" spans="1:25" ht="14.45" hidden="1" x14ac:dyDescent="0.3">
      <c r="A198" s="178"/>
      <c r="B198" s="622">
        <f t="shared" si="39"/>
        <v>18500000</v>
      </c>
      <c r="C198" s="622">
        <f t="shared" si="37"/>
        <v>1.8639768109861619</v>
      </c>
      <c r="D198" s="623">
        <f t="shared" si="38"/>
        <v>4.4855206694706506</v>
      </c>
      <c r="E198" s="166"/>
      <c r="F198" s="166"/>
      <c r="G198" s="166"/>
      <c r="H198" s="166"/>
      <c r="I198" s="166"/>
      <c r="J198" s="166"/>
      <c r="K198" s="166"/>
      <c r="L198" s="166"/>
      <c r="M198" s="166"/>
      <c r="N198" s="166"/>
      <c r="O198" s="166"/>
      <c r="P198" s="166"/>
      <c r="Q198" s="166"/>
      <c r="R198" s="166"/>
      <c r="S198" s="166"/>
      <c r="T198" s="166"/>
      <c r="U198" s="166"/>
      <c r="V198" s="166"/>
      <c r="W198" s="166"/>
      <c r="X198" s="166"/>
      <c r="Y198" s="166"/>
    </row>
    <row r="199" spans="1:25" ht="14.45" hidden="1" x14ac:dyDescent="0.3">
      <c r="A199" s="178"/>
      <c r="B199" s="622">
        <f t="shared" si="39"/>
        <v>18750000</v>
      </c>
      <c r="C199" s="622">
        <f t="shared" si="37"/>
        <v>1.8391237868396799</v>
      </c>
      <c r="D199" s="623">
        <f t="shared" si="38"/>
        <v>4.3667042108482281</v>
      </c>
      <c r="E199" s="166"/>
      <c r="F199" s="166"/>
      <c r="G199" s="166"/>
      <c r="H199" s="166"/>
      <c r="I199" s="166"/>
      <c r="J199" s="166"/>
      <c r="K199" s="166"/>
      <c r="L199" s="166"/>
      <c r="M199" s="166"/>
      <c r="N199" s="166"/>
      <c r="O199" s="166"/>
      <c r="P199" s="166"/>
      <c r="Q199" s="166"/>
      <c r="R199" s="166"/>
      <c r="S199" s="166"/>
      <c r="T199" s="166"/>
      <c r="U199" s="166"/>
      <c r="V199" s="166"/>
      <c r="W199" s="166"/>
      <c r="X199" s="166"/>
      <c r="Y199" s="166"/>
    </row>
    <row r="200" spans="1:25" ht="14.45" hidden="1" x14ac:dyDescent="0.3">
      <c r="A200" s="178"/>
      <c r="B200" s="622">
        <f t="shared" si="39"/>
        <v>19000000</v>
      </c>
      <c r="C200" s="622">
        <f t="shared" si="37"/>
        <v>1.8149247896444207</v>
      </c>
      <c r="D200" s="623">
        <f t="shared" si="38"/>
        <v>4.2525469504884486</v>
      </c>
      <c r="E200" s="166"/>
      <c r="F200" s="166"/>
      <c r="G200" s="166"/>
      <c r="H200" s="166"/>
      <c r="I200" s="166"/>
      <c r="J200" s="166"/>
      <c r="K200" s="166"/>
      <c r="L200" s="166"/>
      <c r="M200" s="166"/>
      <c r="N200" s="166"/>
      <c r="O200" s="166"/>
      <c r="P200" s="166"/>
      <c r="Q200" s="166"/>
      <c r="R200" s="166"/>
      <c r="S200" s="166"/>
      <c r="T200" s="166"/>
      <c r="U200" s="166"/>
      <c r="V200" s="166"/>
      <c r="W200" s="166"/>
      <c r="X200" s="166"/>
      <c r="Y200" s="166"/>
    </row>
    <row r="201" spans="1:25" ht="14.45" hidden="1" x14ac:dyDescent="0.3">
      <c r="A201" s="178"/>
      <c r="B201" s="622">
        <f t="shared" si="39"/>
        <v>19250000</v>
      </c>
      <c r="C201" s="622">
        <f t="shared" si="37"/>
        <v>1.7913543378308565</v>
      </c>
      <c r="D201" s="623">
        <f t="shared" si="38"/>
        <v>4.1428084307676301</v>
      </c>
      <c r="E201" s="166"/>
      <c r="F201" s="166"/>
      <c r="G201" s="166"/>
      <c r="H201" s="166"/>
      <c r="I201" s="166"/>
      <c r="J201" s="166"/>
      <c r="K201" s="166"/>
      <c r="L201" s="166"/>
      <c r="M201" s="166"/>
      <c r="N201" s="166"/>
      <c r="O201" s="166"/>
      <c r="P201" s="166"/>
      <c r="Q201" s="166"/>
      <c r="R201" s="166"/>
      <c r="S201" s="166"/>
      <c r="T201" s="166"/>
      <c r="U201" s="166"/>
      <c r="V201" s="166"/>
      <c r="W201" s="166"/>
      <c r="X201" s="166"/>
      <c r="Y201" s="166"/>
    </row>
    <row r="202" spans="1:25" ht="14.45" hidden="1" x14ac:dyDescent="0.3">
      <c r="A202" s="178"/>
      <c r="B202" s="622">
        <f t="shared" si="39"/>
        <v>19500000</v>
      </c>
      <c r="C202" s="622">
        <f t="shared" si="37"/>
        <v>1.7683882565766149</v>
      </c>
      <c r="D202" s="623">
        <f t="shared" si="38"/>
        <v>4.0372635085505069</v>
      </c>
      <c r="E202" s="166"/>
      <c r="F202" s="166"/>
      <c r="G202" s="166"/>
      <c r="H202" s="166"/>
      <c r="I202" s="166"/>
      <c r="J202" s="166"/>
      <c r="K202" s="166"/>
      <c r="L202" s="166"/>
      <c r="M202" s="166"/>
      <c r="N202" s="166"/>
      <c r="O202" s="166"/>
      <c r="P202" s="166"/>
      <c r="Q202" s="166"/>
      <c r="R202" s="166"/>
      <c r="S202" s="166"/>
      <c r="T202" s="166"/>
      <c r="U202" s="166"/>
      <c r="V202" s="166"/>
      <c r="W202" s="166"/>
      <c r="X202" s="166"/>
      <c r="Y202" s="166"/>
    </row>
    <row r="203" spans="1:25" ht="14.45" hidden="1" x14ac:dyDescent="0.3">
      <c r="A203" s="175"/>
      <c r="B203" s="622">
        <f t="shared" si="39"/>
        <v>19750000</v>
      </c>
      <c r="C203" s="622">
        <f t="shared" si="37"/>
        <v>1.7460035951009616</v>
      </c>
      <c r="D203" s="623">
        <f t="shared" si="38"/>
        <v>3.9357011994906719</v>
      </c>
      <c r="E203" s="166"/>
      <c r="F203" s="166"/>
      <c r="G203" s="166"/>
      <c r="H203" s="166"/>
      <c r="I203" s="166"/>
      <c r="J203" s="166"/>
      <c r="K203" s="166"/>
      <c r="L203" s="166"/>
      <c r="M203" s="166"/>
      <c r="N203" s="166"/>
      <c r="O203" s="166"/>
      <c r="P203" s="166"/>
      <c r="Q203" s="166"/>
      <c r="R203" s="166"/>
      <c r="S203" s="166"/>
      <c r="T203" s="166"/>
      <c r="U203" s="166"/>
      <c r="V203" s="166"/>
      <c r="W203" s="166"/>
      <c r="X203" s="166"/>
      <c r="Y203" s="166"/>
    </row>
    <row r="204" spans="1:25" x14ac:dyDescent="0.25">
      <c r="A204" s="175"/>
      <c r="B204" s="175"/>
      <c r="C204" s="175"/>
      <c r="D204" s="175"/>
      <c r="E204" s="175"/>
      <c r="F204" s="175"/>
      <c r="G204" s="175"/>
      <c r="H204" s="175"/>
      <c r="I204" s="175"/>
      <c r="J204" s="175"/>
      <c r="K204" s="175"/>
      <c r="L204" s="175"/>
      <c r="M204" s="175"/>
      <c r="N204" s="175"/>
      <c r="O204" s="175"/>
      <c r="P204" s="175"/>
      <c r="Q204" s="175"/>
      <c r="R204" s="175"/>
      <c r="S204" s="175"/>
      <c r="T204" s="175"/>
      <c r="U204" s="175"/>
      <c r="V204" s="175"/>
      <c r="W204" s="175"/>
    </row>
    <row r="205" spans="1:25" x14ac:dyDescent="0.25">
      <c r="A205" s="175"/>
      <c r="B205" s="175"/>
      <c r="C205" s="175"/>
      <c r="D205" s="175"/>
      <c r="E205" s="175"/>
      <c r="F205" s="175"/>
      <c r="G205" s="175"/>
      <c r="H205" s="175"/>
      <c r="I205" s="175"/>
      <c r="J205" s="175"/>
      <c r="K205" s="175"/>
      <c r="L205" s="175"/>
      <c r="M205" s="175"/>
      <c r="N205" s="175"/>
      <c r="O205" s="175"/>
      <c r="P205" s="175"/>
      <c r="Q205" s="175"/>
      <c r="R205" s="175"/>
      <c r="S205" s="175"/>
      <c r="T205" s="175"/>
      <c r="U205" s="175"/>
      <c r="V205" s="175"/>
      <c r="W205" s="175"/>
    </row>
    <row r="206" spans="1:25" x14ac:dyDescent="0.25">
      <c r="A206" s="175"/>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row>
    <row r="207" spans="1:25" x14ac:dyDescent="0.25">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row>
    <row r="208" spans="1:25" x14ac:dyDescent="0.25">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row>
    <row r="209" spans="2:23" x14ac:dyDescent="0.25">
      <c r="B209" s="175"/>
      <c r="C209" s="175"/>
      <c r="D209" s="175"/>
      <c r="E209" s="175"/>
      <c r="F209" s="175"/>
      <c r="G209" s="175"/>
      <c r="H209" s="175"/>
      <c r="I209" s="175"/>
      <c r="J209" s="175"/>
      <c r="K209" s="175"/>
      <c r="L209" s="175"/>
      <c r="M209" s="175"/>
      <c r="N209" s="175"/>
      <c r="O209" s="175"/>
      <c r="P209" s="175"/>
      <c r="Q209" s="175"/>
      <c r="R209" s="175"/>
      <c r="S209" s="175"/>
      <c r="T209" s="175"/>
      <c r="U209" s="175"/>
      <c r="V209" s="175"/>
      <c r="W209" s="175"/>
    </row>
    <row r="210" spans="2:23" x14ac:dyDescent="0.25">
      <c r="B210" s="175"/>
      <c r="C210" s="175"/>
      <c r="D210" s="175"/>
      <c r="E210" s="175"/>
      <c r="F210" s="175"/>
      <c r="G210" s="175"/>
      <c r="H210" s="175"/>
      <c r="I210" s="175"/>
      <c r="J210" s="175"/>
      <c r="K210" s="175"/>
      <c r="L210" s="175"/>
      <c r="M210" s="175"/>
      <c r="N210" s="175"/>
      <c r="O210" s="175"/>
      <c r="P210" s="175"/>
      <c r="Q210" s="175"/>
      <c r="R210" s="175"/>
      <c r="S210" s="175"/>
      <c r="T210" s="175"/>
      <c r="U210" s="175"/>
      <c r="V210" s="175"/>
      <c r="W210" s="175"/>
    </row>
    <row r="211" spans="2:23" x14ac:dyDescent="0.25">
      <c r="B211" s="175"/>
      <c r="C211" s="175"/>
      <c r="D211" s="175"/>
      <c r="E211" s="175"/>
      <c r="F211" s="175"/>
      <c r="G211" s="175"/>
      <c r="H211" s="175"/>
      <c r="I211" s="175"/>
      <c r="J211" s="175"/>
      <c r="K211" s="175"/>
      <c r="L211" s="175"/>
      <c r="M211" s="175"/>
      <c r="N211" s="175"/>
      <c r="O211" s="175"/>
      <c r="P211" s="175"/>
      <c r="Q211" s="175"/>
      <c r="R211" s="175"/>
      <c r="S211" s="175"/>
      <c r="T211" s="175"/>
      <c r="U211" s="175"/>
      <c r="V211" s="175"/>
      <c r="W211" s="175"/>
    </row>
    <row r="212" spans="2:23" x14ac:dyDescent="0.25">
      <c r="B212" s="175"/>
      <c r="C212" s="175"/>
      <c r="D212" s="175"/>
      <c r="E212" s="175"/>
      <c r="F212" s="175"/>
      <c r="G212" s="175"/>
      <c r="H212" s="175"/>
      <c r="I212" s="175"/>
      <c r="J212" s="175"/>
      <c r="K212" s="175"/>
      <c r="L212" s="175"/>
      <c r="M212" s="175"/>
      <c r="N212" s="175"/>
      <c r="O212" s="175"/>
      <c r="P212" s="175"/>
      <c r="Q212" s="175"/>
      <c r="R212" s="175"/>
      <c r="S212" s="175"/>
      <c r="T212" s="175"/>
      <c r="U212" s="175"/>
      <c r="V212" s="175"/>
      <c r="W212" s="175"/>
    </row>
    <row r="213" spans="2:23" x14ac:dyDescent="0.25">
      <c r="B213" s="175"/>
      <c r="C213" s="175"/>
      <c r="D213" s="175"/>
      <c r="E213" s="175"/>
      <c r="F213" s="175"/>
      <c r="G213" s="175"/>
      <c r="H213" s="175"/>
      <c r="I213" s="175"/>
      <c r="J213" s="175"/>
      <c r="K213" s="175"/>
      <c r="L213" s="175"/>
      <c r="M213" s="175"/>
      <c r="N213" s="175"/>
      <c r="O213" s="175"/>
      <c r="P213" s="175"/>
      <c r="Q213" s="175"/>
      <c r="R213" s="175"/>
      <c r="S213" s="175"/>
      <c r="T213" s="175"/>
      <c r="U213" s="175"/>
      <c r="V213" s="175"/>
      <c r="W213" s="175"/>
    </row>
    <row r="214" spans="2:23" x14ac:dyDescent="0.25">
      <c r="B214" s="175"/>
      <c r="C214" s="175"/>
      <c r="D214" s="175"/>
      <c r="E214" s="175"/>
      <c r="F214" s="175"/>
      <c r="G214" s="175"/>
      <c r="H214" s="175"/>
      <c r="I214" s="175"/>
      <c r="J214" s="175"/>
      <c r="K214" s="175"/>
      <c r="L214" s="175"/>
      <c r="M214" s="175"/>
      <c r="N214" s="175"/>
      <c r="O214" s="175"/>
      <c r="P214" s="175"/>
      <c r="Q214" s="175"/>
      <c r="R214" s="175"/>
      <c r="S214" s="175"/>
      <c r="T214" s="175"/>
      <c r="U214" s="175"/>
      <c r="V214" s="175"/>
      <c r="W214" s="175"/>
    </row>
    <row r="215" spans="2:23" x14ac:dyDescent="0.25">
      <c r="B215" s="175"/>
      <c r="C215" s="175"/>
      <c r="D215" s="175"/>
      <c r="E215" s="175"/>
      <c r="F215" s="175"/>
      <c r="G215" s="175"/>
      <c r="H215" s="175"/>
      <c r="I215" s="175"/>
      <c r="J215" s="175"/>
      <c r="K215" s="175"/>
      <c r="L215" s="175"/>
      <c r="M215" s="175"/>
      <c r="N215" s="175"/>
      <c r="O215" s="175"/>
      <c r="P215" s="175"/>
      <c r="Q215" s="175"/>
      <c r="R215" s="175"/>
      <c r="S215" s="175"/>
      <c r="T215" s="175"/>
      <c r="U215" s="175"/>
      <c r="V215" s="175"/>
      <c r="W215" s="175"/>
    </row>
    <row r="216" spans="2:23" x14ac:dyDescent="0.25">
      <c r="B216" s="175"/>
      <c r="C216" s="175"/>
      <c r="D216" s="175"/>
      <c r="E216" s="175"/>
      <c r="F216" s="175"/>
      <c r="G216" s="175"/>
      <c r="H216" s="175"/>
      <c r="I216" s="175"/>
      <c r="J216" s="175"/>
      <c r="K216" s="175"/>
      <c r="L216" s="175"/>
      <c r="M216" s="175"/>
      <c r="N216" s="175"/>
      <c r="O216" s="175"/>
      <c r="P216" s="175"/>
      <c r="Q216" s="175"/>
      <c r="R216" s="175"/>
      <c r="S216" s="175"/>
      <c r="T216" s="175"/>
      <c r="U216" s="175"/>
      <c r="V216" s="175"/>
      <c r="W216" s="175"/>
    </row>
    <row r="217" spans="2:23" x14ac:dyDescent="0.25">
      <c r="B217" s="175"/>
      <c r="C217" s="175"/>
      <c r="D217" s="175"/>
      <c r="E217" s="175"/>
      <c r="F217" s="175"/>
      <c r="G217" s="175"/>
      <c r="H217" s="175"/>
      <c r="I217" s="175"/>
      <c r="J217" s="175"/>
      <c r="K217" s="175"/>
      <c r="L217" s="175"/>
      <c r="M217" s="175"/>
      <c r="N217" s="175"/>
      <c r="O217" s="175"/>
      <c r="P217" s="175"/>
      <c r="Q217" s="175"/>
      <c r="R217" s="175"/>
      <c r="S217" s="175"/>
      <c r="T217" s="175"/>
      <c r="U217" s="175"/>
      <c r="V217" s="175"/>
      <c r="W217" s="175"/>
    </row>
    <row r="218" spans="2:23" x14ac:dyDescent="0.25">
      <c r="B218" s="175"/>
      <c r="C218" s="175"/>
      <c r="D218" s="175"/>
      <c r="E218" s="175"/>
      <c r="F218" s="175"/>
      <c r="G218" s="175"/>
      <c r="H218" s="175"/>
      <c r="I218" s="175"/>
      <c r="J218" s="175"/>
      <c r="K218" s="175"/>
      <c r="L218" s="175"/>
      <c r="M218" s="175"/>
      <c r="N218" s="175"/>
      <c r="O218" s="175"/>
      <c r="P218" s="175"/>
      <c r="Q218" s="175"/>
      <c r="R218" s="175"/>
      <c r="S218" s="175"/>
      <c r="T218" s="175"/>
      <c r="U218" s="175"/>
      <c r="V218" s="175"/>
      <c r="W218" s="175"/>
    </row>
    <row r="219" spans="2:23" x14ac:dyDescent="0.25">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row>
    <row r="220" spans="2:23" x14ac:dyDescent="0.25">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row>
    <row r="221" spans="2:23" x14ac:dyDescent="0.25">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row>
    <row r="222" spans="2:23" x14ac:dyDescent="0.25">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row>
    <row r="223" spans="2:23" x14ac:dyDescent="0.25">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row>
  </sheetData>
  <sheetProtection algorithmName="SHA-512" hashValue="uawDORQUorMxjSD1UYYm2nVZdcpl6D6n2h1I3mLXbJlVVztH5QcaZEdnUSHz1TaJr7PQQ00hMWPAgvxEdiWwxQ==" saltValue="bI1ILlKXFViaM/F6lVxpzQ==" spinCount="100000" sheet="1" objects="1" scenarios="1"/>
  <conditionalFormatting sqref="E25">
    <cfRule type="expression" dxfId="21" priority="2">
      <formula>IF(E25="This must be closer than Switch-On Distance",1,0)</formula>
    </cfRule>
  </conditionalFormatting>
  <conditionalFormatting sqref="E13">
    <cfRule type="expression" dxfId="20" priority="1">
      <formula>IF(C13&gt;33,1,0)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1419225</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5" x14ac:dyDescent="0.25"/>
  <cols>
    <col min="1" max="1" width="4.28515625" customWidth="1"/>
    <col min="2" max="2" width="4.5703125" customWidth="1"/>
    <col min="3" max="3" width="32" customWidth="1"/>
    <col min="4" max="4" width="15.140625" customWidth="1"/>
    <col min="5" max="5" width="7.42578125" customWidth="1"/>
    <col min="6" max="6" width="2.5703125" customWidth="1"/>
    <col min="7" max="13" width="8.85546875" customWidth="1"/>
    <col min="14" max="14" width="25.42578125" customWidth="1"/>
    <col min="19" max="19" width="10.85546875" bestFit="1" customWidth="1"/>
  </cols>
  <sheetData>
    <row r="2" spans="2:19" ht="18" x14ac:dyDescent="0.35">
      <c r="B2" s="4" t="s">
        <v>1099</v>
      </c>
      <c r="D2" s="20" t="s">
        <v>198</v>
      </c>
    </row>
    <row r="3" spans="2:19" ht="14.45" x14ac:dyDescent="0.3">
      <c r="B3" s="654"/>
    </row>
    <row r="4" spans="2:19" ht="9.6" customHeight="1" x14ac:dyDescent="0.3">
      <c r="B4" s="654"/>
      <c r="P4" s="860"/>
      <c r="Q4" s="860"/>
      <c r="R4" s="860"/>
      <c r="S4" s="860"/>
    </row>
    <row r="5" spans="2:19" ht="14.45" x14ac:dyDescent="0.3">
      <c r="B5" s="36" t="s">
        <v>1107</v>
      </c>
    </row>
    <row r="6" spans="2:19" x14ac:dyDescent="0.25">
      <c r="B6" s="36"/>
      <c r="C6" s="13" t="s">
        <v>1100</v>
      </c>
      <c r="D6" s="641">
        <v>1.2</v>
      </c>
      <c r="E6" s="861" t="s">
        <v>1502</v>
      </c>
      <c r="G6" s="85" t="str">
        <f>IF((D22-D23)&lt;1,"Inner Diameter is too large","")</f>
        <v/>
      </c>
      <c r="P6" s="366"/>
      <c r="Q6" s="364"/>
    </row>
    <row r="7" spans="2:19" x14ac:dyDescent="0.25">
      <c r="B7" s="36"/>
      <c r="C7" s="13" t="s">
        <v>1101</v>
      </c>
      <c r="D7" s="641">
        <v>0.5</v>
      </c>
      <c r="E7" s="862"/>
      <c r="P7" s="366"/>
      <c r="Q7" s="364"/>
    </row>
    <row r="8" spans="2:19" x14ac:dyDescent="0.25">
      <c r="B8" s="36"/>
      <c r="C8" s="13" t="s">
        <v>1129</v>
      </c>
      <c r="D8" s="642">
        <v>16</v>
      </c>
      <c r="E8" s="343"/>
      <c r="G8" s="85" t="str">
        <f>IF(MOD(D8,4)&gt;0,"Must be a multiple of 4","")</f>
        <v/>
      </c>
      <c r="P8" s="366"/>
      <c r="Q8" s="364"/>
    </row>
    <row r="9" spans="2:19" x14ac:dyDescent="0.25">
      <c r="B9" s="36"/>
      <c r="C9" s="25" t="s">
        <v>1162</v>
      </c>
      <c r="D9" s="641">
        <v>0.5</v>
      </c>
      <c r="E9" s="45" t="s">
        <v>34</v>
      </c>
      <c r="G9" s="85"/>
      <c r="P9" s="366"/>
      <c r="Q9" s="364"/>
    </row>
    <row r="10" spans="2:19" x14ac:dyDescent="0.25">
      <c r="B10" s="36"/>
      <c r="C10" s="25" t="s">
        <v>1145</v>
      </c>
      <c r="D10" s="644">
        <v>50</v>
      </c>
      <c r="E10" s="705" t="s">
        <v>533</v>
      </c>
      <c r="G10" s="85"/>
      <c r="P10" s="366"/>
      <c r="Q10" s="364"/>
    </row>
    <row r="11" spans="2:19" x14ac:dyDescent="0.25">
      <c r="B11" s="36" t="s">
        <v>1108</v>
      </c>
      <c r="C11" s="13"/>
      <c r="D11" s="646"/>
      <c r="E11" s="645"/>
      <c r="G11" s="85"/>
      <c r="P11" s="366"/>
      <c r="Q11" s="364"/>
    </row>
    <row r="12" spans="2:19" x14ac:dyDescent="0.25">
      <c r="B12" s="36"/>
      <c r="C12" s="25" t="s">
        <v>1128</v>
      </c>
      <c r="D12" s="641">
        <v>24</v>
      </c>
      <c r="E12" s="45" t="s">
        <v>614</v>
      </c>
      <c r="G12" s="85"/>
      <c r="P12" s="366"/>
      <c r="Q12" s="364"/>
    </row>
    <row r="13" spans="2:19" x14ac:dyDescent="0.25">
      <c r="B13" s="36"/>
      <c r="C13" s="25" t="s">
        <v>1102</v>
      </c>
      <c r="D13" s="641">
        <v>0</v>
      </c>
      <c r="E13" s="45" t="s">
        <v>614</v>
      </c>
      <c r="G13" s="85"/>
      <c r="P13" s="366"/>
      <c r="Q13" s="364"/>
    </row>
    <row r="14" spans="2:19" x14ac:dyDescent="0.25">
      <c r="B14" s="647"/>
      <c r="C14" s="13" t="s">
        <v>1105</v>
      </c>
      <c r="D14" s="660">
        <v>4</v>
      </c>
      <c r="E14" s="861" t="s">
        <v>614</v>
      </c>
      <c r="P14" s="366"/>
      <c r="Q14" s="364"/>
    </row>
    <row r="15" spans="2:19" x14ac:dyDescent="0.25">
      <c r="B15" s="647"/>
      <c r="C15" s="13" t="s">
        <v>1106</v>
      </c>
      <c r="D15" s="660">
        <v>4</v>
      </c>
      <c r="E15" s="862"/>
      <c r="P15" s="366"/>
      <c r="Q15" s="364"/>
    </row>
    <row r="16" spans="2:19" x14ac:dyDescent="0.25">
      <c r="B16" s="647"/>
      <c r="C16" s="93" t="s">
        <v>1126</v>
      </c>
      <c r="D16" s="660">
        <v>8</v>
      </c>
      <c r="E16" s="704" t="s">
        <v>614</v>
      </c>
      <c r="P16" s="366"/>
      <c r="Q16" s="364"/>
    </row>
    <row r="17" spans="2:17" x14ac:dyDescent="0.25">
      <c r="B17" s="647"/>
      <c r="C17" s="93" t="s">
        <v>1173</v>
      </c>
      <c r="D17" s="703">
        <v>40</v>
      </c>
      <c r="E17" s="706" t="str">
        <f>IF(D19=4,E16,"N/A")</f>
        <v>mil</v>
      </c>
      <c r="P17" s="366"/>
      <c r="Q17" s="364"/>
    </row>
    <row r="18" spans="2:17" x14ac:dyDescent="0.25">
      <c r="B18" s="647"/>
      <c r="C18" s="93" t="s">
        <v>1174</v>
      </c>
      <c r="D18" s="703">
        <v>8</v>
      </c>
      <c r="E18" s="706" t="str">
        <f>IF(D19=4,E17,"N/A")</f>
        <v>mil</v>
      </c>
      <c r="P18" s="366"/>
      <c r="Q18" s="364"/>
    </row>
    <row r="19" spans="2:17" x14ac:dyDescent="0.25">
      <c r="B19" s="647"/>
      <c r="C19" s="93" t="s">
        <v>1141</v>
      </c>
      <c r="D19" s="664">
        <v>4</v>
      </c>
      <c r="E19" s="661"/>
      <c r="P19" s="366"/>
      <c r="Q19" s="364"/>
    </row>
    <row r="20" spans="2:17" x14ac:dyDescent="0.25">
      <c r="B20" s="647"/>
      <c r="C20" s="93" t="s">
        <v>1138</v>
      </c>
      <c r="D20" s="641">
        <v>1</v>
      </c>
      <c r="E20" s="704" t="s">
        <v>53</v>
      </c>
      <c r="P20" s="366"/>
      <c r="Q20" s="364"/>
    </row>
    <row r="21" spans="2:17" ht="14.45" hidden="1" x14ac:dyDescent="0.3">
      <c r="B21" s="650" t="s">
        <v>1146</v>
      </c>
      <c r="C21" s="444"/>
      <c r="D21" s="643"/>
      <c r="E21" s="373"/>
      <c r="P21" s="366"/>
      <c r="Q21" s="364"/>
    </row>
    <row r="22" spans="2:17" ht="14.45" hidden="1" x14ac:dyDescent="0.3">
      <c r="B22" s="647"/>
      <c r="C22" s="93" t="s">
        <v>1100</v>
      </c>
      <c r="D22" s="651">
        <f>IF(E6="inch",D6*25.4,D6)</f>
        <v>30.479999999999997</v>
      </c>
      <c r="E22" s="648" t="s">
        <v>34</v>
      </c>
      <c r="P22" s="366"/>
      <c r="Q22" s="364"/>
    </row>
    <row r="23" spans="2:17" ht="14.45" hidden="1" x14ac:dyDescent="0.3">
      <c r="B23" s="647"/>
      <c r="C23" s="649" t="s">
        <v>1101</v>
      </c>
      <c r="D23" s="651">
        <f>IF(E6="inch",D7*25.4,D7)</f>
        <v>12.7</v>
      </c>
      <c r="E23" s="648" t="s">
        <v>34</v>
      </c>
      <c r="P23" s="366"/>
      <c r="Q23" s="364"/>
    </row>
    <row r="24" spans="2:17" ht="14.45" hidden="1" x14ac:dyDescent="0.3">
      <c r="B24" s="647"/>
      <c r="C24" s="93" t="s">
        <v>1102</v>
      </c>
      <c r="D24" s="652">
        <f>IF(E13="mil",D13*0.0254,IF(E13="µm",D13*0.001,D13))</f>
        <v>0</v>
      </c>
      <c r="E24" s="648" t="s">
        <v>34</v>
      </c>
      <c r="I24" s="735"/>
      <c r="P24" s="366"/>
      <c r="Q24" s="364"/>
    </row>
    <row r="25" spans="2:17" ht="14.45" hidden="1" x14ac:dyDescent="0.3">
      <c r="B25" s="647"/>
      <c r="C25" s="649" t="s">
        <v>1103</v>
      </c>
      <c r="D25" s="652">
        <f>IF(E14="mil",D14*0.0254,IF(E14="µm",D14*0.001,D14))</f>
        <v>0.1016</v>
      </c>
      <c r="E25" s="648" t="s">
        <v>34</v>
      </c>
      <c r="P25" s="366"/>
      <c r="Q25" s="364"/>
    </row>
    <row r="26" spans="2:17" ht="14.45" hidden="1" x14ac:dyDescent="0.3">
      <c r="B26" s="647"/>
      <c r="C26" s="649" t="s">
        <v>1104</v>
      </c>
      <c r="D26" s="652">
        <f>IF(E14="mil",D15*0.0254,IF(E14="µm",D15*0.001,D15))</f>
        <v>0.1016</v>
      </c>
      <c r="E26" s="648" t="s">
        <v>34</v>
      </c>
      <c r="P26" s="366"/>
      <c r="Q26" s="364"/>
    </row>
    <row r="27" spans="2:17" ht="14.45" hidden="1" x14ac:dyDescent="0.3">
      <c r="B27" s="647"/>
      <c r="C27" s="649" t="s">
        <v>1122</v>
      </c>
      <c r="D27" s="662">
        <f>D19</f>
        <v>4</v>
      </c>
      <c r="E27" s="648"/>
      <c r="H27" s="734"/>
      <c r="P27" s="366"/>
      <c r="Q27" s="364"/>
    </row>
    <row r="28" spans="2:17" ht="14.45" hidden="1" x14ac:dyDescent="0.3">
      <c r="B28" s="647"/>
      <c r="C28" s="649" t="str">
        <f>C16</f>
        <v>PCB thickness between Layer1 &amp; Layer2</v>
      </c>
      <c r="D28" s="652">
        <f>IF(E16="mil",D16*0.0254,IF(E16="µm",D16*0.001,D16))</f>
        <v>0.20319999999999999</v>
      </c>
      <c r="E28" s="648" t="s">
        <v>34</v>
      </c>
      <c r="P28" s="366"/>
      <c r="Q28" s="364"/>
    </row>
    <row r="29" spans="2:17" ht="14.45" hidden="1" x14ac:dyDescent="0.3">
      <c r="B29" s="647"/>
      <c r="C29" s="649" t="s">
        <v>1173</v>
      </c>
      <c r="D29" s="652">
        <f>IF(E17="mil",D17*0.0254,IF(E17="µm",D17*0.001,D17))</f>
        <v>1.016</v>
      </c>
      <c r="E29" s="648" t="s">
        <v>34</v>
      </c>
      <c r="P29" s="366"/>
      <c r="Q29" s="364"/>
    </row>
    <row r="30" spans="2:17" ht="14.45" hidden="1" x14ac:dyDescent="0.3">
      <c r="B30" s="647"/>
      <c r="C30" s="649" t="s">
        <v>1174</v>
      </c>
      <c r="D30" s="652">
        <f>IF(E18="mil",D18*0.0254,IF(E18="µm",D18*0.001,D18))</f>
        <v>0.20319999999999999</v>
      </c>
      <c r="E30" s="648" t="s">
        <v>34</v>
      </c>
      <c r="K30" s="421"/>
      <c r="P30" s="366"/>
      <c r="Q30" s="364"/>
    </row>
    <row r="31" spans="2:17" ht="14.45" hidden="1" x14ac:dyDescent="0.3">
      <c r="B31" s="647"/>
      <c r="C31" s="649" t="s">
        <v>1123</v>
      </c>
      <c r="D31" s="652">
        <f>IF(E9="mil",D9*0.0254,IF(E9="µm",D9*0.001,D9))</f>
        <v>0.5</v>
      </c>
      <c r="E31" s="648" t="s">
        <v>34</v>
      </c>
      <c r="P31" s="366"/>
      <c r="Q31" s="364"/>
    </row>
    <row r="32" spans="2:17" ht="14.45" hidden="1" x14ac:dyDescent="0.3">
      <c r="B32" s="647"/>
      <c r="C32" s="649" t="s">
        <v>1130</v>
      </c>
      <c r="D32" s="652">
        <f>IF(E12="mil",D12*0.0254,IF(E12="µm",D12*0.001,D12))</f>
        <v>0.60959999999999992</v>
      </c>
      <c r="E32" s="648" t="s">
        <v>34</v>
      </c>
      <c r="P32" s="366"/>
      <c r="Q32" s="364"/>
    </row>
    <row r="33" spans="2:17" ht="14.45" hidden="1" x14ac:dyDescent="0.3">
      <c r="B33" s="647"/>
      <c r="C33" s="93" t="s">
        <v>1137</v>
      </c>
      <c r="D33" s="665">
        <f>IF(E20="µm",0.001*D20, IF(E20="mil",D20*0.0254,D20*0.0347))</f>
        <v>3.4700000000000002E-2</v>
      </c>
      <c r="E33" s="648" t="s">
        <v>34</v>
      </c>
      <c r="P33" s="366"/>
      <c r="Q33" s="364"/>
    </row>
    <row r="34" spans="2:17" ht="14.45" hidden="1" x14ac:dyDescent="0.3">
      <c r="B34" s="647"/>
      <c r="C34" s="93" t="s">
        <v>1109</v>
      </c>
      <c r="D34" s="651">
        <f>360/D8</f>
        <v>22.5</v>
      </c>
      <c r="E34" s="666" t="s">
        <v>537</v>
      </c>
      <c r="P34" s="366"/>
      <c r="Q34" s="364"/>
    </row>
    <row r="35" spans="2:17" ht="14.45" hidden="1" x14ac:dyDescent="0.3">
      <c r="B35" s="647"/>
      <c r="C35" s="93" t="s">
        <v>1507</v>
      </c>
      <c r="D35" s="652">
        <f>((D22-D24)*PI()/D8)-(D26*0.5)</f>
        <v>5.9339340050885552</v>
      </c>
      <c r="E35" s="648" t="s">
        <v>34</v>
      </c>
      <c r="P35" s="366"/>
      <c r="Q35" s="364"/>
    </row>
    <row r="36" spans="2:17" ht="14.45" hidden="1" x14ac:dyDescent="0.3">
      <c r="B36" s="647"/>
      <c r="C36" s="93" t="s">
        <v>1508</v>
      </c>
      <c r="D36" s="652">
        <f>((D23-D24)*PI()/D8)-(D26*0.5)</f>
        <v>2.442839168786898</v>
      </c>
      <c r="E36" s="648" t="s">
        <v>34</v>
      </c>
      <c r="P36" s="366"/>
      <c r="Q36" s="364"/>
    </row>
    <row r="37" spans="2:17" ht="14.45" hidden="1" x14ac:dyDescent="0.3">
      <c r="B37" s="647"/>
      <c r="C37" s="93" t="s">
        <v>1110</v>
      </c>
      <c r="D37" s="652">
        <f>(D22-D23)/2-2*D24</f>
        <v>8.8899999999999988</v>
      </c>
      <c r="E37" s="648" t="s">
        <v>34</v>
      </c>
      <c r="P37" s="366"/>
      <c r="Q37" s="364"/>
    </row>
    <row r="38" spans="2:17" ht="14.45" hidden="1" x14ac:dyDescent="0.3">
      <c r="B38" s="647"/>
      <c r="C38" s="93" t="s">
        <v>1111</v>
      </c>
      <c r="D38" s="652">
        <f>D35/D37</f>
        <v>0.66748414005495571</v>
      </c>
      <c r="E38" s="648"/>
      <c r="P38" s="366"/>
      <c r="Q38" s="364"/>
    </row>
    <row r="39" spans="2:17" ht="14.45" hidden="1" x14ac:dyDescent="0.3">
      <c r="B39" s="647"/>
      <c r="C39" s="93" t="s">
        <v>1112</v>
      </c>
      <c r="D39" s="652">
        <f>IF(D38&lt;0.4,0.4,D38)</f>
        <v>0.66748414005495571</v>
      </c>
      <c r="E39" s="648"/>
      <c r="P39" s="366"/>
      <c r="Q39" s="364"/>
    </row>
    <row r="40" spans="2:17" ht="14.45" hidden="1" x14ac:dyDescent="0.3">
      <c r="B40" s="647"/>
      <c r="C40" s="93" t="s">
        <v>1510</v>
      </c>
      <c r="D40" s="652">
        <f>ATAN(0.5*(D35-D36)/D37)</f>
        <v>0.19388305158888441</v>
      </c>
      <c r="E40" s="648" t="s">
        <v>1509</v>
      </c>
      <c r="P40" s="366"/>
      <c r="Q40" s="364"/>
    </row>
    <row r="41" spans="2:17" ht="14.45" hidden="1" x14ac:dyDescent="0.3">
      <c r="B41" s="647"/>
      <c r="C41" s="93" t="s">
        <v>1374</v>
      </c>
      <c r="D41" s="651">
        <f>IF(E10="SPS",D10,3*D10*D8/60)</f>
        <v>40</v>
      </c>
      <c r="E41" s="648" t="s">
        <v>628</v>
      </c>
      <c r="P41" s="366"/>
      <c r="Q41" s="364"/>
    </row>
    <row r="42" spans="2:17" ht="14.45" hidden="1" x14ac:dyDescent="0.3">
      <c r="B42" s="655" t="s">
        <v>1121</v>
      </c>
      <c r="C42" s="444"/>
      <c r="D42" s="652">
        <f>IF(E54="mm",D33, IF(E54="mil",D54*0.0254,D54*0.0347))</f>
        <v>0.2429</v>
      </c>
      <c r="E42" s="648"/>
      <c r="P42" s="366"/>
      <c r="Q42" s="364"/>
    </row>
    <row r="43" spans="2:17" ht="14.45" hidden="1" x14ac:dyDescent="0.3">
      <c r="B43" s="647"/>
      <c r="C43" s="93" t="s">
        <v>1210</v>
      </c>
      <c r="D43" s="652">
        <f>MIN(D35,D37)</f>
        <v>5.9339340050885552</v>
      </c>
      <c r="E43" s="648" t="s">
        <v>34</v>
      </c>
      <c r="P43" s="366"/>
      <c r="Q43" s="364"/>
    </row>
    <row r="44" spans="2:17" ht="14.45" hidden="1" x14ac:dyDescent="0.3">
      <c r="B44" s="647"/>
      <c r="C44" s="93" t="s">
        <v>1113</v>
      </c>
      <c r="D44" s="652">
        <f>D32</f>
        <v>0.60959999999999992</v>
      </c>
      <c r="E44" s="648" t="s">
        <v>34</v>
      </c>
      <c r="P44" s="366"/>
      <c r="Q44" s="364"/>
    </row>
    <row r="45" spans="2:17" ht="14.45" hidden="1" x14ac:dyDescent="0.3">
      <c r="B45" s="647"/>
      <c r="C45" s="93" t="s">
        <v>1504</v>
      </c>
      <c r="D45" s="652">
        <f>D44+2*D26</f>
        <v>0.81279999999999997</v>
      </c>
      <c r="E45" s="648"/>
      <c r="P45" s="366"/>
      <c r="Q45" s="364"/>
    </row>
    <row r="46" spans="2:17" ht="14.45" hidden="1" x14ac:dyDescent="0.3">
      <c r="B46" s="647"/>
      <c r="C46" s="93" t="s">
        <v>1114</v>
      </c>
      <c r="D46" s="652">
        <f>(D43-D44-2*D26)/2</f>
        <v>2.5605670025442779</v>
      </c>
      <c r="E46" s="648" t="s">
        <v>34</v>
      </c>
      <c r="P46" s="366"/>
      <c r="Q46" s="364"/>
    </row>
    <row r="47" spans="2:17" ht="14.45" hidden="1" x14ac:dyDescent="0.3">
      <c r="B47" s="647"/>
      <c r="C47" s="93" t="s">
        <v>1505</v>
      </c>
      <c r="D47" s="662">
        <f>FLOOR((D37-D45/2)/2/(D25+D26),1)</f>
        <v>20</v>
      </c>
      <c r="E47" s="648"/>
      <c r="P47" s="366"/>
      <c r="Q47" s="364"/>
    </row>
    <row r="48" spans="2:17" ht="14.45" hidden="1" x14ac:dyDescent="0.3">
      <c r="B48" s="647"/>
      <c r="C48" s="93" t="s">
        <v>1511</v>
      </c>
      <c r="D48" s="665">
        <f>D25*(1/COS(D40)-TAN(D40))</f>
        <v>8.3590865032274156E-2</v>
      </c>
      <c r="E48" s="648" t="s">
        <v>34</v>
      </c>
      <c r="P48" s="366"/>
      <c r="Q48" s="364"/>
    </row>
    <row r="49" spans="2:17" ht="14.45" hidden="1" x14ac:dyDescent="0.3">
      <c r="B49" s="647"/>
      <c r="C49" s="93" t="s">
        <v>1512</v>
      </c>
      <c r="D49" s="665">
        <f>D26*(1/COS(D40)-TAN(D40))</f>
        <v>8.3590865032274156E-2</v>
      </c>
      <c r="E49" s="648" t="s">
        <v>34</v>
      </c>
      <c r="P49" s="366"/>
      <c r="Q49" s="364"/>
    </row>
    <row r="50" spans="2:17" ht="14.45" hidden="1" x14ac:dyDescent="0.3">
      <c r="B50" s="647"/>
      <c r="C50" s="93" t="s">
        <v>1506</v>
      </c>
      <c r="D50" s="667">
        <f>FLOOR((D36-D49)/2/(D48+D49)+1,1)</f>
        <v>8</v>
      </c>
      <c r="E50" s="648"/>
      <c r="P50" s="366"/>
      <c r="Q50" s="364"/>
    </row>
    <row r="51" spans="2:17" ht="14.45" hidden="1" x14ac:dyDescent="0.3">
      <c r="B51" s="647"/>
      <c r="C51" s="93" t="s">
        <v>1514</v>
      </c>
      <c r="D51" s="667">
        <f>D25*(1+1/SIN(PI()/2-D40))</f>
        <v>0.20513997838256937</v>
      </c>
      <c r="E51" s="648"/>
      <c r="P51" s="366"/>
      <c r="Q51" s="364"/>
    </row>
    <row r="52" spans="2:17" ht="14.45" hidden="1" x14ac:dyDescent="0.3">
      <c r="B52" s="647"/>
      <c r="C52" s="93" t="s">
        <v>1515</v>
      </c>
      <c r="D52" s="667">
        <f>D26*(1+1/SIN(PI()/2-D40))</f>
        <v>0.20513997838256937</v>
      </c>
      <c r="E52" s="648"/>
      <c r="P52" s="366"/>
      <c r="Q52" s="364"/>
    </row>
    <row r="53" spans="2:17" ht="14.45" hidden="1" x14ac:dyDescent="0.3">
      <c r="B53" s="647"/>
      <c r="C53" s="93" t="s">
        <v>1513</v>
      </c>
      <c r="D53" s="667">
        <f>FLOOR((D35-D44)/2/(D51+D52)+1,1)</f>
        <v>7</v>
      </c>
      <c r="E53" s="648"/>
      <c r="P53" s="366"/>
      <c r="Q53" s="364"/>
    </row>
    <row r="54" spans="2:17" ht="14.45" hidden="1" x14ac:dyDescent="0.3">
      <c r="B54" s="647"/>
      <c r="C54" s="93" t="s">
        <v>1127</v>
      </c>
      <c r="D54" s="667">
        <f>MIN(D53,D50,D47)</f>
        <v>7</v>
      </c>
      <c r="E54" s="648"/>
      <c r="G54" s="85" t="s">
        <v>1188</v>
      </c>
      <c r="P54" s="366"/>
      <c r="Q54" s="364"/>
    </row>
    <row r="55" spans="2:17" ht="14.45" hidden="1" x14ac:dyDescent="0.3">
      <c r="B55" s="647"/>
      <c r="C55" s="93" t="s">
        <v>1115</v>
      </c>
      <c r="D55" s="652">
        <f>D43-2*D54*D25-2*(D54)*D26</f>
        <v>3.0891340050885558</v>
      </c>
      <c r="E55" s="648" t="s">
        <v>34</v>
      </c>
      <c r="P55" s="366"/>
      <c r="Q55" s="364"/>
    </row>
    <row r="56" spans="2:17" ht="14.45" hidden="1" x14ac:dyDescent="0.3">
      <c r="B56" s="647"/>
      <c r="C56" s="93" t="s">
        <v>1116</v>
      </c>
      <c r="D56" s="652">
        <f>IF(D39&gt;1,D39,1/D39)</f>
        <v>1.498162937500908</v>
      </c>
      <c r="E56" s="648"/>
      <c r="P56" s="366"/>
      <c r="Q56" s="364"/>
    </row>
    <row r="57" spans="2:17" ht="14.45" hidden="1" x14ac:dyDescent="0.3">
      <c r="B57" s="647"/>
      <c r="C57" s="93" t="s">
        <v>1117</v>
      </c>
      <c r="D57" s="652">
        <f>1+(4*(D56-1)/PI())</f>
        <v>1.6342807517475875</v>
      </c>
      <c r="E57" s="648"/>
      <c r="P57" s="366"/>
      <c r="Q57" s="364"/>
    </row>
    <row r="58" spans="2:17" ht="14.45" hidden="1" x14ac:dyDescent="0.3">
      <c r="B58" s="647"/>
      <c r="C58" s="93" t="s">
        <v>1120</v>
      </c>
      <c r="D58" s="651">
        <f>MAX(0,D57*(D43+D55)/2)</f>
        <v>7.3731131853709284</v>
      </c>
      <c r="E58" s="648" t="s">
        <v>34</v>
      </c>
      <c r="P58" s="366"/>
      <c r="Q58" s="364"/>
    </row>
    <row r="59" spans="2:17" ht="14.45" hidden="1" x14ac:dyDescent="0.3">
      <c r="B59" s="647"/>
      <c r="C59" s="93" t="s">
        <v>1389</v>
      </c>
      <c r="D59" s="651">
        <f>(D55+D43)/2</f>
        <v>4.5115340050885555</v>
      </c>
      <c r="E59" s="648" t="s">
        <v>34</v>
      </c>
      <c r="P59" s="366"/>
      <c r="Q59" s="364"/>
    </row>
    <row r="60" spans="2:17" ht="14.45" hidden="1" x14ac:dyDescent="0.3">
      <c r="B60" s="647"/>
      <c r="C60" s="93" t="s">
        <v>1118</v>
      </c>
      <c r="D60" s="652">
        <f>(D43-D55)/(D43+D55)</f>
        <v>0.31528078883937832</v>
      </c>
      <c r="E60" s="648" t="s">
        <v>34</v>
      </c>
      <c r="P60" s="366"/>
      <c r="Q60" s="364"/>
    </row>
    <row r="61" spans="2:17" ht="14.45" hidden="1" x14ac:dyDescent="0.3">
      <c r="B61" s="647"/>
      <c r="C61" s="93" t="s">
        <v>1119</v>
      </c>
      <c r="D61" s="652">
        <f>0.5*4*PI()*0.0001*D54*D54*D58*(LN(2.46/D60)+0.2*D60*D60)</f>
        <v>0.47087475494525965</v>
      </c>
      <c r="E61" s="659" t="s">
        <v>1175</v>
      </c>
      <c r="P61" s="366"/>
      <c r="Q61" s="364"/>
    </row>
    <row r="62" spans="2:17" ht="14.45" hidden="1" x14ac:dyDescent="0.3">
      <c r="B62" s="647"/>
      <c r="C62" s="93" t="s">
        <v>1131</v>
      </c>
      <c r="D62" s="668">
        <f>D54*(D56-1)*2*D43+PI()*D54*(D43+D55)/2</f>
        <v>140.59873853640738</v>
      </c>
      <c r="E62" s="659" t="s">
        <v>34</v>
      </c>
      <c r="G62" s="85"/>
      <c r="M62" s="421"/>
      <c r="N62" s="19"/>
      <c r="P62" s="366"/>
      <c r="Q62" s="364"/>
    </row>
    <row r="63" spans="2:17" ht="14.45" hidden="1" x14ac:dyDescent="0.3">
      <c r="B63" s="647"/>
      <c r="C63" s="93" t="s">
        <v>1132</v>
      </c>
      <c r="D63" s="669">
        <v>20</v>
      </c>
      <c r="E63" s="663" t="s">
        <v>121</v>
      </c>
      <c r="G63" s="85" t="s">
        <v>1140</v>
      </c>
      <c r="P63" s="366"/>
      <c r="Q63" s="364"/>
    </row>
    <row r="64" spans="2:17" ht="14.45" hidden="1" x14ac:dyDescent="0.3">
      <c r="B64" s="647"/>
      <c r="C64" s="93" t="s">
        <v>1136</v>
      </c>
      <c r="D64" s="670">
        <v>1.6800000000000002E-8</v>
      </c>
      <c r="E64" s="663" t="s">
        <v>108</v>
      </c>
      <c r="G64" s="85"/>
      <c r="N64" s="19"/>
      <c r="P64" s="366"/>
      <c r="Q64" s="364"/>
    </row>
    <row r="65" spans="2:17" ht="14.45" hidden="1" x14ac:dyDescent="0.3">
      <c r="B65" s="647"/>
      <c r="C65" s="93" t="s">
        <v>1134</v>
      </c>
      <c r="D65" s="668">
        <v>0.39300000000000002</v>
      </c>
      <c r="E65" s="663" t="s">
        <v>1135</v>
      </c>
      <c r="G65" s="85"/>
      <c r="P65" s="366"/>
      <c r="Q65" s="364"/>
    </row>
    <row r="66" spans="2:17" ht="14.45" hidden="1" x14ac:dyDescent="0.3">
      <c r="B66" s="647"/>
      <c r="C66" s="93" t="s">
        <v>1133</v>
      </c>
      <c r="D66" s="670">
        <f>D64*(1+(D65/100)*(D63-20))</f>
        <v>1.6800000000000002E-8</v>
      </c>
      <c r="E66" s="663" t="s">
        <v>108</v>
      </c>
      <c r="G66" s="85"/>
      <c r="M66" s="421"/>
      <c r="N66" s="19"/>
      <c r="P66" s="366"/>
      <c r="Q66" s="364"/>
    </row>
    <row r="67" spans="2:17" ht="14.45" hidden="1" x14ac:dyDescent="0.3">
      <c r="B67" s="647"/>
      <c r="C67" s="93" t="s">
        <v>1139</v>
      </c>
      <c r="D67" s="652">
        <f>D66*D62*0.001*D27/(D25*0.001*D33*0.001)</f>
        <v>2.6799550788668278</v>
      </c>
      <c r="E67" s="663" t="s">
        <v>77</v>
      </c>
      <c r="G67" s="85"/>
      <c r="P67" s="366"/>
      <c r="Q67" s="364"/>
    </row>
    <row r="68" spans="2:17" ht="14.45" hidden="1" x14ac:dyDescent="0.3">
      <c r="B68" s="647"/>
      <c r="C68" s="8" t="s">
        <v>1222</v>
      </c>
      <c r="D68" s="682">
        <f>D54</f>
        <v>7</v>
      </c>
      <c r="E68" s="8"/>
      <c r="G68" s="85"/>
      <c r="P68" s="366"/>
      <c r="Q68" s="364"/>
    </row>
    <row r="69" spans="2:17" ht="14.45" hidden="1" x14ac:dyDescent="0.3">
      <c r="B69" s="647"/>
      <c r="C69" s="8" t="s">
        <v>1223</v>
      </c>
      <c r="D69" s="683">
        <f>D61</f>
        <v>0.47087475494525965</v>
      </c>
      <c r="E69" s="23" t="s">
        <v>96</v>
      </c>
      <c r="G69" s="85"/>
      <c r="P69" s="366"/>
      <c r="Q69" s="364"/>
    </row>
    <row r="70" spans="2:17" ht="14.45" hidden="1" x14ac:dyDescent="0.3">
      <c r="B70" s="647"/>
      <c r="C70" s="8" t="s">
        <v>1122</v>
      </c>
      <c r="D70" s="684">
        <f>D27</f>
        <v>4</v>
      </c>
      <c r="E70" s="8"/>
      <c r="G70" s="85"/>
      <c r="P70" s="366"/>
      <c r="Q70" s="364"/>
    </row>
    <row r="71" spans="2:17" ht="14.45" hidden="1" x14ac:dyDescent="0.3">
      <c r="B71" s="647"/>
      <c r="C71" s="8" t="s">
        <v>1224</v>
      </c>
      <c r="D71" s="700">
        <f>D9</f>
        <v>0.5</v>
      </c>
      <c r="E71" s="8" t="s">
        <v>34</v>
      </c>
      <c r="G71" s="85"/>
      <c r="P71" s="366"/>
      <c r="Q71" s="364"/>
    </row>
    <row r="72" spans="2:17" ht="14.45" hidden="1" x14ac:dyDescent="0.3">
      <c r="B72" s="647"/>
      <c r="C72" s="8" t="s">
        <v>1225</v>
      </c>
      <c r="D72" s="701">
        <f>D86</f>
        <v>0.1</v>
      </c>
      <c r="E72" s="8" t="s">
        <v>34</v>
      </c>
      <c r="G72" s="85"/>
      <c r="P72" s="366"/>
      <c r="Q72" s="364"/>
    </row>
    <row r="73" spans="2:17" ht="14.45" hidden="1" x14ac:dyDescent="0.3">
      <c r="B73" s="647"/>
      <c r="C73" s="8" t="s">
        <v>1226</v>
      </c>
      <c r="D73" s="701">
        <f>D85</f>
        <v>0.1</v>
      </c>
      <c r="E73" s="8" t="s">
        <v>34</v>
      </c>
      <c r="G73" s="85"/>
      <c r="P73" s="366"/>
      <c r="Q73" s="364"/>
    </row>
    <row r="74" spans="2:17" ht="14.45" hidden="1" x14ac:dyDescent="0.3">
      <c r="B74" s="647"/>
      <c r="C74" s="8" t="s">
        <v>1227</v>
      </c>
      <c r="D74" s="701">
        <f>D84</f>
        <v>0.1</v>
      </c>
      <c r="E74" s="8" t="s">
        <v>34</v>
      </c>
      <c r="G74" s="85"/>
      <c r="P74" s="366"/>
      <c r="Q74" s="364"/>
    </row>
    <row r="75" spans="2:17" ht="14.45" hidden="1" x14ac:dyDescent="0.3">
      <c r="B75" s="647"/>
      <c r="C75" s="8" t="s">
        <v>1228</v>
      </c>
      <c r="D75" s="701">
        <f>D83</f>
        <v>0.1</v>
      </c>
      <c r="E75" s="8" t="s">
        <v>34</v>
      </c>
      <c r="G75" s="85"/>
      <c r="P75" s="366"/>
      <c r="Q75" s="364"/>
    </row>
    <row r="76" spans="2:17" ht="14.45" hidden="1" x14ac:dyDescent="0.3">
      <c r="B76" s="647"/>
      <c r="C76" s="8" t="s">
        <v>1229</v>
      </c>
      <c r="D76" s="701">
        <f>D82</f>
        <v>0.20319999999999999</v>
      </c>
      <c r="E76" s="8" t="s">
        <v>34</v>
      </c>
      <c r="G76" s="85"/>
      <c r="P76" s="366"/>
      <c r="Q76" s="364"/>
    </row>
    <row r="77" spans="2:17" ht="14.45" hidden="1" x14ac:dyDescent="0.3">
      <c r="B77" s="647"/>
      <c r="C77" s="8" t="s">
        <v>1230</v>
      </c>
      <c r="D77" s="701">
        <f>D81</f>
        <v>1.016</v>
      </c>
      <c r="E77" s="8" t="s">
        <v>34</v>
      </c>
      <c r="G77" s="85"/>
      <c r="P77" s="366"/>
      <c r="Q77" s="364"/>
    </row>
    <row r="78" spans="2:17" ht="14.45" hidden="1" x14ac:dyDescent="0.3">
      <c r="B78" s="647"/>
      <c r="C78" s="8" t="s">
        <v>1231</v>
      </c>
      <c r="D78" s="701">
        <f>D80</f>
        <v>0.20319999999999999</v>
      </c>
      <c r="E78" s="8" t="s">
        <v>34</v>
      </c>
      <c r="G78" s="85"/>
      <c r="P78" s="366"/>
      <c r="Q78" s="364"/>
    </row>
    <row r="79" spans="2:17" ht="14.45" hidden="1" x14ac:dyDescent="0.3">
      <c r="B79" s="647"/>
      <c r="C79" s="8" t="s">
        <v>1232</v>
      </c>
      <c r="D79" s="702">
        <f>2*D71</f>
        <v>1</v>
      </c>
      <c r="E79" s="8" t="s">
        <v>34</v>
      </c>
      <c r="G79" s="85"/>
      <c r="P79" s="366"/>
      <c r="Q79" s="364"/>
    </row>
    <row r="80" spans="2:17" ht="14.45" hidden="1" x14ac:dyDescent="0.3">
      <c r="B80" s="647"/>
      <c r="C80" s="8" t="s">
        <v>1233</v>
      </c>
      <c r="D80" s="683">
        <f>D28</f>
        <v>0.20319999999999999</v>
      </c>
      <c r="E80" s="8" t="s">
        <v>34</v>
      </c>
      <c r="G80" s="85"/>
      <c r="P80" s="366"/>
      <c r="Q80" s="364"/>
    </row>
    <row r="81" spans="2:17" ht="14.45" hidden="1" x14ac:dyDescent="0.3">
      <c r="B81" s="647"/>
      <c r="C81" s="8" t="s">
        <v>1234</v>
      </c>
      <c r="D81" s="683">
        <f>D29</f>
        <v>1.016</v>
      </c>
      <c r="E81" s="8" t="s">
        <v>34</v>
      </c>
      <c r="G81" s="85"/>
      <c r="P81" s="366"/>
      <c r="Q81" s="364"/>
    </row>
    <row r="82" spans="2:17" ht="14.45" hidden="1" x14ac:dyDescent="0.3">
      <c r="B82" s="647"/>
      <c r="C82" s="8" t="s">
        <v>1235</v>
      </c>
      <c r="D82" s="683">
        <f>D30</f>
        <v>0.20319999999999999</v>
      </c>
      <c r="E82" s="8" t="s">
        <v>34</v>
      </c>
      <c r="G82" s="85"/>
      <c r="P82" s="366"/>
      <c r="Q82" s="364"/>
    </row>
    <row r="83" spans="2:17" ht="14.45" hidden="1" x14ac:dyDescent="0.3">
      <c r="B83" s="647"/>
      <c r="C83" s="8" t="s">
        <v>1236</v>
      </c>
      <c r="D83" s="683">
        <v>0.1</v>
      </c>
      <c r="E83" s="8" t="s">
        <v>34</v>
      </c>
      <c r="F83" t="s">
        <v>1397</v>
      </c>
      <c r="G83" s="85"/>
      <c r="P83" s="366"/>
      <c r="Q83" s="364"/>
    </row>
    <row r="84" spans="2:17" ht="14.45" hidden="1" x14ac:dyDescent="0.3">
      <c r="B84" s="647"/>
      <c r="C84" s="8" t="s">
        <v>1237</v>
      </c>
      <c r="D84" s="683">
        <v>0.1</v>
      </c>
      <c r="E84" s="8" t="s">
        <v>34</v>
      </c>
      <c r="F84" t="s">
        <v>1397</v>
      </c>
      <c r="G84" s="85"/>
      <c r="P84" s="366"/>
      <c r="Q84" s="364"/>
    </row>
    <row r="85" spans="2:17" ht="14.45" hidden="1" x14ac:dyDescent="0.3">
      <c r="B85" s="647"/>
      <c r="C85" s="8" t="s">
        <v>1238</v>
      </c>
      <c r="D85" s="683">
        <v>0.1</v>
      </c>
      <c r="E85" s="8" t="s">
        <v>34</v>
      </c>
      <c r="F85" t="s">
        <v>1397</v>
      </c>
      <c r="G85" s="85"/>
      <c r="P85" s="366"/>
      <c r="Q85" s="364"/>
    </row>
    <row r="86" spans="2:17" ht="14.45" hidden="1" x14ac:dyDescent="0.3">
      <c r="B86" s="647"/>
      <c r="C86" s="8" t="s">
        <v>1239</v>
      </c>
      <c r="D86" s="683">
        <v>0.1</v>
      </c>
      <c r="E86" s="8" t="s">
        <v>34</v>
      </c>
      <c r="F86" t="s">
        <v>1397</v>
      </c>
      <c r="G86" s="85"/>
      <c r="P86" s="366"/>
      <c r="Q86" s="364"/>
    </row>
    <row r="87" spans="2:17" ht="14.45" hidden="1" x14ac:dyDescent="0.3">
      <c r="B87" s="647"/>
      <c r="C87" s="8" t="s">
        <v>1240</v>
      </c>
      <c r="D87" s="683">
        <f>1.5625*D68^2/(1.67*D68^2-5.84*D68+65)</f>
        <v>0.72262859839546956</v>
      </c>
      <c r="E87" s="8"/>
      <c r="G87" s="85"/>
      <c r="P87" s="366"/>
      <c r="Q87" s="364"/>
    </row>
    <row r="88" spans="2:17" ht="14.45" hidden="1" x14ac:dyDescent="0.3">
      <c r="B88" s="647"/>
      <c r="C88" s="8" t="s">
        <v>1241</v>
      </c>
      <c r="D88" s="686">
        <f>(2*SUM(D95:D122))</f>
        <v>7.7548646698262669</v>
      </c>
      <c r="E88" s="8"/>
      <c r="G88" s="85"/>
      <c r="P88" s="366"/>
      <c r="Q88" s="364"/>
    </row>
    <row r="89" spans="2:17" ht="14.45" hidden="1" x14ac:dyDescent="0.3">
      <c r="B89" s="647"/>
      <c r="C89" s="8" t="s">
        <v>1242</v>
      </c>
      <c r="D89" s="686">
        <f>D88*D87+D70</f>
        <v>9.6038869871031007</v>
      </c>
      <c r="E89" s="8"/>
      <c r="G89" s="85"/>
      <c r="P89" s="366"/>
      <c r="Q89" s="364"/>
    </row>
    <row r="90" spans="2:17" ht="14.45" hidden="1" x14ac:dyDescent="0.3">
      <c r="B90" s="647"/>
      <c r="C90" s="687" t="s">
        <v>1243</v>
      </c>
      <c r="D90" s="688">
        <f>D89*D69</f>
        <v>4.5222279315741405</v>
      </c>
      <c r="E90" s="8"/>
      <c r="G90" s="85"/>
      <c r="P90" s="366"/>
      <c r="Q90" s="364"/>
    </row>
    <row r="91" spans="2:17" ht="14.45" hidden="1" x14ac:dyDescent="0.3">
      <c r="B91" s="647"/>
      <c r="C91" s="8" t="s">
        <v>1244</v>
      </c>
      <c r="D91" s="686">
        <f>SUM(D124:D186)</f>
        <v>-5.4359484643440474</v>
      </c>
      <c r="E91" s="8"/>
      <c r="G91" s="85"/>
      <c r="P91" s="366"/>
      <c r="Q91" s="364"/>
    </row>
    <row r="92" spans="2:17" ht="14.45" hidden="1" x14ac:dyDescent="0.3">
      <c r="B92" s="647"/>
      <c r="C92" s="8" t="s">
        <v>1245</v>
      </c>
      <c r="D92" s="686">
        <f>(D88+D91)*D87+D70</f>
        <v>5.6757151673641566</v>
      </c>
      <c r="E92" s="8"/>
      <c r="G92" s="85"/>
      <c r="P92" s="366"/>
      <c r="Q92" s="364"/>
    </row>
    <row r="93" spans="2:17" ht="14.45" hidden="1" x14ac:dyDescent="0.3">
      <c r="B93" s="647"/>
      <c r="C93" s="687" t="s">
        <v>1246</v>
      </c>
      <c r="D93" s="688">
        <f>D92*D69</f>
        <v>2.6725509885716905</v>
      </c>
      <c r="E93" s="8"/>
      <c r="G93" s="85"/>
      <c r="P93" s="366"/>
      <c r="Q93" s="364"/>
    </row>
    <row r="94" spans="2:17" ht="14.45" hidden="1" x14ac:dyDescent="0.3">
      <c r="B94" s="647"/>
      <c r="C94" s="8"/>
      <c r="D94" s="686"/>
      <c r="E94" s="8"/>
      <c r="G94" s="85"/>
      <c r="P94" s="366"/>
      <c r="Q94" s="364"/>
    </row>
    <row r="95" spans="2:17" ht="14.45" hidden="1" x14ac:dyDescent="0.3">
      <c r="B95" s="647"/>
      <c r="C95" s="8" t="s">
        <v>1247</v>
      </c>
      <c r="D95" s="686">
        <f>IF(2&gt;D70,0,1/((0.184*ABS(SUM(D80:D80))^3-0.525*(SUM(D80:D80))^2+1.038*ABS(SUM(D80:D80))+1.001)))</f>
        <v>0.83907539439398404</v>
      </c>
      <c r="E95" s="8"/>
      <c r="G95" s="85"/>
      <c r="P95" s="366"/>
      <c r="Q95" s="364"/>
    </row>
    <row r="96" spans="2:17" ht="14.45" hidden="1" x14ac:dyDescent="0.3">
      <c r="B96" s="647"/>
      <c r="C96" s="8" t="s">
        <v>1248</v>
      </c>
      <c r="D96" s="686">
        <f>IF(3&gt;D70,0,1/((0.184*ABS(SUM(D80:D81))^3-0.525*(SUM(D80:D81))^2+1.038*ABS(SUM(D80:D81))+1.001)))</f>
        <v>0.54957035292869783</v>
      </c>
      <c r="E96" s="8"/>
      <c r="G96" s="85"/>
      <c r="P96" s="366"/>
      <c r="Q96" s="364"/>
    </row>
    <row r="97" spans="2:17" ht="14.45" hidden="1" x14ac:dyDescent="0.3">
      <c r="B97" s="647"/>
      <c r="C97" s="8" t="s">
        <v>1249</v>
      </c>
      <c r="D97" s="686">
        <f>IF(4&gt;D70,0,1/((0.184*ABS(SUM(D80:D82))^3-0.525*(SUM(D80:D82))^2+1.038*ABS(SUM(D80:D82))+1.001)))</f>
        <v>0.51419681671857798</v>
      </c>
      <c r="E97" s="8"/>
      <c r="G97" s="85"/>
      <c r="P97" s="366"/>
      <c r="Q97" s="364"/>
    </row>
    <row r="98" spans="2:17" ht="14.45" hidden="1" x14ac:dyDescent="0.3">
      <c r="B98" s="647"/>
      <c r="C98" s="8" t="s">
        <v>1250</v>
      </c>
      <c r="D98" s="686">
        <f>IF(5&gt;D70,0,1/((0.184*ABS(SUM(D80:D83))^3-0.525*(SUM(D80:D83))^2+1.038*ABS(SUM(D80:D83))+1.001)))</f>
        <v>0</v>
      </c>
      <c r="E98" s="8"/>
      <c r="G98" s="85"/>
      <c r="P98" s="366"/>
      <c r="Q98" s="364"/>
    </row>
    <row r="99" spans="2:17" ht="14.45" hidden="1" x14ac:dyDescent="0.3">
      <c r="B99" s="647"/>
      <c r="C99" s="8" t="s">
        <v>1251</v>
      </c>
      <c r="D99" s="686">
        <f>IF(6&gt;D70,0,1/((0.184*ABS(SUM(D80:D84))^3-0.525*(SUM(D80:D84))^2+1.038*ABS(SUM(D80:D84))+1.001)))</f>
        <v>0</v>
      </c>
      <c r="E99" s="8"/>
      <c r="G99" s="85"/>
      <c r="P99" s="366"/>
      <c r="Q99" s="364"/>
    </row>
    <row r="100" spans="2:17" ht="14.45" hidden="1" x14ac:dyDescent="0.3">
      <c r="B100" s="647"/>
      <c r="C100" s="8" t="s">
        <v>1252</v>
      </c>
      <c r="D100" s="686">
        <f>IF(7&gt;D70,0,1/((0.184*ABS(SUM(D80:D85))^3-0.525*(SUM(D80:D85))^2+1.038*ABS(SUM(D80:D85))+1.001)))</f>
        <v>0</v>
      </c>
      <c r="E100" s="8"/>
      <c r="G100" s="85"/>
      <c r="P100" s="366"/>
      <c r="Q100" s="364"/>
    </row>
    <row r="101" spans="2:17" ht="14.45" hidden="1" x14ac:dyDescent="0.3">
      <c r="B101" s="647"/>
      <c r="C101" s="8" t="s">
        <v>1253</v>
      </c>
      <c r="D101" s="686">
        <f>IF(8&gt;D70,0,1/((0.184*ABS(SUM(D80:D86))^3-0.525*(SUM(D80:D86))^2+1.038*ABS(SUM(D80:D86))+1.001)))</f>
        <v>0</v>
      </c>
      <c r="E101" s="8"/>
      <c r="G101" s="85"/>
      <c r="P101" s="366"/>
      <c r="Q101" s="364"/>
    </row>
    <row r="102" spans="2:17" ht="14.45" hidden="1" x14ac:dyDescent="0.3">
      <c r="B102" s="647"/>
      <c r="C102" s="8" t="s">
        <v>1254</v>
      </c>
      <c r="D102" s="686">
        <f>IF(3&gt;D70,0,1/((0.184*ABS(SUM(D81:D81))^3-0.525*(SUM(D81:D81))^2+1.038*ABS(SUM(D81:D81))+1.001)))</f>
        <v>0.58594402354919184</v>
      </c>
      <c r="E102" s="8"/>
      <c r="G102" s="85"/>
      <c r="P102" s="366"/>
      <c r="Q102" s="364"/>
    </row>
    <row r="103" spans="2:17" ht="14.45" hidden="1" x14ac:dyDescent="0.3">
      <c r="B103" s="647"/>
      <c r="C103" s="8" t="s">
        <v>1255</v>
      </c>
      <c r="D103" s="686">
        <f>IF(4&gt;D70,0,1/((0.184*ABS(SUM(D81:D82))^3-0.525*(SUM(D81:D82))^2+1.038*ABS(SUM(D81:D82))+1.001)))</f>
        <v>0.54957035292869783</v>
      </c>
      <c r="E103" s="8"/>
      <c r="G103" s="85"/>
      <c r="P103" s="366"/>
      <c r="Q103" s="364"/>
    </row>
    <row r="104" spans="2:17" ht="14.45" hidden="1" x14ac:dyDescent="0.3">
      <c r="B104" s="647"/>
      <c r="C104" s="8" t="s">
        <v>1256</v>
      </c>
      <c r="D104" s="686">
        <f>IF(5&gt;D70,0,1/((0.184*ABS(SUM(D81:D83))^3-0.525*(SUM(D81:D83))^2+1.038*ABS(SUM(D81:D83))+1.001)))</f>
        <v>0</v>
      </c>
      <c r="E104" s="8"/>
      <c r="G104" s="85"/>
      <c r="P104" s="366"/>
      <c r="Q104" s="364"/>
    </row>
    <row r="105" spans="2:17" ht="14.45" hidden="1" x14ac:dyDescent="0.3">
      <c r="B105" s="647"/>
      <c r="C105" s="8" t="s">
        <v>1257</v>
      </c>
      <c r="D105" s="686">
        <f>IF(6&gt;D70,0,1/((0.184*ABS(SUM(D81:D84))^3-0.525*(SUM(D81:D84))^2+1.038*ABS(SUM(D81:D84))+1.001)))</f>
        <v>0</v>
      </c>
      <c r="E105" s="8"/>
      <c r="G105" s="85"/>
      <c r="P105" s="366"/>
      <c r="Q105" s="364"/>
    </row>
    <row r="106" spans="2:17" ht="14.45" hidden="1" x14ac:dyDescent="0.3">
      <c r="B106" s="647"/>
      <c r="C106" s="8" t="s">
        <v>1258</v>
      </c>
      <c r="D106" s="686">
        <f>IF(7&gt;D70,0,1/((0.184*ABS(SUM(D81:D85))^3-0.525*(SUM(D81:D85))^2+1.038*ABS(SUM(D81:D85))+1.001)))</f>
        <v>0</v>
      </c>
      <c r="E106" s="8"/>
      <c r="G106" s="85"/>
      <c r="P106" s="366"/>
      <c r="Q106" s="364"/>
    </row>
    <row r="107" spans="2:17" ht="14.45" hidden="1" x14ac:dyDescent="0.3">
      <c r="B107" s="647"/>
      <c r="C107" s="8" t="s">
        <v>1259</v>
      </c>
      <c r="D107" s="686">
        <f>IF(8&gt;D70,0,1/((0.184*ABS(SUM(D81:D86))^3-0.525*(SUM(D81:D86))^2+1.038*ABS(SUM(D81:D86))+1.001)))</f>
        <v>0</v>
      </c>
      <c r="E107" s="8"/>
      <c r="G107" s="85"/>
      <c r="P107" s="366"/>
      <c r="Q107" s="364"/>
    </row>
    <row r="108" spans="2:17" ht="14.45" hidden="1" x14ac:dyDescent="0.3">
      <c r="B108" s="647"/>
      <c r="C108" s="8" t="s">
        <v>1260</v>
      </c>
      <c r="D108" s="686">
        <f>IF(4&gt;D70,0,1/((0.184*ABS(SUM(D82:D82))^3-0.525*(SUM(D82:D82))^2+1.038*ABS(SUM(D82:D82))+1.001)))</f>
        <v>0.83907539439398404</v>
      </c>
      <c r="E108" s="8"/>
      <c r="G108" s="85"/>
      <c r="P108" s="366"/>
      <c r="Q108" s="364"/>
    </row>
    <row r="109" spans="2:17" ht="14.45" hidden="1" x14ac:dyDescent="0.3">
      <c r="B109" s="647"/>
      <c r="C109" s="8" t="s">
        <v>1261</v>
      </c>
      <c r="D109" s="686">
        <f>IF(5&gt;D70,0,1/((0.184*ABS(SUM(D82:D83))^3-0.525*(SUM(D82:D83))^2+1.038*ABS(SUM(D82:D83))+1.001)))</f>
        <v>0</v>
      </c>
      <c r="E109" s="8"/>
      <c r="G109" s="85"/>
      <c r="P109" s="366"/>
      <c r="Q109" s="364"/>
    </row>
    <row r="110" spans="2:17" ht="14.45" hidden="1" x14ac:dyDescent="0.3">
      <c r="B110" s="647"/>
      <c r="C110" s="8" t="s">
        <v>1262</v>
      </c>
      <c r="D110" s="686">
        <f>IF(6&gt;D70,0,1/((0.184*ABS(SUM(D82:D84))^3-0.525*(SUM(D82:D84))^2+1.038*ABS(SUM(D82:D84))+1.001)))</f>
        <v>0</v>
      </c>
      <c r="E110" s="8"/>
      <c r="G110" s="85"/>
      <c r="P110" s="366"/>
      <c r="Q110" s="364"/>
    </row>
    <row r="111" spans="2:17" ht="14.45" hidden="1" x14ac:dyDescent="0.3">
      <c r="B111" s="647"/>
      <c r="C111" s="8" t="s">
        <v>1263</v>
      </c>
      <c r="D111" s="686">
        <f>IF(7&gt;D70,0,1/((0.184*ABS(SUM(D82:D85))^3-0.525*(SUM(D82:D85))^2+1.038*ABS(SUM(D82:D85))+1.001)))</f>
        <v>0</v>
      </c>
      <c r="E111" s="8"/>
      <c r="G111" s="85"/>
      <c r="P111" s="366"/>
      <c r="Q111" s="364"/>
    </row>
    <row r="112" spans="2:17" ht="14.45" hidden="1" x14ac:dyDescent="0.3">
      <c r="B112" s="647"/>
      <c r="C112" s="8" t="s">
        <v>1264</v>
      </c>
      <c r="D112" s="686">
        <f>IF(8&gt;D70,0,1/((0.184*ABS(SUM(D82:D86))^3-0.525*(SUM(D82:D86))^2+1.038*ABS(SUM(D82:D86))+1.001)))</f>
        <v>0</v>
      </c>
      <c r="E112" s="8"/>
      <c r="G112" s="85"/>
      <c r="P112" s="366"/>
      <c r="Q112" s="364"/>
    </row>
    <row r="113" spans="2:17" ht="14.45" hidden="1" x14ac:dyDescent="0.3">
      <c r="B113" s="647"/>
      <c r="C113" s="8" t="s">
        <v>1265</v>
      </c>
      <c r="D113" s="686">
        <f>IF(5&gt;D70,0,1/((0.184*ABS(SUM(D83:D83))^3-0.525*(SUM(D83:D83))^2+1.038*ABS(SUM(D83:D83))+1.001)))</f>
        <v>0</v>
      </c>
      <c r="E113" s="8"/>
      <c r="G113" s="85"/>
      <c r="P113" s="366"/>
      <c r="Q113" s="364"/>
    </row>
    <row r="114" spans="2:17" ht="14.45" hidden="1" x14ac:dyDescent="0.3">
      <c r="B114" s="647"/>
      <c r="C114" s="8" t="s">
        <v>1266</v>
      </c>
      <c r="D114" s="686">
        <f>IF(6&gt;D70,0,1/((0.184*ABS(SUM(D83:D84))^3-0.525*(SUM(D83:D84))^2+1.038*ABS(SUM(D83:D84))+1.001)))</f>
        <v>0</v>
      </c>
      <c r="E114" s="8"/>
      <c r="G114" s="85"/>
      <c r="P114" s="366"/>
      <c r="Q114" s="364"/>
    </row>
    <row r="115" spans="2:17" ht="14.45" hidden="1" x14ac:dyDescent="0.3">
      <c r="B115" s="647"/>
      <c r="C115" s="8" t="s">
        <v>1267</v>
      </c>
      <c r="D115" s="686">
        <f>IF(7&gt;D70,0,1/((0.184*ABS(SUM(D83:D85))^3-0.525*(SUM(D83:D85))^2+1.038*ABS(SUM(D83:D85))+1.001)))</f>
        <v>0</v>
      </c>
      <c r="E115" s="8"/>
      <c r="G115" s="85"/>
      <c r="P115" s="366"/>
      <c r="Q115" s="364"/>
    </row>
    <row r="116" spans="2:17" ht="14.45" hidden="1" x14ac:dyDescent="0.3">
      <c r="B116" s="647"/>
      <c r="C116" s="8" t="s">
        <v>1268</v>
      </c>
      <c r="D116" s="686">
        <f>IF(8&gt;D70,0,1/((0.184*ABS(SUM(D83:D86))^3-0.525*(SUM(D83:D86))^2+1.038*ABS(SUM(D83:D86))+1.001)))</f>
        <v>0</v>
      </c>
      <c r="E116" s="8"/>
      <c r="G116" s="85"/>
      <c r="P116" s="366"/>
      <c r="Q116" s="364"/>
    </row>
    <row r="117" spans="2:17" ht="14.45" hidden="1" x14ac:dyDescent="0.3">
      <c r="B117" s="647"/>
      <c r="C117" s="8" t="s">
        <v>1269</v>
      </c>
      <c r="D117" s="686">
        <f>IF(6&gt;D70,0,1/((0.184*ABS(SUM(D84:D84))^3-0.525*(SUM(D84:D84))^2+1.038*ABS(SUM(D84:D84))+1.001)))</f>
        <v>0</v>
      </c>
      <c r="E117" s="8"/>
      <c r="G117" s="85"/>
      <c r="P117" s="366"/>
      <c r="Q117" s="364"/>
    </row>
    <row r="118" spans="2:17" ht="14.45" hidden="1" x14ac:dyDescent="0.3">
      <c r="B118" s="647"/>
      <c r="C118" s="8" t="s">
        <v>1270</v>
      </c>
      <c r="D118" s="686">
        <f>IF(7&gt;D70,0,1/((0.184*ABS(SUM(D84:D85))^3-0.525*(SUM(D84:D85))^2+1.038*ABS(SUM(D84:D85))+1.001)))</f>
        <v>0</v>
      </c>
      <c r="E118" s="8"/>
      <c r="G118" s="85"/>
      <c r="P118" s="366"/>
      <c r="Q118" s="364"/>
    </row>
    <row r="119" spans="2:17" ht="14.45" hidden="1" x14ac:dyDescent="0.3">
      <c r="B119" s="647"/>
      <c r="C119" s="8" t="s">
        <v>1271</v>
      </c>
      <c r="D119" s="686">
        <f>IF(8&gt;D70,0,1/((0.184*ABS(SUM(D84:D86))^3-0.525*(SUM(D84:D86))^2+1.038*ABS(SUM(D84:D86))+1.001)))</f>
        <v>0</v>
      </c>
      <c r="E119" s="8"/>
      <c r="G119" s="85"/>
      <c r="P119" s="366"/>
      <c r="Q119" s="364"/>
    </row>
    <row r="120" spans="2:17" ht="14.45" hidden="1" x14ac:dyDescent="0.3">
      <c r="B120" s="647"/>
      <c r="C120" s="8" t="s">
        <v>1272</v>
      </c>
      <c r="D120" s="686">
        <f>IF(7&gt;D70,0,1/((0.184*ABS(SUM(D85:D85))^3-0.525*(SUM(D85:D85))^2+1.038*ABS(SUM(D85:D85))+1.001)))</f>
        <v>0</v>
      </c>
      <c r="E120" s="8"/>
      <c r="G120" s="85"/>
      <c r="P120" s="366"/>
      <c r="Q120" s="364"/>
    </row>
    <row r="121" spans="2:17" ht="14.45" hidden="1" x14ac:dyDescent="0.3">
      <c r="B121" s="647"/>
      <c r="C121" s="8" t="s">
        <v>1273</v>
      </c>
      <c r="D121" s="686">
        <f>IF(8&gt;D70,0,1/((0.184*ABS(SUM(D85:D86))^3-0.525*(SUM(D85:D86))^2+1.038*ABS(SUM(D85:D86))+1.001)))</f>
        <v>0</v>
      </c>
      <c r="E121" s="8"/>
      <c r="G121" s="85"/>
      <c r="P121" s="366"/>
      <c r="Q121" s="364"/>
    </row>
    <row r="122" spans="2:17" ht="14.45" hidden="1" x14ac:dyDescent="0.3">
      <c r="B122" s="647"/>
      <c r="C122" s="8" t="s">
        <v>1274</v>
      </c>
      <c r="D122" s="686">
        <f>IF(8&gt;D70,0,1/((0.184*ABS(SUM(D86:D86))^3-0.525*(SUM(D86:D86))^2+1.038*ABS(SUM(D86:D86))+1.001)))</f>
        <v>0</v>
      </c>
      <c r="E122" s="8"/>
      <c r="G122" s="85"/>
      <c r="P122" s="366"/>
      <c r="Q122" s="364"/>
    </row>
    <row r="123" spans="2:17" ht="14.45" hidden="1" x14ac:dyDescent="0.3">
      <c r="B123" s="647"/>
      <c r="C123" s="8"/>
      <c r="D123" s="686"/>
      <c r="E123" s="8"/>
      <c r="G123" s="85"/>
      <c r="P123" s="366"/>
      <c r="Q123" s="364"/>
    </row>
    <row r="124" spans="2:17" ht="14.45" hidden="1" x14ac:dyDescent="0.3">
      <c r="B124" s="647"/>
      <c r="C124" s="8" t="s">
        <v>1275</v>
      </c>
      <c r="D124" s="686">
        <f>IF(1&gt;D70,0,-1/((0.184*ABS(SUM(D79:D79))^3-0.525*(SUM(D79:D79))^2+1.038*ABS(SUM(D79:D79))+1.001)))</f>
        <v>-0.58892815076560656</v>
      </c>
      <c r="E124" s="8"/>
      <c r="G124" s="85"/>
      <c r="P124" s="366"/>
      <c r="Q124" s="364"/>
    </row>
    <row r="125" spans="2:17" ht="14.45" hidden="1" x14ac:dyDescent="0.3">
      <c r="B125" s="647"/>
      <c r="C125" s="8" t="s">
        <v>1276</v>
      </c>
      <c r="D125" s="686">
        <f>IF(2&gt;D70,0,-1/((0.184*ABS(SUM(D79:D80))^3-0.525*(SUM(D79:D80))^2+1.038*ABS(SUM(D79:D80))+1.001)))</f>
        <v>-0.55236819802929826</v>
      </c>
      <c r="E125" s="8"/>
      <c r="G125" s="85"/>
      <c r="P125" s="366"/>
      <c r="Q125" s="364"/>
    </row>
    <row r="126" spans="2:17" ht="14.45" hidden="1" x14ac:dyDescent="0.3">
      <c r="B126" s="647"/>
      <c r="C126" s="8" t="s">
        <v>1277</v>
      </c>
      <c r="D126" s="686">
        <f>IF(3&gt;D70,0,-1/((0.184*ABS(SUM(D79:D81))^3-0.525*(SUM(D79:D81))^2+1.038*ABS(SUM(D79:D81))+1.001)))</f>
        <v>-0.3663055591516397</v>
      </c>
      <c r="E126" s="8"/>
      <c r="G126" s="85"/>
      <c r="P126" s="366"/>
      <c r="Q126" s="364"/>
    </row>
    <row r="127" spans="2:17" ht="14.45" hidden="1" x14ac:dyDescent="0.3">
      <c r="B127" s="647"/>
      <c r="C127" s="8" t="s">
        <v>1278</v>
      </c>
      <c r="D127" s="686">
        <f>IF(4&gt;D70,0,-1/((0.184*ABS(SUM(D79:D82))^3-0.525*(SUM(D79:D82))^2+1.038*ABS(SUM(D79:D82))+1.001)))</f>
        <v>-0.32784264399765972</v>
      </c>
      <c r="E127" s="8"/>
      <c r="G127" s="85"/>
      <c r="P127" s="366"/>
      <c r="Q127" s="364"/>
    </row>
    <row r="128" spans="2:17" ht="14.45" hidden="1" x14ac:dyDescent="0.3">
      <c r="B128" s="647"/>
      <c r="C128" s="8" t="s">
        <v>1279</v>
      </c>
      <c r="D128" s="686">
        <f>IF(5&gt;D70,0,-1/((0.184*ABS(SUM(D79:D83))^3-0.525*(SUM(D79:D83))^2+1.038*ABS(SUM(D79:D83))+1.001)))</f>
        <v>0</v>
      </c>
      <c r="E128" s="8"/>
      <c r="G128" s="85"/>
      <c r="P128" s="366"/>
      <c r="Q128" s="364"/>
    </row>
    <row r="129" spans="2:17" ht="14.45" hidden="1" x14ac:dyDescent="0.3">
      <c r="B129" s="647"/>
      <c r="C129" s="8" t="s">
        <v>1280</v>
      </c>
      <c r="D129" s="686">
        <f>IF(6&gt;D70,0,-1/((0.184*ABS(SUM(D79:D84))^3-0.525*(SUM(D79:D84))^2+1.038*ABS(SUM(D79:D84))+1.001)))</f>
        <v>0</v>
      </c>
      <c r="E129" s="8"/>
      <c r="G129" s="85"/>
      <c r="P129" s="366"/>
      <c r="Q129" s="364"/>
    </row>
    <row r="130" spans="2:17" ht="14.45" hidden="1" x14ac:dyDescent="0.3">
      <c r="B130" s="647"/>
      <c r="C130" s="8" t="s">
        <v>1281</v>
      </c>
      <c r="D130" s="686">
        <f>IF(7&gt;D70,0,-1/((0.184*ABS(SUM(D79:D85))^3-0.525*(SUM(D79:D85))^2+1.038*ABS(SUM(D79:D85))+1.001)))</f>
        <v>0</v>
      </c>
      <c r="E130" s="8"/>
      <c r="G130" s="85"/>
      <c r="P130" s="366"/>
      <c r="Q130" s="364"/>
    </row>
    <row r="131" spans="2:17" ht="14.45" hidden="1" x14ac:dyDescent="0.3">
      <c r="B131" s="647"/>
      <c r="C131" s="8" t="s">
        <v>1282</v>
      </c>
      <c r="D131" s="686">
        <f>IF(8&gt;D70,0,-1/((0.184*ABS(SUM(D79:D86))^3-0.525*(SUM(D79:D86))^2+1.038*ABS(SUM(D79:D86))+1.001)))</f>
        <v>0</v>
      </c>
      <c r="E131" s="8"/>
      <c r="G131" s="85"/>
      <c r="P131" s="366"/>
      <c r="Q131" s="364"/>
    </row>
    <row r="132" spans="2:17" ht="14.45" hidden="1" x14ac:dyDescent="0.3">
      <c r="B132" s="647"/>
      <c r="C132" s="8" t="s">
        <v>1283</v>
      </c>
      <c r="D132" s="686">
        <f>IF(2&gt;D70,0,-1/((0.184*ABS(SUM(D78:D79))^3-0.525*(SUM(D78:D79))^2+1.038*ABS(SUM(D78:D79))+1.001)))</f>
        <v>-0.55236819802929826</v>
      </c>
      <c r="E132" s="8"/>
      <c r="G132" s="85"/>
      <c r="P132" s="366"/>
      <c r="Q132" s="364"/>
    </row>
    <row r="133" spans="2:17" ht="14.45" hidden="1" x14ac:dyDescent="0.3">
      <c r="B133" s="647"/>
      <c r="C133" s="8" t="s">
        <v>1284</v>
      </c>
      <c r="D133" s="686">
        <f>IF(2&gt;D70,0,-1/((0.184*ABS(SUM(D78:D80))^3-0.525*(SUM(D78:D80))^2+1.038*ABS(SUM(D78:D80))+1.001)))</f>
        <v>-0.51699205914397361</v>
      </c>
      <c r="E133" s="8"/>
      <c r="G133" s="85"/>
      <c r="P133" s="366"/>
      <c r="Q133" s="364"/>
    </row>
    <row r="134" spans="2:17" ht="14.45" hidden="1" x14ac:dyDescent="0.3">
      <c r="B134" s="647"/>
      <c r="C134" s="8" t="s">
        <v>1285</v>
      </c>
      <c r="D134" s="686">
        <f>IF(3&gt;D70,0,-1/((0.184*ABS(SUM(D78:D81))^3-0.525*(SUM(D78:D81))^2+1.038*ABS(SUM(D78:D81))+1.001)))</f>
        <v>-0.32784264399765961</v>
      </c>
      <c r="E134" s="8"/>
      <c r="G134" s="85"/>
      <c r="P134" s="366"/>
      <c r="Q134" s="364"/>
    </row>
    <row r="135" spans="2:17" ht="14.45" hidden="1" x14ac:dyDescent="0.3">
      <c r="B135" s="647"/>
      <c r="C135" s="8" t="s">
        <v>1286</v>
      </c>
      <c r="D135" s="686">
        <f>IF(4&gt;D70,0,-1/((0.184*ABS(SUM(D78:D82))^3-0.525*(SUM(D78:D82))^2+1.038*ABS(SUM(D78:D82))+1.001)))</f>
        <v>-0.29090102542494017</v>
      </c>
      <c r="E135" s="8"/>
      <c r="G135" s="85"/>
      <c r="P135" s="366"/>
      <c r="Q135" s="364"/>
    </row>
    <row r="136" spans="2:17" ht="14.45" hidden="1" x14ac:dyDescent="0.3">
      <c r="B136" s="647"/>
      <c r="C136" s="8" t="s">
        <v>1287</v>
      </c>
      <c r="D136" s="686">
        <f>IF(5&gt;D70,0,-1/((0.184*ABS(SUM(D78:D83))^3-0.525*(SUM(D78:D83))^2+1.038*ABS(SUM(D78:D83))+1.001)))</f>
        <v>0</v>
      </c>
      <c r="E136" s="8"/>
      <c r="G136" s="85"/>
      <c r="P136" s="366"/>
      <c r="Q136" s="364"/>
    </row>
    <row r="137" spans="2:17" ht="14.45" hidden="1" x14ac:dyDescent="0.3">
      <c r="B137" s="647"/>
      <c r="C137" s="8" t="s">
        <v>1288</v>
      </c>
      <c r="D137" s="686">
        <f>IF(6&gt;D70,0,-1/((0.184*ABS(SUM(D78:D84))^3-0.525*(SUM(D78:D84))^2+1.038*ABS(SUM(D78:D84))+1.001)))</f>
        <v>0</v>
      </c>
      <c r="E137" s="8"/>
      <c r="G137" s="85"/>
      <c r="P137" s="366"/>
      <c r="Q137" s="364"/>
    </row>
    <row r="138" spans="2:17" ht="14.45" hidden="1" x14ac:dyDescent="0.3">
      <c r="B138" s="647"/>
      <c r="C138" s="8" t="s">
        <v>1289</v>
      </c>
      <c r="D138" s="686">
        <f>IF(7&gt;D70,0,-1/((0.184*ABS(SUM(D78:D85))^3-0.525*(SUM(D78:D85))^2+1.038*ABS(SUM(D78:D85))+1.001)))</f>
        <v>0</v>
      </c>
      <c r="E138" s="8"/>
      <c r="G138" s="85"/>
      <c r="P138" s="366"/>
      <c r="Q138" s="364"/>
    </row>
    <row r="139" spans="2:17" ht="14.45" hidden="1" x14ac:dyDescent="0.3">
      <c r="B139" s="647"/>
      <c r="C139" s="8" t="s">
        <v>1290</v>
      </c>
      <c r="D139" s="686">
        <f>IF(8&gt;D70,0,-1/((0.184*ABS(SUM(D78:D86))^3-0.525*(SUM(D78:D86))^2+1.038*ABS(SUM(D78:D86))+1.001)))</f>
        <v>0</v>
      </c>
      <c r="E139" s="8"/>
      <c r="G139" s="85"/>
      <c r="P139" s="366"/>
      <c r="Q139" s="364"/>
    </row>
    <row r="140" spans="2:17" ht="14.45" hidden="1" x14ac:dyDescent="0.3">
      <c r="B140" s="647"/>
      <c r="C140" s="8" t="s">
        <v>1291</v>
      </c>
      <c r="D140" s="686">
        <f>IF(3&gt;D70,0,-1/((0.184*ABS(SUM(D77:D79))^3-0.525*(SUM(D77:D79))^2+1.038*ABS(SUM(D77:D79))+1.001)))</f>
        <v>-0.3663055591516397</v>
      </c>
      <c r="E140" s="8"/>
      <c r="G140" s="85"/>
      <c r="P140" s="366"/>
      <c r="Q140" s="364"/>
    </row>
    <row r="141" spans="2:17" ht="14.45" hidden="1" x14ac:dyDescent="0.3">
      <c r="B141" s="647"/>
      <c r="C141" s="8" t="s">
        <v>1292</v>
      </c>
      <c r="D141" s="686">
        <f>IF(3&gt;D70,0,-1/((0.184*ABS(SUM(D77:D80))^3-0.525*(SUM(D77:D80))^2+1.038*ABS(SUM(D77:D80))+1.001)))</f>
        <v>-0.32784264399765972</v>
      </c>
      <c r="E141" s="8"/>
      <c r="G141" s="85"/>
      <c r="P141" s="366"/>
      <c r="Q141" s="364"/>
    </row>
    <row r="142" spans="2:17" ht="14.45" hidden="1" x14ac:dyDescent="0.3">
      <c r="B142" s="647"/>
      <c r="C142" s="8" t="s">
        <v>1293</v>
      </c>
      <c r="D142" s="686">
        <f>IF(3&gt;D70,0,-1/((0.184*ABS(SUM(D77:D81))^3-0.525*(SUM(D77:D81))^2+1.038*ABS(SUM(D77:D81))+1.001)))</f>
        <v>-0.17114654333727214</v>
      </c>
      <c r="E142" s="8"/>
      <c r="G142" s="85"/>
      <c r="P142" s="366"/>
      <c r="Q142" s="364"/>
    </row>
    <row r="143" spans="2:17" ht="14.45" hidden="1" x14ac:dyDescent="0.3">
      <c r="B143" s="647"/>
      <c r="C143" s="8" t="s">
        <v>1294</v>
      </c>
      <c r="D143" s="686">
        <f>IF(4&gt;D70,0,-1/((0.184*ABS(SUM(D77:D82))^3-0.525*(SUM(D77:D82))^2+1.038*ABS(SUM(D77:D82))+1.001)))</f>
        <v>-0.14915169503849171</v>
      </c>
      <c r="E143" s="8"/>
      <c r="G143" s="85"/>
      <c r="P143" s="366"/>
      <c r="Q143" s="364"/>
    </row>
    <row r="144" spans="2:17" ht="14.45" hidden="1" x14ac:dyDescent="0.3">
      <c r="B144" s="647"/>
      <c r="C144" s="8" t="s">
        <v>1295</v>
      </c>
      <c r="D144" s="686">
        <f>IF(5&gt;D70,0,-1/((0.184*ABS(SUM(D77:D83))^3-0.525*(SUM(D77:D83))^2+1.038*ABS(SUM(D77:D83))+1.001)))</f>
        <v>0</v>
      </c>
      <c r="E144" s="8"/>
      <c r="G144" s="85"/>
      <c r="P144" s="366"/>
      <c r="Q144" s="364"/>
    </row>
    <row r="145" spans="2:17" ht="14.45" hidden="1" x14ac:dyDescent="0.3">
      <c r="B145" s="647"/>
      <c r="C145" s="8" t="s">
        <v>1296</v>
      </c>
      <c r="D145" s="686">
        <f>IF(6&gt;D70,0,-1/((0.184*ABS(SUM(D77:D84))^3-0.525*(SUM(D77:D84))^2+1.038*ABS(SUM(D77:D84))+1.001)))</f>
        <v>0</v>
      </c>
      <c r="E145" s="8"/>
      <c r="G145" s="85"/>
      <c r="P145" s="366"/>
      <c r="Q145" s="364"/>
    </row>
    <row r="146" spans="2:17" ht="14.45" hidden="1" x14ac:dyDescent="0.3">
      <c r="B146" s="647"/>
      <c r="C146" s="8" t="s">
        <v>1297</v>
      </c>
      <c r="D146" s="686">
        <f>IF(7&gt;D70,0,-1/((0.184*ABS(SUM(D77:D85))^3-0.525*(SUM(D77:D85))^2+1.038*ABS(SUM(D77:D85))+1.001)))</f>
        <v>0</v>
      </c>
      <c r="E146" s="8"/>
      <c r="G146" s="85"/>
      <c r="P146" s="366"/>
      <c r="Q146" s="364"/>
    </row>
    <row r="147" spans="2:17" ht="14.45" hidden="1" x14ac:dyDescent="0.3">
      <c r="B147" s="647"/>
      <c r="C147" s="8" t="s">
        <v>1298</v>
      </c>
      <c r="D147" s="686">
        <f>IF(8&gt;D70,0,-1/((0.184*ABS(SUM(D77:D86))^3-0.525*(SUM(D77:D86))^2+1.038*ABS(SUM(D77:D86))+1.001)))</f>
        <v>0</v>
      </c>
      <c r="E147" s="8"/>
      <c r="G147" s="85"/>
      <c r="P147" s="366"/>
      <c r="Q147" s="364"/>
    </row>
    <row r="148" spans="2:17" ht="14.45" hidden="1" x14ac:dyDescent="0.3">
      <c r="B148" s="647"/>
      <c r="C148" s="8" t="s">
        <v>1299</v>
      </c>
      <c r="D148" s="686">
        <f>IF(4&gt;D70,0,-1/((0.184*ABS(SUM(D76:D79))^3-0.525*(SUM(D76:D79))^2+1.038*ABS(SUM(D76:D79))+1.001)))</f>
        <v>-0.32784264399765961</v>
      </c>
      <c r="E148" s="8"/>
      <c r="G148" s="85"/>
      <c r="P148" s="366"/>
      <c r="Q148" s="364"/>
    </row>
    <row r="149" spans="2:17" ht="14.45" hidden="1" x14ac:dyDescent="0.3">
      <c r="B149" s="647"/>
      <c r="C149" s="8" t="s">
        <v>1300</v>
      </c>
      <c r="D149" s="686">
        <f>IF(4&gt;D70,0,-1/((0.184*ABS(SUM(D76:D80))^3-0.525*(SUM(D76:D80))^2+1.038*ABS(SUM(D76:D80))+1.001)))</f>
        <v>-0.29090102542494017</v>
      </c>
      <c r="E149" s="8"/>
      <c r="G149" s="85"/>
      <c r="P149" s="366"/>
      <c r="Q149" s="364"/>
    </row>
    <row r="150" spans="2:17" ht="14.45" hidden="1" x14ac:dyDescent="0.3">
      <c r="B150" s="647"/>
      <c r="C150" s="8" t="s">
        <v>1301</v>
      </c>
      <c r="D150" s="686">
        <f>IF(4&gt;D70,0,-1/((0.184*ABS(SUM(D76:D81))^3-0.525*(SUM(D76:D81))^2+1.038*ABS(SUM(D76:D81))+1.001)))</f>
        <v>-0.14915169503849168</v>
      </c>
      <c r="E150" s="8"/>
      <c r="G150" s="85"/>
      <c r="P150" s="366"/>
      <c r="Q150" s="364"/>
    </row>
    <row r="151" spans="2:17" ht="14.45" hidden="1" x14ac:dyDescent="0.3">
      <c r="B151" s="647"/>
      <c r="C151" s="8" t="s">
        <v>1302</v>
      </c>
      <c r="D151" s="686">
        <f>IF(4&gt;D70,0,-1/((0.184*ABS(SUM(D76:D82))^3-0.525*(SUM(D76:D82))^2+1.038*ABS(SUM(D76:D82))+1.001)))</f>
        <v>-0.1300581798178165</v>
      </c>
      <c r="E151" s="8"/>
      <c r="G151" s="85"/>
      <c r="P151" s="366"/>
      <c r="Q151" s="364"/>
    </row>
    <row r="152" spans="2:17" ht="14.45" hidden="1" x14ac:dyDescent="0.3">
      <c r="B152" s="647"/>
      <c r="C152" s="8" t="s">
        <v>1303</v>
      </c>
      <c r="D152" s="686">
        <f>IF(5&gt;D70,0,-1/((0.184*ABS(SUM(D76:D83))^3-0.525*(SUM(D76:D83))^2+1.038*ABS(SUM(D76:D83))+1.001)))</f>
        <v>0</v>
      </c>
      <c r="E152" s="8"/>
      <c r="G152" s="85"/>
      <c r="P152" s="366"/>
      <c r="Q152" s="364"/>
    </row>
    <row r="153" spans="2:17" ht="14.45" hidden="1" x14ac:dyDescent="0.3">
      <c r="B153" s="647"/>
      <c r="C153" s="8" t="s">
        <v>1304</v>
      </c>
      <c r="D153" s="686">
        <f>IF(6&gt;D70,0,-1/((0.184*ABS(SUM(D76:D84))^3-0.525*(SUM(D76:D84))^2+1.038*ABS(SUM(D76:D84))+1.001)))</f>
        <v>0</v>
      </c>
      <c r="E153" s="8"/>
      <c r="G153" s="85"/>
      <c r="P153" s="366"/>
      <c r="Q153" s="364"/>
    </row>
    <row r="154" spans="2:17" ht="14.45" hidden="1" x14ac:dyDescent="0.3">
      <c r="B154" s="647"/>
      <c r="C154" s="8" t="s">
        <v>1305</v>
      </c>
      <c r="D154" s="686">
        <f>IF(7&gt;D70,0,-1/((0.184*ABS(SUM(D76:D85))^3-0.525*(SUM(D76:D85))^2+1.038*ABS(SUM(D76:D85))+1.001)))</f>
        <v>0</v>
      </c>
      <c r="E154" s="8"/>
      <c r="G154" s="85"/>
      <c r="P154" s="366"/>
      <c r="Q154" s="364"/>
    </row>
    <row r="155" spans="2:17" ht="14.45" hidden="1" x14ac:dyDescent="0.3">
      <c r="B155" s="647"/>
      <c r="C155" s="8" t="s">
        <v>1306</v>
      </c>
      <c r="D155" s="686">
        <f>IF(8&gt;D70,0,-1/((0.184*ABS(SUM(D76:D86))^3-0.525*(SUM(D76:D86))^2+1.038*ABS(SUM(D76:D86))+1.001)))</f>
        <v>0</v>
      </c>
      <c r="E155" s="8"/>
      <c r="G155" s="85"/>
      <c r="P155" s="366"/>
      <c r="Q155" s="364"/>
    </row>
    <row r="156" spans="2:17" ht="14.45" hidden="1" x14ac:dyDescent="0.3">
      <c r="B156" s="647"/>
      <c r="C156" s="8" t="s">
        <v>1307</v>
      </c>
      <c r="D156" s="686">
        <f>IF(5&gt;D70,0,-1/((0.184*ABS(SUM(D75:D79))^3-0.525*(SUM(D75:D79))^2+1.038*ABS(SUM(D75:D79))+1.001)))</f>
        <v>0</v>
      </c>
      <c r="E156" s="8"/>
      <c r="G156" s="85"/>
      <c r="P156" s="366"/>
      <c r="Q156" s="364"/>
    </row>
    <row r="157" spans="2:17" ht="14.45" hidden="1" x14ac:dyDescent="0.3">
      <c r="B157" s="647"/>
      <c r="C157" s="8" t="s">
        <v>1308</v>
      </c>
      <c r="D157" s="686">
        <f>IF(5&gt;D70,0,-1/((0.184*ABS(SUM(D75:D80))^3-0.525*(SUM(D75:D80))^2+1.038*ABS(SUM(D75:D80))+1.001)))</f>
        <v>0</v>
      </c>
      <c r="E157" s="8"/>
      <c r="G157" s="85"/>
      <c r="P157" s="366"/>
      <c r="Q157" s="364"/>
    </row>
    <row r="158" spans="2:17" ht="14.45" hidden="1" x14ac:dyDescent="0.3">
      <c r="B158" s="647"/>
      <c r="C158" s="8" t="s">
        <v>1309</v>
      </c>
      <c r="D158" s="686">
        <f>IF(5&gt;D70,0,-1/((0.184*ABS(SUM(D75:D81))^3-0.525*(SUM(D75:D81))^2+1.038*ABS(SUM(D75:D81))+1.001)))</f>
        <v>0</v>
      </c>
      <c r="E158" s="8"/>
      <c r="G158" s="85"/>
      <c r="P158" s="366"/>
      <c r="Q158" s="364"/>
    </row>
    <row r="159" spans="2:17" ht="14.45" hidden="1" x14ac:dyDescent="0.3">
      <c r="B159" s="647"/>
      <c r="C159" s="8" t="s">
        <v>1310</v>
      </c>
      <c r="D159" s="685">
        <f>IF(5&gt;D70,0,-1/((0.184*ABS(SUM(D75:D82))^3-0.525*(SUM(D75:D82))^2+1.038*ABS(SUM(D75:D82))+1.001)))</f>
        <v>0</v>
      </c>
      <c r="E159" s="8"/>
      <c r="G159" s="85"/>
      <c r="P159" s="366"/>
      <c r="Q159" s="364"/>
    </row>
    <row r="160" spans="2:17" ht="14.45" hidden="1" x14ac:dyDescent="0.3">
      <c r="B160" s="647"/>
      <c r="C160" s="8" t="s">
        <v>1311</v>
      </c>
      <c r="D160" s="685">
        <f>IF(5&gt;D70,0,-1/((0.184*ABS(SUM(D75:D83))^3-0.525*(SUM(D75:D83))^2+1.038*ABS(SUM(D75:D83))+1.001)))</f>
        <v>0</v>
      </c>
      <c r="E160" s="8"/>
      <c r="G160" s="85"/>
      <c r="P160" s="366"/>
      <c r="Q160" s="364"/>
    </row>
    <row r="161" spans="2:17" ht="14.45" hidden="1" x14ac:dyDescent="0.3">
      <c r="B161" s="647"/>
      <c r="C161" s="8" t="s">
        <v>1312</v>
      </c>
      <c r="D161" s="685">
        <f>IF(6&gt;D70,0,-1/((0.184*ABS(SUM(D75:D84))^3-0.525*(SUM(D75:D84))^2+1.038*ABS(SUM(D75:D84))+1.001)))</f>
        <v>0</v>
      </c>
      <c r="E161" s="8"/>
      <c r="G161" s="85"/>
      <c r="P161" s="366"/>
      <c r="Q161" s="364"/>
    </row>
    <row r="162" spans="2:17" ht="14.45" hidden="1" x14ac:dyDescent="0.3">
      <c r="B162" s="647"/>
      <c r="C162" s="8" t="s">
        <v>1313</v>
      </c>
      <c r="D162" s="685">
        <f>IF(7&gt;D70,0,-1/((0.184*ABS(SUM(D75:D85))^3-0.525*(SUM(D75:D85))^2+1.038*ABS(SUM(D75:D85))+1.001)))</f>
        <v>0</v>
      </c>
      <c r="E162" s="8"/>
      <c r="G162" s="85"/>
      <c r="P162" s="366"/>
      <c r="Q162" s="364"/>
    </row>
    <row r="163" spans="2:17" ht="14.45" hidden="1" x14ac:dyDescent="0.3">
      <c r="B163" s="647"/>
      <c r="C163" s="8" t="s">
        <v>1314</v>
      </c>
      <c r="D163" s="685">
        <f>IF(8&gt;D70,0,-1/((0.184*ABS(SUM(D75:D86))^3-0.525*(SUM(D75:D86))^2+1.038*ABS(SUM(D75:D86))+1.001)))</f>
        <v>0</v>
      </c>
      <c r="E163" s="8"/>
      <c r="G163" s="85"/>
      <c r="P163" s="366"/>
      <c r="Q163" s="364"/>
    </row>
    <row r="164" spans="2:17" ht="14.45" hidden="1" x14ac:dyDescent="0.3">
      <c r="B164" s="647"/>
      <c r="C164" s="8" t="s">
        <v>1315</v>
      </c>
      <c r="D164" s="685">
        <f>IF(6&gt;D70,0,-1/((0.184*ABS(SUM(D74:D79))^3-0.525*(SUM(D74:D79))^2+1.038*ABS(SUM(D74:D79))+1.001)))</f>
        <v>0</v>
      </c>
      <c r="E164" s="8"/>
      <c r="G164" s="85"/>
      <c r="P164" s="366"/>
      <c r="Q164" s="364"/>
    </row>
    <row r="165" spans="2:17" ht="14.45" hidden="1" x14ac:dyDescent="0.3">
      <c r="B165" s="647"/>
      <c r="C165" s="8" t="s">
        <v>1316</v>
      </c>
      <c r="D165" s="685">
        <f>IF(6&gt;D70,0,-1/((0.184*ABS(SUM(D74:D80))^3-0.525*(SUM(D74:D80))^2+1.038*ABS(SUM(D74:D80))+1.001)))</f>
        <v>0</v>
      </c>
      <c r="E165" s="8"/>
      <c r="G165" s="85"/>
      <c r="P165" s="366"/>
      <c r="Q165" s="364"/>
    </row>
    <row r="166" spans="2:17" ht="14.45" hidden="1" x14ac:dyDescent="0.3">
      <c r="B166" s="647"/>
      <c r="C166" s="8" t="s">
        <v>1317</v>
      </c>
      <c r="D166" s="685">
        <f>IF(6&gt;D70,0,-1/((0.184*ABS(SUM(D74:D81))^3-0.525*(SUM(D74:D81))^2+1.038*ABS(SUM(D74:D81))+1.001)))</f>
        <v>0</v>
      </c>
      <c r="E166" s="8"/>
      <c r="G166" s="85"/>
      <c r="P166" s="366"/>
      <c r="Q166" s="364"/>
    </row>
    <row r="167" spans="2:17" ht="14.45" hidden="1" x14ac:dyDescent="0.3">
      <c r="B167" s="647"/>
      <c r="C167" s="8" t="s">
        <v>1318</v>
      </c>
      <c r="D167" s="685">
        <f>IF(6&gt;D70,0,-1/((0.184*ABS(SUM(D74:D82))^3-0.525*(SUM(D74:D82))^2+1.038*ABS(SUM(D74:D82))+1.001)))</f>
        <v>0</v>
      </c>
      <c r="E167" s="8"/>
      <c r="G167" s="85"/>
      <c r="P167" s="366"/>
      <c r="Q167" s="364"/>
    </row>
    <row r="168" spans="2:17" ht="14.45" hidden="1" x14ac:dyDescent="0.3">
      <c r="B168" s="647"/>
      <c r="C168" s="8" t="s">
        <v>1319</v>
      </c>
      <c r="D168" s="685">
        <f>IF(6&gt;D70,0,-1/((0.184*ABS(SUM(D74:D83))^3-0.525*(SUM(D74:D83))^2+1.038*ABS(SUM(D74:D83))+1.001)))</f>
        <v>0</v>
      </c>
      <c r="E168" s="8"/>
      <c r="G168" s="85"/>
      <c r="P168" s="366"/>
      <c r="Q168" s="364"/>
    </row>
    <row r="169" spans="2:17" ht="14.45" hidden="1" x14ac:dyDescent="0.3">
      <c r="B169" s="647"/>
      <c r="C169" s="8" t="s">
        <v>1320</v>
      </c>
      <c r="D169" s="685">
        <f>IF(6&gt;D70,0,-1/((0.184*ABS(SUM(D74:D84))^3-0.525*(SUM(D74:D84))^2+1.038*ABS(SUM(D74:D84))+1.001)))</f>
        <v>0</v>
      </c>
      <c r="E169" s="8"/>
      <c r="G169" s="85"/>
      <c r="P169" s="366"/>
      <c r="Q169" s="364"/>
    </row>
    <row r="170" spans="2:17" ht="14.45" hidden="1" x14ac:dyDescent="0.3">
      <c r="B170" s="647"/>
      <c r="C170" s="8" t="s">
        <v>1321</v>
      </c>
      <c r="D170" s="685">
        <f>IF(7&gt;D70,0,-1/((0.184*ABS(SUM(D74:D85))^3-0.525*(SUM(D74:D85))^2+1.038*ABS(SUM(D74:D85))+1.001)))</f>
        <v>0</v>
      </c>
      <c r="E170" s="8"/>
      <c r="G170" s="85"/>
      <c r="P170" s="366"/>
      <c r="Q170" s="364"/>
    </row>
    <row r="171" spans="2:17" ht="14.45" hidden="1" x14ac:dyDescent="0.3">
      <c r="B171" s="647"/>
      <c r="C171" s="8" t="s">
        <v>1322</v>
      </c>
      <c r="D171" s="685">
        <f>IF(8&gt;D70,0,-1/((0.184*ABS(SUM(D74:D86))^3-0.525*(SUM(D74:D86))^2+1.038*ABS(SUM(D74:D86))+1.001)))</f>
        <v>0</v>
      </c>
      <c r="E171" s="8"/>
      <c r="G171" s="85"/>
      <c r="P171" s="366"/>
      <c r="Q171" s="364"/>
    </row>
    <row r="172" spans="2:17" ht="14.45" hidden="1" x14ac:dyDescent="0.3">
      <c r="B172" s="647"/>
      <c r="C172" s="8" t="s">
        <v>1323</v>
      </c>
      <c r="D172" s="685">
        <f>IF(7&gt;D70,0,-1/((0.184*ABS(SUM(D73:D79))^3-0.525*(SUM(D73:D79))^2+1.038*ABS(SUM(D73:D79))+1.001)))</f>
        <v>0</v>
      </c>
      <c r="E172" s="8"/>
      <c r="G172" s="85"/>
      <c r="P172" s="366"/>
      <c r="Q172" s="364"/>
    </row>
    <row r="173" spans="2:17" ht="14.45" hidden="1" x14ac:dyDescent="0.3">
      <c r="B173" s="647"/>
      <c r="C173" s="8" t="s">
        <v>1324</v>
      </c>
      <c r="D173" s="685">
        <f>IF(7&gt;D70,0,-1/((0.184*ABS(SUM(D73:D80))^3-0.525*(SUM(D73:D80))^2+1.038*ABS(SUM(D73:D80))+1.001)))</f>
        <v>0</v>
      </c>
      <c r="E173" s="8"/>
      <c r="G173" s="85"/>
      <c r="P173" s="366"/>
      <c r="Q173" s="364"/>
    </row>
    <row r="174" spans="2:17" ht="14.45" hidden="1" x14ac:dyDescent="0.3">
      <c r="B174" s="647"/>
      <c r="C174" s="8" t="s">
        <v>1325</v>
      </c>
      <c r="D174" s="685">
        <f>IF(7&gt;D70,0,-1/((0.184*ABS(SUM(D73:D81))^3-0.525*(SUM(D73:D81))^2+1.038*ABS(SUM(D73:D81))+1.001)))</f>
        <v>0</v>
      </c>
      <c r="E174" s="8"/>
      <c r="G174" s="85"/>
      <c r="P174" s="366"/>
      <c r="Q174" s="364"/>
    </row>
    <row r="175" spans="2:17" ht="14.45" hidden="1" x14ac:dyDescent="0.3">
      <c r="B175" s="647"/>
      <c r="C175" s="8" t="s">
        <v>1326</v>
      </c>
      <c r="D175" s="685">
        <f>IF(7&gt;D70,0,-1/((0.184*ABS(SUM(D73:D82))^3-0.525*(SUM(D73:D82))^2+1.038*ABS(SUM(D73:D82))+1.001)))</f>
        <v>0</v>
      </c>
      <c r="E175" s="8"/>
      <c r="G175" s="85"/>
      <c r="P175" s="366"/>
      <c r="Q175" s="364"/>
    </row>
    <row r="176" spans="2:17" ht="14.45" hidden="1" x14ac:dyDescent="0.3">
      <c r="B176" s="647"/>
      <c r="C176" s="8" t="s">
        <v>1327</v>
      </c>
      <c r="D176" s="685">
        <f>IF(7&gt;D70,0,-1/((0.184*ABS(SUM(D73:D83))^3-0.525*(SUM(D73:D83))^2+1.038*ABS(SUM(D73:D83))+1.001)))</f>
        <v>0</v>
      </c>
      <c r="E176" s="8"/>
      <c r="G176" s="85"/>
      <c r="P176" s="366"/>
      <c r="Q176" s="364"/>
    </row>
    <row r="177" spans="2:17" ht="14.45" hidden="1" x14ac:dyDescent="0.3">
      <c r="B177" s="647"/>
      <c r="C177" s="8" t="s">
        <v>1328</v>
      </c>
      <c r="D177" s="685">
        <f>IF(7&gt;D70,0,-1/((0.184*ABS(SUM(D73:D84))^3-0.525*(SUM(D73:D84))^2+1.038*ABS(SUM(D73:D84))+1.001)))</f>
        <v>0</v>
      </c>
      <c r="E177" s="8"/>
      <c r="G177" s="85"/>
      <c r="P177" s="366"/>
      <c r="Q177" s="364"/>
    </row>
    <row r="178" spans="2:17" ht="14.45" hidden="1" x14ac:dyDescent="0.3">
      <c r="B178" s="647"/>
      <c r="C178" s="8" t="s">
        <v>1329</v>
      </c>
      <c r="D178" s="685">
        <f>IF(7&gt;D70,0,-1/((0.184*ABS(SUM(D73:D85))^3-0.525*(SUM(D73:D85))^2+1.038*ABS(SUM(D73:D85))+1.001)))</f>
        <v>0</v>
      </c>
      <c r="E178" s="8"/>
      <c r="G178" s="85"/>
      <c r="P178" s="366"/>
      <c r="Q178" s="364"/>
    </row>
    <row r="179" spans="2:17" ht="14.45" hidden="1" x14ac:dyDescent="0.3">
      <c r="B179" s="647"/>
      <c r="C179" s="8" t="s">
        <v>1330</v>
      </c>
      <c r="D179" s="685">
        <f>IF(8&gt;D70,0,-1/((0.184*ABS(SUM(D73:D86))^3-0.525*(SUM(D73:D86))^2+1.038*ABS(SUM(D73:D86))+1.001)))</f>
        <v>0</v>
      </c>
      <c r="E179" s="8"/>
      <c r="G179" s="85"/>
      <c r="P179" s="366"/>
      <c r="Q179" s="364"/>
    </row>
    <row r="180" spans="2:17" ht="14.45" hidden="1" x14ac:dyDescent="0.3">
      <c r="B180" s="647"/>
      <c r="C180" s="8" t="s">
        <v>1331</v>
      </c>
      <c r="D180" s="685">
        <f>IF(8&gt;D70,0,-1/((0.184*ABS(SUM(D72:D80))^3-0.525*(SUM(D72:D80))^2+1.038*ABS(SUM(D72:D80))+1.001)))</f>
        <v>0</v>
      </c>
      <c r="E180" s="8"/>
      <c r="G180" s="85"/>
      <c r="P180" s="366"/>
      <c r="Q180" s="364"/>
    </row>
    <row r="181" spans="2:17" ht="14.45" hidden="1" x14ac:dyDescent="0.3">
      <c r="B181" s="647"/>
      <c r="C181" s="8" t="s">
        <v>1332</v>
      </c>
      <c r="D181" s="685">
        <f>IF(8&gt;D70,0,-1/((0.184*ABS(SUM(D72:D81))^3-0.525*(SUM(D72:D81))^2+1.038*ABS(SUM(D72:D81))+1.001)))</f>
        <v>0</v>
      </c>
      <c r="E181" s="8"/>
      <c r="G181" s="85"/>
      <c r="P181" s="366"/>
      <c r="Q181" s="364"/>
    </row>
    <row r="182" spans="2:17" ht="14.45" hidden="1" x14ac:dyDescent="0.3">
      <c r="B182" s="647"/>
      <c r="C182" s="8" t="s">
        <v>1333</v>
      </c>
      <c r="D182" s="685">
        <f>IF(8&gt;D70,0,-1/((0.184*ABS(SUM(D72:D82))^3-0.525*(SUM(D72:D82))^2+1.038*ABS(SUM(D72:D82))+1.001)))</f>
        <v>0</v>
      </c>
      <c r="E182" s="8"/>
      <c r="G182" s="85"/>
      <c r="P182" s="366"/>
      <c r="Q182" s="364"/>
    </row>
    <row r="183" spans="2:17" ht="14.45" hidden="1" x14ac:dyDescent="0.3">
      <c r="B183" s="647"/>
      <c r="C183" s="8" t="s">
        <v>1334</v>
      </c>
      <c r="D183" s="685">
        <f>IF(8&gt;D70,0,-1/((0.184*ABS(SUM(D72:D83))^3-0.525*(SUM(D72:D83))^2+1.038*ABS(SUM(D72:D83))+1.001)))</f>
        <v>0</v>
      </c>
      <c r="E183" s="8"/>
      <c r="G183" s="85"/>
      <c r="P183" s="366"/>
      <c r="Q183" s="364"/>
    </row>
    <row r="184" spans="2:17" ht="14.45" hidden="1" x14ac:dyDescent="0.3">
      <c r="B184" s="647"/>
      <c r="C184" s="8" t="s">
        <v>1335</v>
      </c>
      <c r="D184" s="685">
        <f>IF(8&gt;D70,0,-1/((0.184*ABS(SUM(D72:D84))^3-0.525*(SUM(D72:D84))^2+1.038*ABS(SUM(D72:D84))+1.001)))</f>
        <v>0</v>
      </c>
      <c r="E184" s="8"/>
      <c r="G184" s="85"/>
      <c r="P184" s="366"/>
      <c r="Q184" s="364"/>
    </row>
    <row r="185" spans="2:17" ht="14.45" hidden="1" x14ac:dyDescent="0.3">
      <c r="B185" s="647"/>
      <c r="C185" s="8" t="s">
        <v>1336</v>
      </c>
      <c r="D185" s="685">
        <f>IF(8&gt;D70,0,-1/((0.184*ABS(SUM(D72:D85))^3-0.525*(SUM(D72:D85))^2+1.038*ABS(SUM(D72:D85))+1.001)))</f>
        <v>0</v>
      </c>
      <c r="E185" s="8"/>
      <c r="G185" s="85"/>
      <c r="P185" s="366"/>
      <c r="Q185" s="364"/>
    </row>
    <row r="186" spans="2:17" ht="14.45" hidden="1" x14ac:dyDescent="0.3">
      <c r="B186" s="647"/>
      <c r="C186" s="8" t="s">
        <v>1337</v>
      </c>
      <c r="D186" s="685">
        <f>IF(8&gt;D70,0,-1/((0.184*ABS(SUM(D72:D86))^3-0.525*(SUM(D72:D86))^2+1.038*ABS(SUM(D72:D86))+1.001)))</f>
        <v>0</v>
      </c>
      <c r="E186" s="8"/>
      <c r="G186" s="85"/>
      <c r="P186" s="366"/>
      <c r="Q186" s="364"/>
    </row>
    <row r="187" spans="2:17" ht="14.45" hidden="1" x14ac:dyDescent="0.3">
      <c r="B187" s="647"/>
      <c r="C187" s="93"/>
      <c r="D187" s="652"/>
      <c r="E187" s="663"/>
      <c r="G187" s="85"/>
      <c r="P187" s="366"/>
      <c r="Q187" s="364"/>
    </row>
    <row r="188" spans="2:17" ht="14.45" hidden="1" x14ac:dyDescent="0.3">
      <c r="B188" s="647"/>
      <c r="C188" s="93" t="s">
        <v>1124</v>
      </c>
      <c r="D188" s="652">
        <f>D90</f>
        <v>4.5222279315741405</v>
      </c>
      <c r="E188" s="659" t="s">
        <v>1175</v>
      </c>
      <c r="P188" s="366"/>
      <c r="Q188" s="364"/>
    </row>
    <row r="189" spans="2:17" ht="14.45" hidden="1" x14ac:dyDescent="0.3">
      <c r="B189" s="647"/>
      <c r="C189" s="93" t="s">
        <v>1125</v>
      </c>
      <c r="D189" s="652">
        <f>D93</f>
        <v>2.6725509885716905</v>
      </c>
      <c r="E189" s="659" t="s">
        <v>1175</v>
      </c>
      <c r="P189" s="366"/>
      <c r="Q189" s="364"/>
    </row>
    <row r="190" spans="2:17" ht="14.45" hidden="1" x14ac:dyDescent="0.3">
      <c r="B190" s="647"/>
      <c r="C190" s="93"/>
      <c r="D190" s="652"/>
      <c r="E190" s="659"/>
      <c r="P190" s="366"/>
      <c r="Q190" s="364"/>
    </row>
    <row r="191" spans="2:17" ht="14.45" hidden="1" x14ac:dyDescent="0.3">
      <c r="B191" s="655" t="s">
        <v>1163</v>
      </c>
      <c r="C191" s="658"/>
      <c r="D191" s="651"/>
      <c r="E191" s="663"/>
      <c r="P191" s="366"/>
      <c r="Q191" s="364"/>
    </row>
    <row r="192" spans="2:17" ht="14.45" hidden="1" x14ac:dyDescent="0.3">
      <c r="B192" s="647"/>
      <c r="C192" s="6" t="s">
        <v>1159</v>
      </c>
      <c r="D192" s="651">
        <v>1</v>
      </c>
      <c r="E192" s="663" t="s">
        <v>243</v>
      </c>
      <c r="P192" s="366"/>
      <c r="Q192" s="364"/>
    </row>
    <row r="193" spans="2:17" ht="14.45" hidden="1" x14ac:dyDescent="0.3">
      <c r="B193" s="647"/>
      <c r="C193" s="93" t="s">
        <v>1161</v>
      </c>
      <c r="D193" s="651">
        <v>10</v>
      </c>
      <c r="E193" s="663" t="s">
        <v>0</v>
      </c>
      <c r="P193" s="366"/>
      <c r="Q193" s="364"/>
    </row>
    <row r="194" spans="2:17" ht="14.45" hidden="1" x14ac:dyDescent="0.3">
      <c r="B194" s="647"/>
      <c r="C194" s="93" t="s">
        <v>1170</v>
      </c>
      <c r="D194" s="651">
        <v>40</v>
      </c>
      <c r="E194" s="663" t="s">
        <v>0</v>
      </c>
      <c r="P194" s="366"/>
      <c r="Q194" s="364"/>
    </row>
    <row r="195" spans="2:17" ht="14.45" hidden="1" x14ac:dyDescent="0.3">
      <c r="B195" s="647"/>
      <c r="C195" s="93" t="s">
        <v>267</v>
      </c>
      <c r="D195" s="662">
        <v>1</v>
      </c>
      <c r="E195" s="648"/>
      <c r="P195" s="366"/>
      <c r="Q195" s="364"/>
    </row>
    <row r="196" spans="2:17" ht="14.45" hidden="1" x14ac:dyDescent="0.3">
      <c r="B196" s="647"/>
      <c r="C196" s="93" t="s">
        <v>1372</v>
      </c>
      <c r="D196" s="662">
        <f>400000/49</f>
        <v>8163.2653061224491</v>
      </c>
      <c r="E196" s="648" t="s">
        <v>405</v>
      </c>
      <c r="P196" s="366"/>
      <c r="Q196" s="364"/>
    </row>
    <row r="197" spans="2:17" ht="14.45" hidden="1" x14ac:dyDescent="0.3">
      <c r="B197" s="647"/>
      <c r="C197" s="93" t="s">
        <v>1172</v>
      </c>
      <c r="D197" s="662">
        <v>10</v>
      </c>
      <c r="E197" s="648" t="s">
        <v>1167</v>
      </c>
      <c r="P197" s="366"/>
      <c r="Q197" s="364"/>
    </row>
    <row r="198" spans="2:17" ht="14.45" hidden="1" x14ac:dyDescent="0.3">
      <c r="B198" s="647"/>
      <c r="C198" s="93" t="s">
        <v>1404</v>
      </c>
      <c r="D198" s="651">
        <v>0.55000000000000004</v>
      </c>
      <c r="E198" s="648" t="s">
        <v>376</v>
      </c>
      <c r="P198" s="366"/>
      <c r="Q198" s="364"/>
    </row>
    <row r="199" spans="2:17" ht="14.45" hidden="1" x14ac:dyDescent="0.3">
      <c r="B199" s="655" t="s">
        <v>1180</v>
      </c>
      <c r="C199" s="658"/>
      <c r="D199" s="651"/>
      <c r="E199" s="648"/>
      <c r="P199" s="366"/>
      <c r="Q199" s="364"/>
    </row>
    <row r="200" spans="2:17" ht="14.45" hidden="1" x14ac:dyDescent="0.3">
      <c r="B200" s="647"/>
      <c r="C200" s="93" t="s">
        <v>1181</v>
      </c>
      <c r="D200" s="652">
        <f>D193*0.95</f>
        <v>9.5</v>
      </c>
      <c r="E200" s="648" t="s">
        <v>0</v>
      </c>
      <c r="P200" s="366"/>
      <c r="Q200" s="364"/>
    </row>
    <row r="201" spans="2:17" ht="14.45" hidden="1" x14ac:dyDescent="0.3">
      <c r="B201" s="647"/>
      <c r="C201" s="93" t="s">
        <v>1143</v>
      </c>
      <c r="D201" s="665">
        <f>SQRT(D66/(4*PI()*PI()*10*D200))*10000</f>
        <v>2.1164741566498071E-2</v>
      </c>
      <c r="E201" s="648" t="s">
        <v>34</v>
      </c>
      <c r="P201" s="366"/>
      <c r="Q201" s="364"/>
    </row>
    <row r="202" spans="2:17" ht="14.45" hidden="1" x14ac:dyDescent="0.3">
      <c r="B202" s="647"/>
      <c r="C202" s="93" t="s">
        <v>1144</v>
      </c>
      <c r="D202" s="652">
        <f>D67*D33/(D201*(1-EXP(-D33/D201)))</f>
        <v>5.4519076733396012</v>
      </c>
      <c r="E202" s="663" t="s">
        <v>77</v>
      </c>
      <c r="P202" s="366"/>
      <c r="Q202" s="364"/>
    </row>
    <row r="203" spans="2:17" ht="14.45" hidden="1" x14ac:dyDescent="0.3">
      <c r="B203" s="647"/>
      <c r="C203" s="93" t="s">
        <v>1142</v>
      </c>
      <c r="D203" s="651">
        <f>0.001*(2*PI()*D200*D189)^2/D202</f>
        <v>4.6677808090293906</v>
      </c>
      <c r="E203" s="663" t="s">
        <v>243</v>
      </c>
      <c r="P203" s="366"/>
      <c r="Q203" s="364"/>
    </row>
    <row r="204" spans="2:17" ht="14.45" hidden="1" x14ac:dyDescent="0.3">
      <c r="B204" s="655" t="s">
        <v>1151</v>
      </c>
      <c r="C204" s="658"/>
      <c r="D204" s="651"/>
      <c r="E204" s="648"/>
      <c r="P204" s="366"/>
      <c r="Q204" s="364"/>
    </row>
    <row r="205" spans="2:17" ht="14.45" hidden="1" x14ac:dyDescent="0.3">
      <c r="B205" s="647"/>
      <c r="C205" s="93" t="s">
        <v>1148</v>
      </c>
      <c r="D205" s="651" t="s">
        <v>1147</v>
      </c>
      <c r="E205" s="648"/>
      <c r="P205" s="366"/>
      <c r="Q205" s="364"/>
    </row>
    <row r="206" spans="2:17" ht="14.45" hidden="1" x14ac:dyDescent="0.3">
      <c r="B206" s="647"/>
      <c r="C206" s="93" t="s">
        <v>69</v>
      </c>
      <c r="D206" s="651">
        <v>0.9</v>
      </c>
      <c r="E206" s="659" t="s">
        <v>1175</v>
      </c>
      <c r="G206" t="s">
        <v>1221</v>
      </c>
      <c r="P206" s="366"/>
      <c r="Q206" s="364"/>
    </row>
    <row r="207" spans="2:17" ht="14.45" hidden="1" x14ac:dyDescent="0.3">
      <c r="B207" s="647"/>
      <c r="C207" s="6" t="s">
        <v>1149</v>
      </c>
      <c r="D207" s="651">
        <v>20</v>
      </c>
      <c r="E207" s="648"/>
      <c r="P207" s="366"/>
      <c r="Q207" s="364"/>
    </row>
    <row r="208" spans="2:17" ht="14.45" hidden="1" x14ac:dyDescent="0.3">
      <c r="B208" s="647"/>
      <c r="C208" s="6" t="s">
        <v>1150</v>
      </c>
      <c r="D208" s="651">
        <v>3.2</v>
      </c>
      <c r="E208" s="663" t="s">
        <v>77</v>
      </c>
      <c r="P208" s="366"/>
      <c r="Q208" s="364"/>
    </row>
    <row r="209" spans="2:17" ht="14.45" hidden="1" x14ac:dyDescent="0.3">
      <c r="B209" s="647"/>
      <c r="C209" s="6" t="s">
        <v>1157</v>
      </c>
      <c r="D209" s="671">
        <f>IF(D203&lt;D192,1,0)</f>
        <v>0</v>
      </c>
      <c r="E209" s="663" t="s">
        <v>1158</v>
      </c>
      <c r="P209" s="366"/>
      <c r="Q209" s="364"/>
    </row>
    <row r="210" spans="2:17" ht="14.45" hidden="1" x14ac:dyDescent="0.3">
      <c r="B210" s="647"/>
      <c r="C210" s="6" t="s">
        <v>1216</v>
      </c>
      <c r="D210" s="671" t="str">
        <f>IF(D209=0,""," with 1µH fixed L")</f>
        <v/>
      </c>
      <c r="E210" s="663"/>
      <c r="P210" s="366"/>
      <c r="Q210" s="364"/>
    </row>
    <row r="211" spans="2:17" ht="14.45" hidden="1" x14ac:dyDescent="0.3">
      <c r="B211" s="655" t="s">
        <v>1164</v>
      </c>
      <c r="C211" s="672"/>
      <c r="D211" s="651"/>
      <c r="E211" s="663"/>
      <c r="P211" s="366"/>
      <c r="Q211" s="364"/>
    </row>
    <row r="212" spans="2:17" ht="14.45" hidden="1" x14ac:dyDescent="0.3">
      <c r="B212" s="647"/>
      <c r="C212" s="143" t="s">
        <v>1184</v>
      </c>
      <c r="D212" s="667">
        <f>1000000/((2*PI()*D200)^2*D221)</f>
        <v>105.01880036430549</v>
      </c>
      <c r="E212" s="663" t="s">
        <v>27</v>
      </c>
      <c r="P212" s="366"/>
      <c r="Q212" s="364"/>
    </row>
    <row r="213" spans="2:17" ht="14.45" hidden="1" x14ac:dyDescent="0.3">
      <c r="B213" s="647"/>
      <c r="C213" s="143" t="s">
        <v>1186</v>
      </c>
      <c r="D213" s="651">
        <f>D212/(10^(FLOOR(LOG(D212,10),1)))</f>
        <v>1.0501880036430549</v>
      </c>
      <c r="E213" s="663"/>
      <c r="P213" s="366"/>
      <c r="Q213" s="364"/>
    </row>
    <row r="214" spans="2:17" ht="14.45" hidden="1" x14ac:dyDescent="0.3">
      <c r="B214" s="647"/>
      <c r="C214" s="93" t="s">
        <v>1350</v>
      </c>
      <c r="D214" s="651">
        <f>VLOOKUP(D213,D$370:D$393,1,TRUE)</f>
        <v>1</v>
      </c>
      <c r="E214" s="648" t="s">
        <v>1353</v>
      </c>
      <c r="P214" s="366"/>
      <c r="Q214" s="364"/>
    </row>
    <row r="215" spans="2:17" ht="14.45" hidden="1" x14ac:dyDescent="0.3">
      <c r="B215" s="647"/>
      <c r="C215" s="93" t="s">
        <v>1351</v>
      </c>
      <c r="D215" s="651">
        <f>VLOOKUP(D213*1.07,D$370:D$393,1,TRUE)</f>
        <v>1.1000000000000001</v>
      </c>
      <c r="E215" s="648"/>
      <c r="P215" s="366"/>
      <c r="Q215" s="364"/>
    </row>
    <row r="216" spans="2:17" ht="14.45" hidden="1" x14ac:dyDescent="0.3">
      <c r="B216" s="647"/>
      <c r="C216" s="93" t="s">
        <v>1352</v>
      </c>
      <c r="D216" s="651">
        <f>IF(D213-D214&lt;D215-D213,D214,D215)</f>
        <v>1.1000000000000001</v>
      </c>
      <c r="E216" s="648"/>
      <c r="P216" s="366"/>
      <c r="Q216" s="364"/>
    </row>
    <row r="217" spans="2:17" ht="14.45" hidden="1" x14ac:dyDescent="0.3">
      <c r="B217" s="647"/>
      <c r="C217" s="143" t="s">
        <v>1185</v>
      </c>
      <c r="D217" s="667">
        <f>10^FLOOR(LOG(D212),1)*D216</f>
        <v>110.00000000000001</v>
      </c>
      <c r="E217" s="663" t="s">
        <v>27</v>
      </c>
      <c r="P217" s="366"/>
      <c r="Q217" s="364"/>
    </row>
    <row r="218" spans="2:17" ht="14.45" hidden="1" x14ac:dyDescent="0.3">
      <c r="B218" s="647"/>
      <c r="C218" s="143" t="s">
        <v>1376</v>
      </c>
      <c r="D218" s="662">
        <f>IF(D217&lt;5000,IF(D217&gt;50,1,0),0)</f>
        <v>1</v>
      </c>
      <c r="E218" s="663" t="s">
        <v>1158</v>
      </c>
      <c r="P218" s="366"/>
      <c r="Q218" s="364"/>
    </row>
    <row r="219" spans="2:17" ht="14.45" hidden="1" x14ac:dyDescent="0.3">
      <c r="B219" s="647"/>
      <c r="C219" s="6" t="s">
        <v>1152</v>
      </c>
      <c r="D219" s="651">
        <f>D206*D209+D188</f>
        <v>4.5222279315741405</v>
      </c>
      <c r="E219" s="659" t="s">
        <v>1175</v>
      </c>
      <c r="P219" s="366"/>
      <c r="Q219" s="364"/>
    </row>
    <row r="220" spans="2:17" ht="14.45" hidden="1" x14ac:dyDescent="0.3">
      <c r="B220" s="647"/>
      <c r="C220" s="6" t="s">
        <v>1153</v>
      </c>
      <c r="D220" s="652">
        <f>1000/(2*PI()*SQRT(D219*D217))</f>
        <v>7.1358804415174122</v>
      </c>
      <c r="E220" s="663" t="s">
        <v>0</v>
      </c>
      <c r="P220" s="366"/>
      <c r="Q220" s="364"/>
    </row>
    <row r="221" spans="2:17" ht="14.45" hidden="1" x14ac:dyDescent="0.3">
      <c r="B221" s="647"/>
      <c r="C221" s="6" t="s">
        <v>1154</v>
      </c>
      <c r="D221" s="651">
        <f>D206*D209+D189</f>
        <v>2.6725509885716905</v>
      </c>
      <c r="E221" s="659" t="s">
        <v>1175</v>
      </c>
      <c r="P221" s="366"/>
      <c r="Q221" s="364"/>
    </row>
    <row r="222" spans="2:17" ht="14.45" hidden="1" x14ac:dyDescent="0.3">
      <c r="B222" s="647"/>
      <c r="C222" s="93" t="s">
        <v>1155</v>
      </c>
      <c r="D222" s="652">
        <f>1000/(2*PI()*SQRT(D221*D217))</f>
        <v>9.2824109000344244</v>
      </c>
      <c r="E222" s="648" t="s">
        <v>0</v>
      </c>
      <c r="P222" s="366"/>
      <c r="Q222" s="364"/>
    </row>
    <row r="223" spans="2:17" ht="14.45" hidden="1" x14ac:dyDescent="0.3">
      <c r="B223" s="647"/>
      <c r="C223" s="93" t="s">
        <v>1183</v>
      </c>
      <c r="D223" s="652">
        <f>MAX(D222-D220,0.000000001)</f>
        <v>2.1465304585170122</v>
      </c>
      <c r="E223" s="648" t="s">
        <v>0</v>
      </c>
      <c r="P223" s="366"/>
      <c r="Q223" s="364"/>
    </row>
    <row r="224" spans="2:17" ht="14.45" hidden="1" x14ac:dyDescent="0.3">
      <c r="B224" s="647"/>
      <c r="C224" s="93" t="s">
        <v>1366</v>
      </c>
      <c r="D224" s="665">
        <f>SQRT(D66/(4*PI()*PI()*10*D220))*10000</f>
        <v>2.4420299724810659E-2</v>
      </c>
      <c r="E224" s="648" t="s">
        <v>34</v>
      </c>
      <c r="P224" s="366"/>
      <c r="Q224" s="364"/>
    </row>
    <row r="225" spans="2:17" ht="14.45" hidden="1" x14ac:dyDescent="0.3">
      <c r="B225" s="647"/>
      <c r="C225" s="93" t="s">
        <v>1365</v>
      </c>
      <c r="D225" s="652">
        <f>D67*D33/(D224*(1-EXP(-D33/D224)))</f>
        <v>5.0204388193834406</v>
      </c>
      <c r="E225" s="663" t="s">
        <v>77</v>
      </c>
      <c r="P225" s="366"/>
      <c r="Q225" s="364"/>
    </row>
    <row r="226" spans="2:17" ht="14.45" hidden="1" x14ac:dyDescent="0.3">
      <c r="B226" s="647"/>
      <c r="C226" s="93" t="s">
        <v>1156</v>
      </c>
      <c r="D226" s="652">
        <f>D208*D209+D202</f>
        <v>5.4519076733396012</v>
      </c>
      <c r="E226" s="663" t="s">
        <v>77</v>
      </c>
      <c r="P226" s="366"/>
      <c r="Q226" s="364"/>
    </row>
    <row r="227" spans="2:17" ht="14.45" hidden="1" x14ac:dyDescent="0.3">
      <c r="B227" s="647"/>
      <c r="C227" s="93" t="s">
        <v>1364</v>
      </c>
      <c r="D227" s="652">
        <f>0.001*(2*PI()*D222*D221)^2/D226</f>
        <v>4.4564067357072172</v>
      </c>
      <c r="E227" s="663" t="s">
        <v>243</v>
      </c>
      <c r="P227" s="366"/>
      <c r="Q227" s="364"/>
    </row>
    <row r="228" spans="2:17" ht="14.45" hidden="1" x14ac:dyDescent="0.3">
      <c r="B228" s="647"/>
      <c r="C228" s="93" t="s">
        <v>1197</v>
      </c>
      <c r="D228" s="651">
        <f>1000*(1/D225)*SQRT(D219/D217)</f>
        <v>40.386684570195001</v>
      </c>
      <c r="E228" s="663"/>
      <c r="P228" s="366"/>
      <c r="Q228" s="364"/>
    </row>
    <row r="229" spans="2:17" ht="14.45" hidden="1" x14ac:dyDescent="0.3">
      <c r="B229" s="647"/>
      <c r="C229" s="93" t="s">
        <v>1160</v>
      </c>
      <c r="D229" s="671">
        <f>IF(D227&lt;D192,0,1)</f>
        <v>1</v>
      </c>
      <c r="E229" s="663" t="s">
        <v>1158</v>
      </c>
      <c r="P229" s="366"/>
      <c r="Q229" s="364"/>
    </row>
    <row r="230" spans="2:17" ht="14.45" hidden="1" x14ac:dyDescent="0.3">
      <c r="B230" s="647"/>
      <c r="C230" s="93" t="s">
        <v>1405</v>
      </c>
      <c r="D230" s="651">
        <f>D198*PI()/(4*D227)</f>
        <v>9.693212839111387E-2</v>
      </c>
      <c r="E230" s="663" t="s">
        <v>244</v>
      </c>
      <c r="P230" s="366"/>
      <c r="Q230" s="364"/>
    </row>
    <row r="231" spans="2:17" ht="14.45" hidden="1" x14ac:dyDescent="0.3">
      <c r="B231" s="647"/>
      <c r="C231" s="93" t="s">
        <v>1407</v>
      </c>
      <c r="D231" s="667">
        <f>LOG(D230*200/PI())/LOG(1.160155)</f>
        <v>12.250413461520072</v>
      </c>
      <c r="E231" s="663"/>
      <c r="P231" s="366"/>
      <c r="Q231" s="364"/>
    </row>
    <row r="232" spans="2:17" ht="14.45" hidden="1" x14ac:dyDescent="0.3">
      <c r="B232" s="647"/>
      <c r="C232" s="93" t="s">
        <v>1406</v>
      </c>
      <c r="D232" s="662">
        <f>IF(D231&lt;0,0,IF(D231&gt;31,31,ROUND(D231,0)))</f>
        <v>12</v>
      </c>
      <c r="E232" s="663"/>
      <c r="P232" s="366"/>
      <c r="Q232" s="364"/>
    </row>
    <row r="233" spans="2:17" ht="14.45" hidden="1" x14ac:dyDescent="0.3">
      <c r="B233" s="647"/>
      <c r="C233" s="93" t="s">
        <v>1378</v>
      </c>
      <c r="D233" s="652" t="str">
        <f>IF(D229=1,"","Sensor RP too Low. ")</f>
        <v/>
      </c>
      <c r="E233" s="648"/>
      <c r="P233" s="366"/>
      <c r="Q233" s="364"/>
    </row>
    <row r="234" spans="2:17" ht="14.45" hidden="1" x14ac:dyDescent="0.3">
      <c r="B234" s="647"/>
      <c r="C234" s="93" t="s">
        <v>1165</v>
      </c>
      <c r="D234" s="652">
        <f>500/D41</f>
        <v>12.5</v>
      </c>
      <c r="E234" s="648" t="s">
        <v>1166</v>
      </c>
      <c r="P234" s="366"/>
      <c r="Q234" s="364"/>
    </row>
    <row r="235" spans="2:17" ht="14.45" hidden="1" x14ac:dyDescent="0.3">
      <c r="B235" s="647"/>
      <c r="C235" s="93" t="s">
        <v>1363</v>
      </c>
      <c r="D235" s="662">
        <f>40000*D234/16</f>
        <v>31250</v>
      </c>
      <c r="E235" s="648"/>
      <c r="P235" s="366"/>
      <c r="Q235" s="364"/>
    </row>
    <row r="236" spans="2:17" ht="14.45" hidden="1" x14ac:dyDescent="0.3">
      <c r="B236" s="647"/>
      <c r="C236" s="93" t="s">
        <v>1367</v>
      </c>
      <c r="D236" s="662">
        <f>CEILING(D228*D194/(D195*D220)/16,1)</f>
        <v>15</v>
      </c>
      <c r="E236" s="648" t="s">
        <v>945</v>
      </c>
      <c r="P236" s="366"/>
      <c r="Q236" s="364"/>
    </row>
    <row r="237" spans="2:17" ht="14.45" hidden="1" x14ac:dyDescent="0.3">
      <c r="B237" s="647"/>
      <c r="C237" s="93" t="s">
        <v>1171</v>
      </c>
      <c r="D237" s="667">
        <f>MAX(4096*D223/40,0.001)</f>
        <v>219.80471895214205</v>
      </c>
      <c r="E237" s="648" t="s">
        <v>1167</v>
      </c>
      <c r="P237" s="366"/>
      <c r="Q237" s="364"/>
    </row>
    <row r="238" spans="2:17" ht="14.45" hidden="1" x14ac:dyDescent="0.3">
      <c r="B238" s="647"/>
      <c r="C238" s="93" t="s">
        <v>1168</v>
      </c>
      <c r="D238" s="662">
        <f>CEILING(2*(10^(LOG((D223*1000000*0.01)/25317/D194,10)/-1.0023)/32)*(1.5*D222/D195),1)</f>
        <v>41</v>
      </c>
      <c r="E238" s="648" t="s">
        <v>945</v>
      </c>
      <c r="P238" s="366"/>
      <c r="Q238" s="364"/>
    </row>
    <row r="239" spans="2:17" ht="14.45" hidden="1" x14ac:dyDescent="0.3">
      <c r="B239" s="647"/>
      <c r="C239" s="93" t="s">
        <v>1370</v>
      </c>
      <c r="D239" s="662">
        <f>D238+D236</f>
        <v>56</v>
      </c>
      <c r="E239" s="648" t="s">
        <v>945</v>
      </c>
      <c r="P239" s="366"/>
      <c r="Q239" s="364"/>
    </row>
    <row r="240" spans="2:17" ht="14.45" hidden="1" x14ac:dyDescent="0.3">
      <c r="B240" s="647"/>
      <c r="C240" s="93" t="s">
        <v>1371</v>
      </c>
      <c r="D240" s="662">
        <f>(2*D239*16+8)*(D194/D195)</f>
        <v>72000</v>
      </c>
      <c r="E240" s="648" t="s">
        <v>405</v>
      </c>
      <c r="P240" s="366"/>
      <c r="Q240" s="364"/>
    </row>
    <row r="241" spans="2:17" ht="14.45" hidden="1" x14ac:dyDescent="0.3">
      <c r="B241" s="647"/>
      <c r="C241" s="93" t="s">
        <v>1373</v>
      </c>
      <c r="D241" s="662">
        <f>MIN(D196/2,D240)</f>
        <v>4081.6326530612246</v>
      </c>
      <c r="E241" s="648" t="s">
        <v>405</v>
      </c>
      <c r="P241" s="366"/>
      <c r="Q241" s="364"/>
    </row>
    <row r="242" spans="2:17" ht="14.45" hidden="1" x14ac:dyDescent="0.3">
      <c r="B242" s="647"/>
      <c r="C242" s="93" t="s">
        <v>1375</v>
      </c>
      <c r="D242" s="662">
        <f>IF(D239&lt;D235,1,0)</f>
        <v>1</v>
      </c>
      <c r="E242" s="648" t="s">
        <v>1169</v>
      </c>
      <c r="P242" s="366"/>
      <c r="Q242" s="364"/>
    </row>
    <row r="243" spans="2:17" ht="14.45" hidden="1" x14ac:dyDescent="0.3">
      <c r="B243" s="647"/>
      <c r="C243" s="93" t="s">
        <v>1378</v>
      </c>
      <c r="D243" s="662" t="str">
        <f>IF(D242=0,"LDC131x Max Sample Rate too low. ","")</f>
        <v/>
      </c>
      <c r="E243" s="648"/>
      <c r="P243" s="366"/>
      <c r="Q243" s="364"/>
    </row>
    <row r="244" spans="2:17" ht="14.45" hidden="1" x14ac:dyDescent="0.3">
      <c r="B244" s="647"/>
      <c r="C244" s="93" t="s">
        <v>1369</v>
      </c>
      <c r="D244" s="662">
        <f>IF(D237&gt;D197,1,0)</f>
        <v>1</v>
      </c>
      <c r="E244" s="648" t="s">
        <v>1169</v>
      </c>
      <c r="P244" s="366"/>
      <c r="Q244" s="364"/>
    </row>
    <row r="245" spans="2:17" ht="14.45" hidden="1" x14ac:dyDescent="0.3">
      <c r="B245" s="647"/>
      <c r="C245" s="93" t="s">
        <v>1378</v>
      </c>
      <c r="D245" s="662" t="str">
        <f>IF(D244=0, " LDC131x Resolution too low.","")</f>
        <v/>
      </c>
      <c r="E245" s="648"/>
      <c r="P245" s="366"/>
      <c r="Q245" s="364"/>
    </row>
    <row r="246" spans="2:17" ht="14.45" hidden="1" x14ac:dyDescent="0.3">
      <c r="B246" s="647"/>
      <c r="C246" s="673" t="s">
        <v>1209</v>
      </c>
      <c r="D246" s="671">
        <f>D244*D242*D229</f>
        <v>1</v>
      </c>
      <c r="E246" s="648" t="s">
        <v>1169</v>
      </c>
      <c r="P246" s="366"/>
      <c r="Q246" s="364"/>
    </row>
    <row r="247" spans="2:17" ht="14.45" hidden="1" x14ac:dyDescent="0.3">
      <c r="B247" s="647"/>
      <c r="C247" s="93"/>
      <c r="D247" s="653" t="str">
        <f>D243&amp;D233</f>
        <v/>
      </c>
      <c r="E247" s="373"/>
      <c r="P247" s="366"/>
      <c r="Q247" s="364"/>
    </row>
    <row r="248" spans="2:17" ht="14.45" hidden="1" x14ac:dyDescent="0.3">
      <c r="B248" s="655" t="s">
        <v>1179</v>
      </c>
      <c r="C248" s="658"/>
      <c r="D248" s="662"/>
      <c r="E248" s="648"/>
      <c r="P248" s="366"/>
      <c r="Q248" s="364"/>
    </row>
    <row r="249" spans="2:17" ht="14.45" hidden="1" x14ac:dyDescent="0.3">
      <c r="B249" s="647"/>
      <c r="C249" s="6" t="s">
        <v>1159</v>
      </c>
      <c r="D249" s="651">
        <v>0.35</v>
      </c>
      <c r="E249" s="663" t="s">
        <v>243</v>
      </c>
      <c r="P249" s="366"/>
      <c r="Q249" s="364"/>
    </row>
    <row r="250" spans="2:17" ht="14.45" hidden="1" x14ac:dyDescent="0.3">
      <c r="B250" s="647"/>
      <c r="C250" s="93" t="s">
        <v>1161</v>
      </c>
      <c r="D250" s="651">
        <v>30</v>
      </c>
      <c r="E250" s="663" t="s">
        <v>0</v>
      </c>
      <c r="P250" s="366"/>
      <c r="Q250" s="364"/>
    </row>
    <row r="251" spans="2:17" ht="14.45" hidden="1" x14ac:dyDescent="0.3">
      <c r="B251" s="647"/>
      <c r="C251" s="93" t="s">
        <v>1387</v>
      </c>
      <c r="D251" s="651">
        <v>4</v>
      </c>
      <c r="E251" s="663" t="s">
        <v>0</v>
      </c>
      <c r="P251" s="366"/>
      <c r="Q251" s="364"/>
    </row>
    <row r="252" spans="2:17" ht="14.45" hidden="1" x14ac:dyDescent="0.3">
      <c r="B252" s="647"/>
      <c r="C252" s="93" t="s">
        <v>1176</v>
      </c>
      <c r="D252" s="662">
        <v>500</v>
      </c>
      <c r="E252" s="648" t="s">
        <v>1177</v>
      </c>
      <c r="P252" s="366"/>
      <c r="Q252" s="364"/>
    </row>
    <row r="253" spans="2:17" ht="14.45" hidden="1" x14ac:dyDescent="0.3">
      <c r="B253" s="647"/>
      <c r="C253" s="93" t="s">
        <v>1192</v>
      </c>
      <c r="D253" s="662">
        <v>30</v>
      </c>
      <c r="E253" s="648"/>
      <c r="F253" s="6"/>
      <c r="G253" s="6"/>
      <c r="P253" s="366"/>
      <c r="Q253" s="364"/>
    </row>
    <row r="254" spans="2:17" ht="14.45" hidden="1" x14ac:dyDescent="0.3">
      <c r="B254" s="647"/>
      <c r="C254" s="93" t="s">
        <v>1377</v>
      </c>
      <c r="D254" s="662">
        <f>80*0.85</f>
        <v>68</v>
      </c>
      <c r="E254" s="648" t="s">
        <v>405</v>
      </c>
      <c r="F254" s="6"/>
      <c r="G254" s="6"/>
      <c r="P254" s="366"/>
      <c r="Q254" s="364"/>
    </row>
    <row r="255" spans="2:17" ht="14.45" hidden="1" x14ac:dyDescent="0.3">
      <c r="B255" s="647"/>
      <c r="C255" s="93" t="s">
        <v>1383</v>
      </c>
      <c r="D255" s="662">
        <v>30</v>
      </c>
      <c r="E255" s="648" t="s">
        <v>27</v>
      </c>
      <c r="F255" s="6"/>
      <c r="G255" s="6"/>
      <c r="P255" s="366"/>
      <c r="Q255" s="364"/>
    </row>
    <row r="256" spans="2:17" ht="14.45" hidden="1" x14ac:dyDescent="0.3">
      <c r="B256" s="647"/>
      <c r="C256" s="93" t="s">
        <v>1395</v>
      </c>
      <c r="D256" s="662">
        <f>160*1.25*1.08</f>
        <v>216</v>
      </c>
      <c r="E256" s="648"/>
      <c r="F256" s="6"/>
      <c r="G256" s="6"/>
      <c r="P256" s="366"/>
      <c r="Q256" s="364"/>
    </row>
    <row r="257" spans="2:17" ht="14.45" hidden="1" x14ac:dyDescent="0.3">
      <c r="B257" s="655" t="s">
        <v>1178</v>
      </c>
      <c r="C257" s="672"/>
      <c r="D257" s="651"/>
      <c r="E257" s="648"/>
      <c r="F257" s="6"/>
      <c r="G257" s="6"/>
      <c r="P257" s="366"/>
      <c r="Q257" s="364"/>
    </row>
    <row r="258" spans="2:17" ht="14.45" hidden="1" x14ac:dyDescent="0.3">
      <c r="B258" s="647"/>
      <c r="C258" s="93" t="s">
        <v>1182</v>
      </c>
      <c r="D258" s="652">
        <f>0.85*D250</f>
        <v>25.5</v>
      </c>
      <c r="E258" s="648" t="s">
        <v>0</v>
      </c>
      <c r="F258" s="6"/>
      <c r="G258" s="6"/>
      <c r="P258" s="366"/>
      <c r="Q258" s="364"/>
    </row>
    <row r="259" spans="2:17" ht="14.45" hidden="1" x14ac:dyDescent="0.3">
      <c r="B259" s="647"/>
      <c r="C259" s="93" t="s">
        <v>1190</v>
      </c>
      <c r="D259" s="652">
        <f>D188</f>
        <v>4.5222279315741405</v>
      </c>
      <c r="E259" s="659" t="s">
        <v>1175</v>
      </c>
      <c r="F259" s="6"/>
      <c r="G259" s="6"/>
      <c r="P259" s="366"/>
      <c r="Q259" s="364"/>
    </row>
    <row r="260" spans="2:17" ht="14.45" hidden="1" x14ac:dyDescent="0.3">
      <c r="B260" s="647"/>
      <c r="C260" s="93" t="s">
        <v>1189</v>
      </c>
      <c r="D260" s="652">
        <f>D189</f>
        <v>2.6725509885716905</v>
      </c>
      <c r="E260" s="659" t="s">
        <v>1175</v>
      </c>
      <c r="F260" s="6"/>
      <c r="G260" s="6"/>
      <c r="P260" s="366"/>
      <c r="Q260" s="364"/>
    </row>
    <row r="261" spans="2:17" ht="14.45" hidden="1" x14ac:dyDescent="0.3">
      <c r="B261" s="647"/>
      <c r="C261" s="93" t="s">
        <v>1384</v>
      </c>
      <c r="D261" s="667">
        <f>1000000/((2*PI()*D258)^2*D189)</f>
        <v>14.575850415807103</v>
      </c>
      <c r="E261" s="648" t="s">
        <v>27</v>
      </c>
      <c r="F261" s="6"/>
      <c r="G261" s="6"/>
      <c r="P261" s="366"/>
      <c r="Q261" s="364"/>
    </row>
    <row r="262" spans="2:17" ht="14.45" hidden="1" x14ac:dyDescent="0.3">
      <c r="B262" s="647"/>
      <c r="C262" s="93" t="s">
        <v>1385</v>
      </c>
      <c r="D262" s="667">
        <f>MAX(D261,D255)</f>
        <v>30</v>
      </c>
      <c r="E262" s="648" t="s">
        <v>27</v>
      </c>
      <c r="F262" s="6"/>
      <c r="G262" s="6"/>
      <c r="P262" s="366"/>
      <c r="Q262" s="364"/>
    </row>
    <row r="263" spans="2:17" ht="14.45" hidden="1" x14ac:dyDescent="0.3">
      <c r="B263" s="647"/>
      <c r="C263" s="143" t="s">
        <v>1186</v>
      </c>
      <c r="D263" s="667">
        <f>D262/(10^(FLOOR(LOG(D262,10),1)))</f>
        <v>3</v>
      </c>
      <c r="E263" s="663"/>
      <c r="F263" s="6"/>
      <c r="G263" s="6"/>
      <c r="P263" s="366"/>
      <c r="Q263" s="364"/>
    </row>
    <row r="264" spans="2:17" ht="14.45" hidden="1" x14ac:dyDescent="0.3">
      <c r="B264" s="647"/>
      <c r="C264" s="93" t="s">
        <v>1350</v>
      </c>
      <c r="D264" s="651">
        <f>VLOOKUP(D263,D$370:D$393,1,TRUE)</f>
        <v>3</v>
      </c>
      <c r="E264" s="648" t="s">
        <v>1353</v>
      </c>
      <c r="F264" s="6"/>
      <c r="G264" s="6"/>
      <c r="P264" s="366"/>
      <c r="Q264" s="364"/>
    </row>
    <row r="265" spans="2:17" ht="14.45" hidden="1" x14ac:dyDescent="0.3">
      <c r="B265" s="647"/>
      <c r="C265" s="93" t="s">
        <v>1351</v>
      </c>
      <c r="D265" s="651">
        <f>VLOOKUP(D263*1.06,D$370:D$393,1,TRUE)</f>
        <v>3</v>
      </c>
      <c r="E265" s="648"/>
      <c r="F265" s="6"/>
      <c r="G265" s="6"/>
      <c r="P265" s="366"/>
      <c r="Q265" s="364"/>
    </row>
    <row r="266" spans="2:17" ht="14.45" hidden="1" x14ac:dyDescent="0.3">
      <c r="B266" s="647"/>
      <c r="C266" s="93" t="s">
        <v>1352</v>
      </c>
      <c r="D266" s="651">
        <f>IF(D263-D264&lt;D265-D263,D264,D265)</f>
        <v>3</v>
      </c>
      <c r="E266" s="648"/>
      <c r="F266" s="6"/>
      <c r="G266" s="6"/>
      <c r="P266" s="366"/>
      <c r="Q266" s="364"/>
    </row>
    <row r="267" spans="2:17" ht="14.45" hidden="1" x14ac:dyDescent="0.3">
      <c r="B267" s="647"/>
      <c r="C267" s="143" t="s">
        <v>1185</v>
      </c>
      <c r="D267" s="667">
        <f>10^FLOOR(LOG(D262),1)*D266</f>
        <v>30</v>
      </c>
      <c r="E267" s="663" t="s">
        <v>27</v>
      </c>
      <c r="F267" s="6"/>
      <c r="G267" s="6"/>
      <c r="P267" s="366"/>
      <c r="Q267" s="364"/>
    </row>
    <row r="268" spans="2:17" ht="14.45" hidden="1" x14ac:dyDescent="0.3">
      <c r="B268" s="647"/>
      <c r="C268" s="143" t="s">
        <v>1382</v>
      </c>
      <c r="D268" s="662">
        <f>IF(D267&lt;5000,1,0)</f>
        <v>1</v>
      </c>
      <c r="E268" s="648" t="s">
        <v>1169</v>
      </c>
      <c r="F268" s="6"/>
      <c r="G268" s="6"/>
      <c r="P268" s="366"/>
      <c r="Q268" s="364"/>
    </row>
    <row r="269" spans="2:17" ht="14.45" hidden="1" x14ac:dyDescent="0.3">
      <c r="B269" s="647"/>
      <c r="C269" s="143" t="s">
        <v>1200</v>
      </c>
      <c r="D269" s="652">
        <f>1000/(2*PI()*SQRT(D259*D267))</f>
        <v>13.664170744834074</v>
      </c>
      <c r="E269" s="663" t="s">
        <v>0</v>
      </c>
      <c r="F269" s="6"/>
      <c r="G269" s="6"/>
      <c r="P269" s="366"/>
      <c r="Q269" s="364"/>
    </row>
    <row r="270" spans="2:17" ht="14.45" hidden="1" x14ac:dyDescent="0.3">
      <c r="B270" s="647"/>
      <c r="C270" s="143" t="s">
        <v>1193</v>
      </c>
      <c r="D270" s="652">
        <f>1000/(2*PI()*SQRT(D267*D260))</f>
        <v>17.774463642051732</v>
      </c>
      <c r="E270" s="663" t="s">
        <v>0</v>
      </c>
      <c r="F270" s="6"/>
      <c r="G270" s="6"/>
      <c r="P270" s="366"/>
      <c r="Q270" s="364"/>
    </row>
    <row r="271" spans="2:17" ht="14.45" hidden="1" x14ac:dyDescent="0.3">
      <c r="B271" s="647"/>
      <c r="C271" s="93" t="s">
        <v>1143</v>
      </c>
      <c r="D271" s="665">
        <f>SQRT(D66/(4*PI()*PI()*10*D270))*10000</f>
        <v>1.5473071068944282E-2</v>
      </c>
      <c r="E271" s="648" t="s">
        <v>34</v>
      </c>
      <c r="F271" s="6"/>
      <c r="G271" s="6"/>
      <c r="P271" s="366"/>
      <c r="Q271" s="364"/>
    </row>
    <row r="272" spans="2:17" ht="14.45" hidden="1" x14ac:dyDescent="0.3">
      <c r="B272" s="647"/>
      <c r="C272" s="93" t="s">
        <v>1144</v>
      </c>
      <c r="D272" s="651">
        <f>D67*D33/(D201*(1-EXP(-D33/D271)))</f>
        <v>4.9158050919199692</v>
      </c>
      <c r="E272" s="663" t="s">
        <v>77</v>
      </c>
      <c r="F272" s="6"/>
      <c r="G272" s="6"/>
      <c r="P272" s="366"/>
      <c r="Q272" s="364"/>
    </row>
    <row r="273" spans="2:17" ht="14.45" hidden="1" x14ac:dyDescent="0.3">
      <c r="B273" s="647"/>
      <c r="C273" s="93" t="s">
        <v>1142</v>
      </c>
      <c r="D273" s="651">
        <f>1000*D260/(D272*D267)</f>
        <v>18.122165400499163</v>
      </c>
      <c r="E273" s="663" t="s">
        <v>243</v>
      </c>
      <c r="F273" s="6"/>
      <c r="G273" s="6"/>
      <c r="P273" s="366"/>
      <c r="Q273" s="364"/>
    </row>
    <row r="274" spans="2:17" ht="14.45" hidden="1" x14ac:dyDescent="0.3">
      <c r="B274" s="647"/>
      <c r="C274" s="93" t="s">
        <v>1191</v>
      </c>
      <c r="D274" s="671">
        <f>IF(D273&gt;D249,1,0)</f>
        <v>1</v>
      </c>
      <c r="E274" s="648" t="s">
        <v>1169</v>
      </c>
      <c r="F274" s="6"/>
      <c r="G274" s="6"/>
      <c r="P274" s="366"/>
      <c r="Q274" s="364"/>
    </row>
    <row r="275" spans="2:17" ht="14.45" hidden="1" x14ac:dyDescent="0.3">
      <c r="B275" s="647"/>
      <c r="C275" s="93" t="s">
        <v>1390</v>
      </c>
      <c r="D275" s="652" t="str">
        <f>IF(D274=0," Sensor RP too Low.","")</f>
        <v/>
      </c>
      <c r="E275" s="648"/>
      <c r="F275" s="6"/>
      <c r="G275" s="6"/>
      <c r="P275" s="366"/>
      <c r="Q275" s="364"/>
    </row>
    <row r="276" spans="2:17" ht="14.45" hidden="1" x14ac:dyDescent="0.3">
      <c r="B276" s="647"/>
      <c r="C276" s="93" t="s">
        <v>1194</v>
      </c>
      <c r="D276" s="652">
        <f>1000/(2*PI()*SQRT(D267*D259))</f>
        <v>13.664170744834074</v>
      </c>
      <c r="E276" s="648" t="s">
        <v>0</v>
      </c>
      <c r="F276" s="6"/>
      <c r="G276" s="6"/>
      <c r="P276" s="366"/>
      <c r="Q276" s="364"/>
    </row>
    <row r="277" spans="2:17" ht="14.45" hidden="1" x14ac:dyDescent="0.3">
      <c r="B277" s="647"/>
      <c r="C277" s="93" t="s">
        <v>1386</v>
      </c>
      <c r="D277" s="671">
        <f>IF(D276&gt;D251,1,0)</f>
        <v>1</v>
      </c>
      <c r="E277" s="648" t="s">
        <v>1169</v>
      </c>
      <c r="F277" s="6"/>
      <c r="G277" s="6"/>
      <c r="P277" s="366"/>
      <c r="Q277" s="364"/>
    </row>
    <row r="278" spans="2:17" ht="14.45" hidden="1" x14ac:dyDescent="0.3">
      <c r="B278" s="647"/>
      <c r="C278" s="93" t="s">
        <v>1388</v>
      </c>
      <c r="D278" s="662" t="str">
        <f>IF(D277=0," Sensor Frequency too Low.","")</f>
        <v/>
      </c>
      <c r="E278" s="648"/>
      <c r="F278" s="6"/>
      <c r="G278" s="6"/>
      <c r="P278" s="366"/>
      <c r="Q278" s="364"/>
    </row>
    <row r="279" spans="2:17" ht="14.45" hidden="1" x14ac:dyDescent="0.3">
      <c r="B279" s="647"/>
      <c r="C279" s="93" t="s">
        <v>1195</v>
      </c>
      <c r="D279" s="652">
        <f>SQRT(D66/(4*PI()*PI()*10*D276))*10000</f>
        <v>1.7647497635772554E-2</v>
      </c>
      <c r="E279" s="648" t="s">
        <v>34</v>
      </c>
      <c r="F279" s="6"/>
      <c r="G279" s="6"/>
      <c r="P279" s="366"/>
      <c r="Q279" s="364"/>
    </row>
    <row r="280" spans="2:17" ht="14.45" hidden="1" x14ac:dyDescent="0.3">
      <c r="B280" s="647"/>
      <c r="C280" s="93" t="s">
        <v>1196</v>
      </c>
      <c r="D280" s="652">
        <f>D67*D33/(D201*(1-EXP(-D33/D279)))</f>
        <v>5.1089710128869186</v>
      </c>
      <c r="E280" s="663" t="s">
        <v>77</v>
      </c>
      <c r="F280" s="6"/>
      <c r="G280" s="6"/>
      <c r="P280" s="366"/>
      <c r="Q280" s="364"/>
    </row>
    <row r="281" spans="2:17" ht="14.45" hidden="1" x14ac:dyDescent="0.3">
      <c r="B281" s="647"/>
      <c r="C281" s="93" t="s">
        <v>1197</v>
      </c>
      <c r="D281" s="651">
        <f>1000*MAX(SQRT(D259/D267)/D280,SQRT(D260/D267)/D272)</f>
        <v>75.994499325018225</v>
      </c>
      <c r="E281" s="648"/>
      <c r="F281" s="6"/>
      <c r="G281" s="6"/>
      <c r="P281" s="366"/>
      <c r="Q281" s="364"/>
    </row>
    <row r="282" spans="2:17" ht="14.45" hidden="1" x14ac:dyDescent="0.3">
      <c r="B282" s="647"/>
      <c r="C282" s="93" t="s">
        <v>1203</v>
      </c>
      <c r="D282" s="662">
        <f>IF(D281&gt;D253,0,1)</f>
        <v>0</v>
      </c>
      <c r="E282" s="648" t="s">
        <v>1169</v>
      </c>
      <c r="F282" s="6"/>
      <c r="G282" s="6"/>
      <c r="P282" s="366"/>
      <c r="Q282" s="364"/>
    </row>
    <row r="283" spans="2:17" ht="14.45" hidden="1" x14ac:dyDescent="0.3">
      <c r="B283" s="647"/>
      <c r="C283" s="93" t="s">
        <v>1198</v>
      </c>
      <c r="D283" s="651">
        <f>IF(D282=0,((1000*SQRT(D259/D267))/30)-D280,0)</f>
        <v>7.8328187934588343</v>
      </c>
      <c r="E283" s="663" t="s">
        <v>77</v>
      </c>
      <c r="F283" s="6"/>
      <c r="G283" s="6"/>
      <c r="P283" s="366"/>
      <c r="Q283" s="364"/>
    </row>
    <row r="284" spans="2:17" ht="14.45" hidden="1" x14ac:dyDescent="0.3">
      <c r="B284" s="647"/>
      <c r="C284" s="93" t="s">
        <v>1378</v>
      </c>
      <c r="D284" s="651" t="str">
        <f>IF(D282=0,"Add "&amp;TEXT(D283,0.1)&amp;E283&amp;" Series R","")</f>
        <v>Add 8.1Ω Series R</v>
      </c>
      <c r="E284" s="663"/>
      <c r="F284" s="6"/>
      <c r="G284" s="6"/>
      <c r="P284" s="366"/>
      <c r="Q284" s="364"/>
    </row>
    <row r="285" spans="2:17" ht="14.45" hidden="1" x14ac:dyDescent="0.3">
      <c r="B285" s="647"/>
      <c r="C285" s="93" t="s">
        <v>1199</v>
      </c>
      <c r="D285" s="652">
        <f>D270-D269</f>
        <v>4.1102928972176578</v>
      </c>
      <c r="E285" s="648" t="s">
        <v>0</v>
      </c>
      <c r="F285" s="6"/>
      <c r="G285" s="6"/>
      <c r="P285" s="366"/>
      <c r="Q285" s="364"/>
    </row>
    <row r="286" spans="2:17" ht="14.45" hidden="1" x14ac:dyDescent="0.3">
      <c r="B286" s="647"/>
      <c r="C286" s="93" t="s">
        <v>1201</v>
      </c>
      <c r="D286" s="662">
        <f>100000*D285/D270</f>
        <v>23124.708458112444</v>
      </c>
      <c r="E286" s="648" t="s">
        <v>1177</v>
      </c>
      <c r="F286" s="6"/>
      <c r="G286" s="6"/>
      <c r="P286" s="366"/>
      <c r="Q286" s="364"/>
    </row>
    <row r="287" spans="2:17" ht="14.45" hidden="1" x14ac:dyDescent="0.3">
      <c r="B287" s="647"/>
      <c r="C287" s="93" t="s">
        <v>1202</v>
      </c>
      <c r="D287" s="662">
        <f>IF(D286&gt;D252,1,0)</f>
        <v>1</v>
      </c>
      <c r="E287" s="648" t="s">
        <v>1169</v>
      </c>
      <c r="F287" s="6"/>
      <c r="G287" s="6"/>
      <c r="P287" s="366"/>
      <c r="Q287" s="364"/>
    </row>
    <row r="288" spans="2:17" ht="14.45" hidden="1" x14ac:dyDescent="0.3">
      <c r="B288" s="647"/>
      <c r="C288" s="93" t="s">
        <v>1378</v>
      </c>
      <c r="D288" s="662" t="str">
        <f>IF(D287=0,"Sensor Δf too low","")</f>
        <v/>
      </c>
      <c r="E288" s="648"/>
      <c r="F288" s="6"/>
      <c r="G288" s="6"/>
      <c r="P288" s="366"/>
      <c r="Q288" s="364"/>
    </row>
    <row r="289" spans="2:17" ht="14.45" hidden="1" x14ac:dyDescent="0.3">
      <c r="B289" s="647"/>
      <c r="C289" s="93" t="s">
        <v>1394</v>
      </c>
      <c r="D289" s="662">
        <f>MIN(63,MAX(ROUND(LOG(D256/(D286*0.013),1.09),0),0))</f>
        <v>0</v>
      </c>
      <c r="E289" s="648"/>
      <c r="F289" s="6"/>
      <c r="G289" s="6"/>
      <c r="P289" s="366"/>
      <c r="Q289" s="364"/>
    </row>
    <row r="290" spans="2:17" ht="14.45" hidden="1" x14ac:dyDescent="0.3">
      <c r="B290" s="647"/>
      <c r="C290" s="93" t="s">
        <v>1207</v>
      </c>
      <c r="D290" s="662">
        <f>IF(D41&lt;D254,1,0)</f>
        <v>1</v>
      </c>
      <c r="E290" s="648" t="s">
        <v>1169</v>
      </c>
      <c r="F290" s="6"/>
      <c r="G290" s="6"/>
      <c r="P290" s="366"/>
      <c r="Q290" s="364"/>
    </row>
    <row r="291" spans="2:17" ht="14.45" hidden="1" x14ac:dyDescent="0.3">
      <c r="B291" s="647"/>
      <c r="C291" s="93" t="s">
        <v>1391</v>
      </c>
      <c r="D291" s="662" t="str">
        <f>IF(D290=0,"Sample Rate exceeds LDC2114 max","")</f>
        <v/>
      </c>
      <c r="E291" s="648"/>
      <c r="F291" s="6"/>
      <c r="G291" s="6"/>
      <c r="P291" s="366"/>
      <c r="Q291" s="364"/>
    </row>
    <row r="292" spans="2:17" ht="14.45" hidden="1" x14ac:dyDescent="0.3">
      <c r="B292" s="647"/>
      <c r="C292" s="93" t="s">
        <v>1204</v>
      </c>
      <c r="D292" s="671">
        <f>D287*D274*D290</f>
        <v>1</v>
      </c>
      <c r="E292" s="648" t="s">
        <v>1169</v>
      </c>
      <c r="F292" s="6"/>
      <c r="G292" s="6"/>
      <c r="P292" s="366"/>
      <c r="Q292" s="364"/>
    </row>
    <row r="293" spans="2:17" ht="14.45" hidden="1" x14ac:dyDescent="0.3">
      <c r="B293" s="647"/>
      <c r="C293" s="93" t="s">
        <v>1378</v>
      </c>
      <c r="D293" s="652" t="str">
        <f>D288&amp;" "&amp;D291&amp;D278&amp;D275</f>
        <v xml:space="preserve"> </v>
      </c>
      <c r="E293" s="666"/>
      <c r="F293" s="6"/>
      <c r="G293" s="6"/>
      <c r="P293" s="366"/>
      <c r="Q293" s="364"/>
    </row>
    <row r="294" spans="2:17" ht="14.45" hidden="1" x14ac:dyDescent="0.3">
      <c r="B294" s="655" t="s">
        <v>1345</v>
      </c>
      <c r="C294" s="658"/>
      <c r="D294" s="652"/>
      <c r="E294" s="648"/>
      <c r="F294" s="6"/>
      <c r="G294" s="6"/>
      <c r="P294" s="366"/>
      <c r="Q294" s="364"/>
    </row>
    <row r="295" spans="2:17" ht="14.45" hidden="1" x14ac:dyDescent="0.3">
      <c r="B295" s="647"/>
      <c r="C295" s="93" t="s">
        <v>789</v>
      </c>
      <c r="D295" s="652">
        <v>19</v>
      </c>
      <c r="E295" s="648" t="s">
        <v>0</v>
      </c>
      <c r="F295" s="6"/>
      <c r="G295" s="6"/>
      <c r="P295" s="366"/>
      <c r="Q295" s="364"/>
    </row>
    <row r="296" spans="2:17" ht="14.45" hidden="1" x14ac:dyDescent="0.3">
      <c r="B296" s="647"/>
      <c r="C296" s="93" t="s">
        <v>1338</v>
      </c>
      <c r="D296" s="652">
        <f>D353</f>
        <v>3.3</v>
      </c>
      <c r="E296" s="648" t="s">
        <v>377</v>
      </c>
      <c r="F296" s="6" t="s">
        <v>1339</v>
      </c>
      <c r="G296" s="6"/>
      <c r="P296" s="366"/>
      <c r="Q296" s="364"/>
    </row>
    <row r="297" spans="2:17" ht="14.45" hidden="1" x14ac:dyDescent="0.3">
      <c r="B297" s="647"/>
      <c r="C297" s="93" t="s">
        <v>1340</v>
      </c>
      <c r="D297" s="652">
        <f>IF(D296=1.8,4.35,6)</f>
        <v>6</v>
      </c>
      <c r="E297" s="648" t="s">
        <v>244</v>
      </c>
      <c r="F297" s="6"/>
      <c r="G297" s="6"/>
      <c r="P297" s="366"/>
      <c r="Q297" s="364"/>
    </row>
    <row r="298" spans="2:17" ht="14.45" hidden="1" x14ac:dyDescent="0.3">
      <c r="B298" s="647"/>
      <c r="C298" s="93" t="s">
        <v>1341</v>
      </c>
      <c r="D298" s="652">
        <f>1000/(4.83*19*D297)</f>
        <v>1.8161345392466675</v>
      </c>
      <c r="E298" s="659" t="s">
        <v>1175</v>
      </c>
      <c r="F298" s="6"/>
      <c r="G298" s="6"/>
      <c r="P298" s="366"/>
      <c r="Q298" s="364"/>
    </row>
    <row r="299" spans="2:17" ht="14.45" hidden="1" x14ac:dyDescent="0.3">
      <c r="B299" s="647"/>
      <c r="C299" s="93" t="s">
        <v>1342</v>
      </c>
      <c r="D299" s="652">
        <v>15</v>
      </c>
      <c r="E299" s="648" t="s">
        <v>0</v>
      </c>
      <c r="F299" s="6"/>
      <c r="G299" s="6"/>
      <c r="P299" s="366"/>
      <c r="Q299" s="364"/>
    </row>
    <row r="300" spans="2:17" ht="14.45" hidden="1" x14ac:dyDescent="0.3">
      <c r="B300" s="647"/>
      <c r="C300" s="93" t="s">
        <v>1343</v>
      </c>
      <c r="D300" s="652">
        <v>16</v>
      </c>
      <c r="E300" s="648" t="s">
        <v>27</v>
      </c>
      <c r="F300" s="6" t="s">
        <v>1344</v>
      </c>
      <c r="G300" s="6"/>
      <c r="P300" s="366"/>
      <c r="Q300" s="364"/>
    </row>
    <row r="301" spans="2:17" ht="14.45" hidden="1" x14ac:dyDescent="0.3">
      <c r="B301" s="647"/>
      <c r="C301" s="93"/>
      <c r="D301" s="652"/>
      <c r="E301" s="648"/>
      <c r="F301" s="6"/>
      <c r="G301" s="6"/>
      <c r="P301" s="366"/>
      <c r="Q301" s="364"/>
    </row>
    <row r="302" spans="2:17" ht="14.45" hidden="1" x14ac:dyDescent="0.3">
      <c r="B302" s="655" t="s">
        <v>1208</v>
      </c>
      <c r="C302" s="658"/>
      <c r="D302" s="652"/>
      <c r="E302" s="648"/>
      <c r="F302" s="6"/>
      <c r="G302" s="6"/>
      <c r="P302" s="366"/>
      <c r="Q302" s="364"/>
    </row>
    <row r="303" spans="2:17" ht="14.45" hidden="1" x14ac:dyDescent="0.3">
      <c r="B303" s="647"/>
      <c r="C303" s="93" t="s">
        <v>1355</v>
      </c>
      <c r="D303" s="652">
        <f>D189</f>
        <v>2.6725509885716905</v>
      </c>
      <c r="E303" s="659" t="s">
        <v>1175</v>
      </c>
      <c r="F303" s="6"/>
      <c r="G303" s="6"/>
      <c r="P303" s="366"/>
      <c r="Q303" s="364"/>
    </row>
    <row r="304" spans="2:17" ht="14.45" hidden="1" x14ac:dyDescent="0.3">
      <c r="B304" s="647"/>
      <c r="C304" s="93" t="s">
        <v>1358</v>
      </c>
      <c r="D304" s="652">
        <f>D188</f>
        <v>4.5222279315741405</v>
      </c>
      <c r="E304" s="659" t="s">
        <v>1175</v>
      </c>
      <c r="F304" s="6"/>
      <c r="G304" s="6"/>
      <c r="P304" s="366"/>
      <c r="Q304" s="364"/>
    </row>
    <row r="305" spans="2:17" ht="14.45" hidden="1" x14ac:dyDescent="0.3">
      <c r="B305" s="647"/>
      <c r="C305" s="93" t="s">
        <v>1346</v>
      </c>
      <c r="D305" s="671">
        <f>IF(D189&lt;D298,0,1)</f>
        <v>1</v>
      </c>
      <c r="E305" s="648" t="s">
        <v>1169</v>
      </c>
      <c r="F305" s="6"/>
      <c r="G305" s="6"/>
      <c r="P305" s="366"/>
      <c r="Q305" s="364"/>
    </row>
    <row r="306" spans="2:17" ht="14.45" hidden="1" x14ac:dyDescent="0.3">
      <c r="B306" s="647"/>
      <c r="C306" s="93" t="s">
        <v>1378</v>
      </c>
      <c r="D306" s="693" t="str">
        <f>IF(D305=0," LDC0851 sensor L too low.","")</f>
        <v/>
      </c>
      <c r="E306" s="648"/>
      <c r="F306" s="6"/>
      <c r="G306" s="6"/>
      <c r="P306" s="366"/>
      <c r="Q306" s="364"/>
    </row>
    <row r="307" spans="2:17" ht="14.45" hidden="1" x14ac:dyDescent="0.3">
      <c r="B307" s="647"/>
      <c r="C307" s="93" t="s">
        <v>1347</v>
      </c>
      <c r="D307" s="667">
        <f>1000000/(D303*D299*D299*2*PI()*PI())</f>
        <v>84.248415403365058</v>
      </c>
      <c r="E307" s="648" t="s">
        <v>27</v>
      </c>
      <c r="F307" s="6"/>
      <c r="G307" s="6"/>
      <c r="P307" s="366"/>
      <c r="Q307" s="364"/>
    </row>
    <row r="308" spans="2:17" ht="14.45" hidden="1" x14ac:dyDescent="0.3">
      <c r="B308" s="647"/>
      <c r="C308" s="93" t="s">
        <v>1348</v>
      </c>
      <c r="D308" s="667">
        <f>D307-D300</f>
        <v>68.248415403365058</v>
      </c>
      <c r="E308" s="648" t="s">
        <v>27</v>
      </c>
      <c r="F308" s="6"/>
      <c r="G308" s="6"/>
      <c r="P308" s="366"/>
      <c r="Q308" s="364"/>
    </row>
    <row r="309" spans="2:17" ht="14.45" hidden="1" x14ac:dyDescent="0.3">
      <c r="B309" s="647"/>
      <c r="C309" s="93" t="s">
        <v>1349</v>
      </c>
      <c r="D309" s="651">
        <f>D308/(10^(FLOOR(LOG(D308,10),1)))</f>
        <v>6.8248415403365055</v>
      </c>
      <c r="E309" s="648"/>
      <c r="F309" s="6"/>
      <c r="G309" s="6"/>
      <c r="P309" s="366"/>
      <c r="Q309" s="364"/>
    </row>
    <row r="310" spans="2:17" ht="14.45" hidden="1" x14ac:dyDescent="0.3">
      <c r="B310" s="647"/>
      <c r="C310" s="93" t="s">
        <v>1350</v>
      </c>
      <c r="D310" s="651">
        <f>VLOOKUP(D309,D$370:D$393,1,TRUE)</f>
        <v>6.8</v>
      </c>
      <c r="E310" s="648" t="s">
        <v>1353</v>
      </c>
      <c r="F310" s="6"/>
      <c r="G310" s="6"/>
      <c r="P310" s="366"/>
      <c r="Q310" s="364"/>
    </row>
    <row r="311" spans="2:17" ht="14.45" hidden="1" x14ac:dyDescent="0.3">
      <c r="B311" s="647"/>
      <c r="C311" s="93" t="s">
        <v>1351</v>
      </c>
      <c r="D311" s="651">
        <f>VLOOKUP(D309*1.07,D$370:D$393,1,TRUE)</f>
        <v>6.8</v>
      </c>
      <c r="E311" s="648"/>
      <c r="F311" s="6"/>
      <c r="G311" s="6"/>
      <c r="P311" s="366"/>
      <c r="Q311" s="364"/>
    </row>
    <row r="312" spans="2:17" ht="14.45" hidden="1" x14ac:dyDescent="0.3">
      <c r="B312" s="647"/>
      <c r="C312" s="93" t="s">
        <v>1352</v>
      </c>
      <c r="D312" s="651">
        <f>IF(D309-D310&lt;D311-D309,D310,D311)</f>
        <v>6.8</v>
      </c>
      <c r="E312" s="648"/>
      <c r="F312" s="6"/>
      <c r="G312" s="6"/>
      <c r="P312" s="366"/>
      <c r="Q312" s="364"/>
    </row>
    <row r="313" spans="2:17" ht="14.45" hidden="1" x14ac:dyDescent="0.3">
      <c r="B313" s="647"/>
      <c r="C313" s="143" t="s">
        <v>1185</v>
      </c>
      <c r="D313" s="667">
        <f>10^FLOOR(LOG(D308),1)*D312</f>
        <v>68</v>
      </c>
      <c r="E313" s="663" t="s">
        <v>27</v>
      </c>
      <c r="F313" s="6"/>
      <c r="G313" s="6"/>
      <c r="P313" s="366"/>
      <c r="Q313" s="364"/>
    </row>
    <row r="314" spans="2:17" ht="14.45" hidden="1" x14ac:dyDescent="0.3">
      <c r="B314" s="647"/>
      <c r="C314" s="93" t="s">
        <v>1347</v>
      </c>
      <c r="D314" s="667">
        <f>D313+D300</f>
        <v>84</v>
      </c>
      <c r="E314" s="648" t="s">
        <v>27</v>
      </c>
      <c r="F314" s="6"/>
      <c r="G314" s="6"/>
      <c r="P314" s="366"/>
      <c r="Q314" s="364"/>
    </row>
    <row r="315" spans="2:17" ht="14.45" hidden="1" x14ac:dyDescent="0.3">
      <c r="B315" s="647"/>
      <c r="C315" s="93" t="s">
        <v>1356</v>
      </c>
      <c r="D315" s="652">
        <f>1000/(PI()*SQRT(2*D314*D303))</f>
        <v>15.02216357259735</v>
      </c>
      <c r="E315" s="648" t="s">
        <v>0</v>
      </c>
      <c r="F315" s="6"/>
      <c r="G315" s="6"/>
      <c r="P315" s="366"/>
      <c r="Q315" s="364"/>
    </row>
    <row r="316" spans="2:17" ht="14.45" hidden="1" x14ac:dyDescent="0.3">
      <c r="B316" s="647"/>
      <c r="C316" s="93" t="s">
        <v>1354</v>
      </c>
      <c r="D316" s="652">
        <f>1000/(17.1*D315*D303)</f>
        <v>1.4566170975016657</v>
      </c>
      <c r="E316" s="648" t="s">
        <v>244</v>
      </c>
      <c r="F316" s="6"/>
      <c r="G316" s="6"/>
      <c r="H316" s="12"/>
      <c r="I316" s="12"/>
      <c r="J316" s="12"/>
      <c r="P316" s="366"/>
      <c r="Q316" s="364"/>
    </row>
    <row r="317" spans="2:17" ht="14.45" hidden="1" x14ac:dyDescent="0.3">
      <c r="B317" s="647"/>
      <c r="C317" s="93" t="s">
        <v>1393</v>
      </c>
      <c r="D317" s="671">
        <f>IF(D316&lt;D297,1,0)</f>
        <v>1</v>
      </c>
      <c r="E317" s="648" t="s">
        <v>1169</v>
      </c>
      <c r="F317" s="6"/>
      <c r="G317" s="6"/>
      <c r="H317" s="12"/>
      <c r="I317" s="12"/>
      <c r="J317" s="12"/>
      <c r="P317" s="366"/>
      <c r="Q317" s="364"/>
    </row>
    <row r="318" spans="2:17" ht="14.45" hidden="1" x14ac:dyDescent="0.3">
      <c r="B318" s="647"/>
      <c r="C318" s="93" t="s">
        <v>1378</v>
      </c>
      <c r="D318" s="693" t="str">
        <f>IF(D317=0," LDC0851 cannot drive sensor.","")</f>
        <v/>
      </c>
      <c r="E318" s="648"/>
      <c r="F318" s="6"/>
      <c r="G318" s="6"/>
      <c r="H318" s="12"/>
      <c r="I318" s="12"/>
      <c r="J318" s="12"/>
      <c r="P318" s="366"/>
      <c r="Q318" s="364"/>
    </row>
    <row r="319" spans="2:17" ht="14.45" hidden="1" x14ac:dyDescent="0.3">
      <c r="B319" s="647"/>
      <c r="C319" s="93" t="s">
        <v>1357</v>
      </c>
      <c r="D319" s="652">
        <f>1000/(PI()*SQRT(2*D314*D304))</f>
        <v>11.548332042333442</v>
      </c>
      <c r="E319" s="648" t="s">
        <v>0</v>
      </c>
      <c r="F319" s="6"/>
      <c r="G319" s="6"/>
      <c r="P319" s="366"/>
      <c r="Q319" s="364"/>
    </row>
    <row r="320" spans="2:17" ht="14.45" hidden="1" x14ac:dyDescent="0.3">
      <c r="B320" s="647"/>
      <c r="C320" s="93" t="s">
        <v>1359</v>
      </c>
      <c r="D320" s="652">
        <f>231*D319</f>
        <v>2667.6647017790251</v>
      </c>
      <c r="E320" s="648" t="s">
        <v>405</v>
      </c>
      <c r="F320" s="6"/>
      <c r="G320" s="6"/>
      <c r="P320" s="366"/>
      <c r="Q320" s="364"/>
    </row>
    <row r="321" spans="2:17" ht="14.45" hidden="1" x14ac:dyDescent="0.3">
      <c r="B321" s="647"/>
      <c r="C321" s="93" t="s">
        <v>1360</v>
      </c>
      <c r="D321" s="671">
        <f>IF(D320&gt;D41,1,0)</f>
        <v>1</v>
      </c>
      <c r="E321" s="648" t="s">
        <v>1169</v>
      </c>
      <c r="F321" s="6"/>
      <c r="G321" s="6"/>
      <c r="P321" s="366"/>
      <c r="Q321" s="364"/>
    </row>
    <row r="322" spans="2:17" ht="14.45" hidden="1" x14ac:dyDescent="0.3">
      <c r="B322" s="647"/>
      <c r="C322" s="93" t="s">
        <v>1378</v>
      </c>
      <c r="D322" s="652" t="str">
        <f>IF(D321=0," LDC0851 sample rate too low.","")</f>
        <v/>
      </c>
      <c r="E322" s="648"/>
      <c r="F322" s="6"/>
      <c r="G322" s="6"/>
      <c r="P322" s="366"/>
      <c r="Q322" s="364"/>
    </row>
    <row r="323" spans="2:17" ht="14.45" hidden="1" x14ac:dyDescent="0.3">
      <c r="B323" s="647"/>
      <c r="C323" s="93" t="s">
        <v>1392</v>
      </c>
      <c r="D323" s="694" t="str">
        <f>D322&amp;D318&amp;D306</f>
        <v/>
      </c>
      <c r="E323" s="648"/>
      <c r="F323" s="6"/>
      <c r="G323" s="6"/>
      <c r="P323" s="366"/>
      <c r="Q323" s="364"/>
    </row>
    <row r="324" spans="2:17" ht="14.45" hidden="1" x14ac:dyDescent="0.3">
      <c r="B324" s="647"/>
      <c r="C324" s="93" t="s">
        <v>1415</v>
      </c>
      <c r="D324" s="652">
        <f>24.262*10^-12*D315*10^6+1.5*D315*10^6*D315*10^-12+0.0007</f>
        <v>1.402965830201163E-3</v>
      </c>
      <c r="E324" s="648"/>
      <c r="F324" s="6"/>
      <c r="G324" s="698">
        <f>D325-D316</f>
        <v>1.4029658302011632</v>
      </c>
      <c r="P324" s="366"/>
      <c r="Q324" s="364"/>
    </row>
    <row r="325" spans="2:17" ht="14.45" hidden="1" x14ac:dyDescent="0.3">
      <c r="B325" s="647"/>
      <c r="C325" s="93" t="s">
        <v>1414</v>
      </c>
      <c r="D325" s="652">
        <f>D324*1000+D316</f>
        <v>2.8595829277028288</v>
      </c>
      <c r="E325" s="648" t="s">
        <v>244</v>
      </c>
      <c r="F325" s="6"/>
      <c r="G325" s="6"/>
      <c r="P325" s="366"/>
      <c r="Q325" s="364"/>
    </row>
    <row r="326" spans="2:17" x14ac:dyDescent="0.25">
      <c r="B326" s="647"/>
      <c r="C326" s="6"/>
      <c r="D326" s="689"/>
      <c r="E326" s="648"/>
      <c r="F326" s="6"/>
      <c r="G326" s="6"/>
      <c r="P326" s="366"/>
      <c r="Q326" s="364"/>
    </row>
    <row r="327" spans="2:17" x14ac:dyDescent="0.25">
      <c r="B327" s="654"/>
      <c r="C327" t="s">
        <v>1211</v>
      </c>
      <c r="D327" s="53" t="str">
        <f>TEXT(D35,"0.00") &amp; " x " &amp;TEXT( D37,"0.00")</f>
        <v>5.93 x 8.89</v>
      </c>
      <c r="E327" s="6" t="s">
        <v>34</v>
      </c>
    </row>
    <row r="328" spans="2:17" x14ac:dyDescent="0.25">
      <c r="B328" s="654"/>
      <c r="C328" s="7" t="s">
        <v>1402</v>
      </c>
      <c r="D328" s="433">
        <f>D34</f>
        <v>22.5</v>
      </c>
      <c r="E328" s="666" t="s">
        <v>537</v>
      </c>
    </row>
    <row r="329" spans="2:17" x14ac:dyDescent="0.25">
      <c r="B329" s="654"/>
      <c r="C329" t="s">
        <v>1220</v>
      </c>
      <c r="D329" s="676">
        <f>D71/D43</f>
        <v>8.4261132592851992E-2</v>
      </c>
      <c r="E329" s="6" t="s">
        <v>90</v>
      </c>
    </row>
    <row r="330" spans="2:17" x14ac:dyDescent="0.25">
      <c r="B330" s="654"/>
      <c r="C330" t="s">
        <v>1212</v>
      </c>
      <c r="D330" s="675">
        <f>D54</f>
        <v>7</v>
      </c>
      <c r="E330" s="6" t="s">
        <v>1215</v>
      </c>
    </row>
    <row r="331" spans="2:17" x14ac:dyDescent="0.25">
      <c r="B331" s="654"/>
      <c r="C331" t="s">
        <v>1213</v>
      </c>
      <c r="D331" s="431">
        <f>D188</f>
        <v>4.5222279315741405</v>
      </c>
      <c r="E331" s="659" t="s">
        <v>1175</v>
      </c>
    </row>
    <row r="332" spans="2:17" x14ac:dyDescent="0.25">
      <c r="B332" s="654"/>
      <c r="C332" t="s">
        <v>1214</v>
      </c>
      <c r="D332" s="677">
        <f>MAX(1-ABS(D189/D188),0)</f>
        <v>0.40901895503497909</v>
      </c>
      <c r="E332" s="659"/>
    </row>
    <row r="333" spans="2:17" x14ac:dyDescent="0.25">
      <c r="B333" s="654"/>
    </row>
    <row r="334" spans="2:17" x14ac:dyDescent="0.25">
      <c r="B334" s="654"/>
      <c r="C334" s="9" t="s">
        <v>1206</v>
      </c>
      <c r="D334" s="122" t="str">
        <f>IF(D246=0,"No","Yes")</f>
        <v>Yes</v>
      </c>
      <c r="E334" s="696" t="str">
        <f>D247</f>
        <v/>
      </c>
    </row>
    <row r="335" spans="2:17" x14ac:dyDescent="0.25">
      <c r="B335" s="654"/>
      <c r="C335" s="93" t="s">
        <v>1362</v>
      </c>
      <c r="D335" s="691" t="str">
        <f>D210</f>
        <v/>
      </c>
    </row>
    <row r="336" spans="2:17" x14ac:dyDescent="0.25">
      <c r="B336" s="654"/>
      <c r="C336" s="93" t="s">
        <v>1218</v>
      </c>
      <c r="D336" s="692">
        <f>D217</f>
        <v>110.00000000000001</v>
      </c>
      <c r="E336" s="6" t="s">
        <v>27</v>
      </c>
    </row>
    <row r="337" spans="2:5" x14ac:dyDescent="0.25">
      <c r="B337" s="654"/>
      <c r="C337" s="93" t="s">
        <v>1380</v>
      </c>
      <c r="D337" s="679">
        <f>D222</f>
        <v>9.2824109000344244</v>
      </c>
      <c r="E337" s="6" t="s">
        <v>0</v>
      </c>
    </row>
    <row r="338" spans="2:5" x14ac:dyDescent="0.25">
      <c r="B338" s="654"/>
      <c r="C338" s="93" t="s">
        <v>1381</v>
      </c>
      <c r="D338" s="678">
        <f>D227</f>
        <v>4.4564067357072172</v>
      </c>
      <c r="E338" s="663" t="s">
        <v>243</v>
      </c>
    </row>
    <row r="339" spans="2:5" x14ac:dyDescent="0.25">
      <c r="B339" s="654"/>
      <c r="C339" s="93" t="s">
        <v>1409</v>
      </c>
      <c r="D339" s="690">
        <f>D232</f>
        <v>12</v>
      </c>
      <c r="E339" s="663"/>
    </row>
    <row r="340" spans="2:5" x14ac:dyDescent="0.25">
      <c r="B340" s="654"/>
      <c r="C340" s="93" t="s">
        <v>1403</v>
      </c>
      <c r="D340" s="692">
        <f>D241</f>
        <v>4081.6326530612246</v>
      </c>
      <c r="E340" s="663" t="s">
        <v>405</v>
      </c>
    </row>
    <row r="341" spans="2:5" x14ac:dyDescent="0.25">
      <c r="B341" s="654"/>
      <c r="C341" s="93" t="s">
        <v>1368</v>
      </c>
      <c r="D341" s="690">
        <f>D236</f>
        <v>15</v>
      </c>
      <c r="E341" s="663" t="s">
        <v>945</v>
      </c>
    </row>
    <row r="342" spans="2:5" x14ac:dyDescent="0.25">
      <c r="B342" s="654"/>
      <c r="C342" s="93" t="s">
        <v>1379</v>
      </c>
      <c r="D342" s="690">
        <f>D238</f>
        <v>41</v>
      </c>
      <c r="E342" s="663" t="s">
        <v>945</v>
      </c>
    </row>
    <row r="343" spans="2:5" x14ac:dyDescent="0.25">
      <c r="B343" s="654"/>
      <c r="C343" s="93" t="s">
        <v>1410</v>
      </c>
      <c r="D343" s="690" t="str">
        <f>IF(D340&gt;(2*D41),"Yes","No")</f>
        <v>Yes</v>
      </c>
      <c r="E343" s="663"/>
    </row>
    <row r="344" spans="2:5" x14ac:dyDescent="0.25">
      <c r="B344" s="654"/>
      <c r="C344" s="93"/>
      <c r="D344" s="128"/>
      <c r="E344" s="663"/>
    </row>
    <row r="345" spans="2:5" x14ac:dyDescent="0.25">
      <c r="B345" s="654"/>
      <c r="C345" s="9" t="s">
        <v>1205</v>
      </c>
      <c r="D345" s="122" t="str">
        <f>IF(D292=1,"Yes","No")</f>
        <v>Yes</v>
      </c>
      <c r="E345" s="697" t="str">
        <f>D293</f>
        <v xml:space="preserve"> </v>
      </c>
    </row>
    <row r="346" spans="2:5" x14ac:dyDescent="0.25">
      <c r="B346" s="654"/>
      <c r="C346" s="6" t="s">
        <v>1362</v>
      </c>
      <c r="D346" s="112" t="str">
        <f>D284</f>
        <v>Add 8.1Ω Series R</v>
      </c>
      <c r="E346" s="698"/>
    </row>
    <row r="347" spans="2:5" x14ac:dyDescent="0.25">
      <c r="B347" s="654"/>
      <c r="C347" s="93" t="s">
        <v>1219</v>
      </c>
      <c r="D347" s="692">
        <f>D267</f>
        <v>30</v>
      </c>
      <c r="E347" s="6" t="s">
        <v>27</v>
      </c>
    </row>
    <row r="348" spans="2:5" x14ac:dyDescent="0.25">
      <c r="B348" s="654"/>
      <c r="C348" s="93" t="s">
        <v>1217</v>
      </c>
      <c r="D348" s="680">
        <f>D270</f>
        <v>17.774463642051732</v>
      </c>
      <c r="E348" s="6" t="s">
        <v>0</v>
      </c>
    </row>
    <row r="349" spans="2:5" x14ac:dyDescent="0.25">
      <c r="B349" s="654"/>
      <c r="C349" s="93" t="s">
        <v>1411</v>
      </c>
      <c r="D349" s="681">
        <f>D273</f>
        <v>18.122165400499163</v>
      </c>
      <c r="E349" s="663" t="s">
        <v>243</v>
      </c>
    </row>
    <row r="350" spans="2:5" x14ac:dyDescent="0.25">
      <c r="B350" s="654"/>
      <c r="C350" s="93" t="s">
        <v>1396</v>
      </c>
      <c r="D350" s="695" t="str">
        <f>"0x"&amp;DEC2HEX(D289,2)</f>
        <v>0x00</v>
      </c>
      <c r="E350" s="663"/>
    </row>
    <row r="351" spans="2:5" x14ac:dyDescent="0.25">
      <c r="B351" s="654"/>
    </row>
    <row r="352" spans="2:5" x14ac:dyDescent="0.25">
      <c r="B352" s="654"/>
      <c r="C352" s="9" t="s">
        <v>1361</v>
      </c>
      <c r="D352" s="122" t="str">
        <f>IF(D321*D317*D305=1,"Yes","No")</f>
        <v>Yes</v>
      </c>
      <c r="E352" s="696" t="str">
        <f>D323</f>
        <v/>
      </c>
    </row>
    <row r="353" spans="2:5" x14ac:dyDescent="0.25">
      <c r="B353" s="654"/>
      <c r="C353" s="93" t="s">
        <v>1412</v>
      </c>
      <c r="D353" s="52">
        <v>3.3</v>
      </c>
      <c r="E353" s="699" t="s">
        <v>377</v>
      </c>
    </row>
    <row r="354" spans="2:5" x14ac:dyDescent="0.25">
      <c r="B354" s="654"/>
      <c r="C354" s="93" t="s">
        <v>1219</v>
      </c>
      <c r="D354" s="690">
        <f>D313</f>
        <v>68</v>
      </c>
      <c r="E354" s="6" t="s">
        <v>27</v>
      </c>
    </row>
    <row r="355" spans="2:5" x14ac:dyDescent="0.25">
      <c r="B355" s="654"/>
      <c r="C355" s="93" t="s">
        <v>1217</v>
      </c>
      <c r="D355" s="680">
        <f>D315</f>
        <v>15.02216357259735</v>
      </c>
      <c r="E355" s="6" t="s">
        <v>0</v>
      </c>
    </row>
    <row r="356" spans="2:5" x14ac:dyDescent="0.25">
      <c r="B356" s="654"/>
      <c r="C356" s="93" t="s">
        <v>1413</v>
      </c>
      <c r="D356" s="695">
        <f>D320</f>
        <v>2667.6647017790251</v>
      </c>
      <c r="E356" s="663" t="s">
        <v>405</v>
      </c>
    </row>
    <row r="357" spans="2:5" x14ac:dyDescent="0.25">
      <c r="B357" s="654"/>
      <c r="C357" s="93" t="s">
        <v>1416</v>
      </c>
      <c r="D357" s="708">
        <f>2*D325</f>
        <v>5.7191658554056577</v>
      </c>
      <c r="E357" s="663" t="s">
        <v>244</v>
      </c>
    </row>
    <row r="358" spans="2:5" x14ac:dyDescent="0.25">
      <c r="B358" s="654"/>
    </row>
    <row r="359" spans="2:5" x14ac:dyDescent="0.25">
      <c r="B359" s="654"/>
      <c r="C359" s="9"/>
      <c r="D359" s="9"/>
    </row>
    <row r="360" spans="2:5" x14ac:dyDescent="0.25">
      <c r="B360" s="654"/>
      <c r="E360" s="7"/>
    </row>
    <row r="361" spans="2:5" x14ac:dyDescent="0.25">
      <c r="B361" s="654"/>
    </row>
    <row r="362" spans="2:5" x14ac:dyDescent="0.25">
      <c r="B362" s="654"/>
    </row>
    <row r="367" spans="2:5" x14ac:dyDescent="0.25">
      <c r="C367" s="9"/>
    </row>
    <row r="370" spans="2:4" ht="14.45" hidden="1" x14ac:dyDescent="0.3">
      <c r="C370" s="75" t="s">
        <v>1187</v>
      </c>
      <c r="D370" s="674">
        <v>1</v>
      </c>
    </row>
    <row r="371" spans="2:4" ht="14.45" hidden="1" x14ac:dyDescent="0.3">
      <c r="D371" s="674">
        <v>1.1000000000000001</v>
      </c>
    </row>
    <row r="372" spans="2:4" ht="14.45" hidden="1" x14ac:dyDescent="0.3">
      <c r="D372" s="674">
        <v>1.2</v>
      </c>
    </row>
    <row r="373" spans="2:4" ht="14.45" hidden="1" x14ac:dyDescent="0.3">
      <c r="C373" s="9"/>
      <c r="D373" s="674">
        <v>1.3</v>
      </c>
    </row>
    <row r="374" spans="2:4" ht="14.45" hidden="1" x14ac:dyDescent="0.3">
      <c r="D374" s="674">
        <v>1.5</v>
      </c>
    </row>
    <row r="375" spans="2:4" ht="14.45" hidden="1" x14ac:dyDescent="0.3">
      <c r="D375" s="674">
        <v>1.6</v>
      </c>
    </row>
    <row r="376" spans="2:4" ht="14.45" hidden="1" x14ac:dyDescent="0.3">
      <c r="D376" s="674">
        <v>1.8</v>
      </c>
    </row>
    <row r="377" spans="2:4" ht="14.45" hidden="1" x14ac:dyDescent="0.3">
      <c r="D377" s="674">
        <v>2</v>
      </c>
    </row>
    <row r="378" spans="2:4" ht="14.45" hidden="1" x14ac:dyDescent="0.3">
      <c r="D378" s="674">
        <v>2.2000000000000002</v>
      </c>
    </row>
    <row r="379" spans="2:4" ht="14.45" hidden="1" x14ac:dyDescent="0.3">
      <c r="D379" s="674">
        <v>2.4</v>
      </c>
    </row>
    <row r="380" spans="2:4" ht="14.45" hidden="1" x14ac:dyDescent="0.3">
      <c r="B380" s="9"/>
      <c r="C380" s="9"/>
      <c r="D380" s="674">
        <v>2.7</v>
      </c>
    </row>
    <row r="381" spans="2:4" ht="14.45" hidden="1" x14ac:dyDescent="0.3">
      <c r="D381" s="674">
        <v>3</v>
      </c>
    </row>
    <row r="382" spans="2:4" ht="14.45" hidden="1" x14ac:dyDescent="0.3">
      <c r="D382" s="674">
        <v>3.3</v>
      </c>
    </row>
    <row r="383" spans="2:4" ht="14.45" hidden="1" x14ac:dyDescent="0.3">
      <c r="D383" s="674">
        <v>3.6</v>
      </c>
    </row>
    <row r="384" spans="2:4" ht="14.45" hidden="1" x14ac:dyDescent="0.3">
      <c r="D384" s="674">
        <v>3.9</v>
      </c>
    </row>
    <row r="385" spans="3:7" ht="14.45" hidden="1" x14ac:dyDescent="0.3">
      <c r="D385" s="674">
        <v>4.3</v>
      </c>
    </row>
    <row r="386" spans="3:7" ht="14.45" hidden="1" x14ac:dyDescent="0.3">
      <c r="C386" s="9"/>
      <c r="D386" s="674">
        <v>4.7</v>
      </c>
    </row>
    <row r="387" spans="3:7" ht="14.45" hidden="1" x14ac:dyDescent="0.3">
      <c r="C387" s="9"/>
      <c r="D387" s="674">
        <v>5.0999999999999996</v>
      </c>
    </row>
    <row r="388" spans="3:7" ht="14.45" hidden="1" x14ac:dyDescent="0.3">
      <c r="C388" s="9"/>
      <c r="D388" s="674">
        <v>5.6</v>
      </c>
      <c r="E388" s="9"/>
      <c r="F388" s="9"/>
      <c r="G388" s="9"/>
    </row>
    <row r="389" spans="3:7" ht="14.45" hidden="1" x14ac:dyDescent="0.3">
      <c r="C389" s="382"/>
      <c r="D389" s="674">
        <v>6.2</v>
      </c>
    </row>
    <row r="390" spans="3:7" ht="14.45" hidden="1" x14ac:dyDescent="0.3">
      <c r="C390" s="382"/>
      <c r="D390" s="674">
        <v>6.8</v>
      </c>
    </row>
    <row r="391" spans="3:7" ht="14.45" hidden="1" x14ac:dyDescent="0.3">
      <c r="C391" s="382"/>
      <c r="D391" s="674">
        <v>7.5</v>
      </c>
    </row>
    <row r="392" spans="3:7" ht="14.45" hidden="1" x14ac:dyDescent="0.3">
      <c r="C392" s="382"/>
      <c r="D392" s="674">
        <v>8.1999999999999993</v>
      </c>
    </row>
    <row r="393" spans="3:7" ht="14.45" hidden="1" x14ac:dyDescent="0.3">
      <c r="C393" s="382"/>
      <c r="D393" s="674">
        <v>9.1</v>
      </c>
    </row>
    <row r="394" spans="3:7" x14ac:dyDescent="0.25">
      <c r="C394" s="382"/>
      <c r="D394" s="382"/>
    </row>
    <row r="395" spans="3:7" x14ac:dyDescent="0.25">
      <c r="C395" s="382"/>
      <c r="D395" s="382"/>
    </row>
    <row r="396" spans="3:7" x14ac:dyDescent="0.25">
      <c r="C396" s="382"/>
      <c r="D396" s="382"/>
    </row>
    <row r="397" spans="3:7" x14ac:dyDescent="0.25">
      <c r="C397" s="382"/>
      <c r="D397" s="382"/>
    </row>
    <row r="398" spans="3:7" x14ac:dyDescent="0.25">
      <c r="C398" s="382"/>
      <c r="D398" s="382"/>
    </row>
    <row r="399" spans="3:7" x14ac:dyDescent="0.25">
      <c r="C399" s="382"/>
      <c r="D399" s="382"/>
    </row>
    <row r="400" spans="3:7" x14ac:dyDescent="0.25">
      <c r="C400" s="382"/>
      <c r="D400" s="382"/>
    </row>
    <row r="401" spans="3:4" x14ac:dyDescent="0.25">
      <c r="C401" s="382"/>
      <c r="D401" s="382"/>
    </row>
    <row r="402" spans="3:4" x14ac:dyDescent="0.25">
      <c r="C402" s="382"/>
      <c r="D402" s="382"/>
    </row>
    <row r="403" spans="3:4" x14ac:dyDescent="0.25">
      <c r="C403" s="382"/>
      <c r="D403" s="382"/>
    </row>
    <row r="404" spans="3:4" x14ac:dyDescent="0.25">
      <c r="C404" s="382"/>
      <c r="D404" s="382"/>
    </row>
    <row r="405" spans="3:4" x14ac:dyDescent="0.25">
      <c r="C405" s="382"/>
      <c r="D405" s="382"/>
    </row>
    <row r="406" spans="3:4" x14ac:dyDescent="0.25">
      <c r="C406" s="382"/>
      <c r="D406" s="382"/>
    </row>
    <row r="407" spans="3:4" x14ac:dyDescent="0.25">
      <c r="C407" s="382"/>
      <c r="D407" s="382"/>
    </row>
    <row r="408" spans="3:4" x14ac:dyDescent="0.25">
      <c r="C408" s="382"/>
      <c r="D408" s="382"/>
    </row>
    <row r="409" spans="3:4" x14ac:dyDescent="0.25">
      <c r="C409" s="382"/>
      <c r="D409" s="382"/>
    </row>
    <row r="410" spans="3:4" x14ac:dyDescent="0.25">
      <c r="C410" s="382"/>
      <c r="D410" s="382"/>
    </row>
    <row r="411" spans="3:4" x14ac:dyDescent="0.25">
      <c r="C411" s="382"/>
      <c r="D411" s="382"/>
    </row>
    <row r="412" spans="3:4" x14ac:dyDescent="0.25">
      <c r="C412" s="382"/>
      <c r="D412" s="382"/>
    </row>
    <row r="413" spans="3:4" x14ac:dyDescent="0.25">
      <c r="C413" s="382"/>
      <c r="D413" s="382"/>
    </row>
    <row r="414" spans="3:4" x14ac:dyDescent="0.25">
      <c r="C414" s="382"/>
      <c r="D414" s="382"/>
    </row>
    <row r="415" spans="3:4" x14ac:dyDescent="0.25">
      <c r="C415" s="382"/>
      <c r="D415" s="382"/>
    </row>
    <row r="416" spans="3:4" x14ac:dyDescent="0.25">
      <c r="C416" s="382"/>
      <c r="D416" s="382"/>
    </row>
    <row r="417" spans="3:4" x14ac:dyDescent="0.25">
      <c r="C417" s="382"/>
      <c r="D417" s="382"/>
    </row>
    <row r="418" spans="3:4" x14ac:dyDescent="0.25">
      <c r="C418" s="382"/>
      <c r="D418" s="382"/>
    </row>
    <row r="419" spans="3:4" x14ac:dyDescent="0.25">
      <c r="C419" s="382"/>
      <c r="D419" s="382"/>
    </row>
    <row r="420" spans="3:4" x14ac:dyDescent="0.25">
      <c r="C420" s="382"/>
      <c r="D420" s="382"/>
    </row>
    <row r="421" spans="3:4" x14ac:dyDescent="0.25">
      <c r="C421" s="382"/>
      <c r="D421" s="382"/>
    </row>
    <row r="422" spans="3:4" x14ac:dyDescent="0.25">
      <c r="C422" s="382"/>
      <c r="D422" s="382"/>
    </row>
    <row r="423" spans="3:4" x14ac:dyDescent="0.25">
      <c r="C423" s="382"/>
      <c r="D423" s="382"/>
    </row>
    <row r="424" spans="3:4" x14ac:dyDescent="0.25">
      <c r="C424" s="382"/>
      <c r="D424" s="382"/>
    </row>
    <row r="425" spans="3:4" x14ac:dyDescent="0.25">
      <c r="C425" s="382"/>
      <c r="D425" s="382"/>
    </row>
    <row r="426" spans="3:4" x14ac:dyDescent="0.25">
      <c r="C426" s="382"/>
      <c r="D426" s="382"/>
    </row>
    <row r="427" spans="3:4" x14ac:dyDescent="0.25">
      <c r="C427" s="382"/>
      <c r="D427" s="382"/>
    </row>
    <row r="428" spans="3:4" x14ac:dyDescent="0.25">
      <c r="C428" s="382"/>
      <c r="D428" s="382"/>
    </row>
    <row r="429" spans="3:4" x14ac:dyDescent="0.25">
      <c r="C429" s="382"/>
      <c r="D429" s="382"/>
    </row>
    <row r="430" spans="3:4" x14ac:dyDescent="0.25">
      <c r="C430" s="382"/>
      <c r="D430" s="382"/>
    </row>
    <row r="431" spans="3:4" x14ac:dyDescent="0.25">
      <c r="C431" s="382"/>
      <c r="D431" s="382"/>
    </row>
    <row r="432" spans="3:4" x14ac:dyDescent="0.25">
      <c r="C432" s="382"/>
      <c r="D432" s="382"/>
    </row>
    <row r="433" spans="3:4" x14ac:dyDescent="0.25">
      <c r="C433" s="382"/>
      <c r="D433" s="382"/>
    </row>
    <row r="434" spans="3:4" x14ac:dyDescent="0.25">
      <c r="C434" s="382"/>
      <c r="D434" s="382"/>
    </row>
    <row r="435" spans="3:4" x14ac:dyDescent="0.25">
      <c r="C435" s="382"/>
      <c r="D435" s="382"/>
    </row>
    <row r="436" spans="3:4" x14ac:dyDescent="0.25">
      <c r="C436" s="382"/>
      <c r="D436" s="382"/>
    </row>
    <row r="437" spans="3:4" x14ac:dyDescent="0.25">
      <c r="C437" s="382"/>
      <c r="D437" s="382"/>
    </row>
    <row r="438" spans="3:4" x14ac:dyDescent="0.25">
      <c r="C438" s="382"/>
      <c r="D438" s="382"/>
    </row>
    <row r="439" spans="3:4" x14ac:dyDescent="0.25">
      <c r="C439" s="382"/>
      <c r="D439" s="382"/>
    </row>
    <row r="440" spans="3:4" x14ac:dyDescent="0.25">
      <c r="C440" s="382"/>
      <c r="D440" s="382"/>
    </row>
    <row r="441" spans="3:4" x14ac:dyDescent="0.25">
      <c r="C441" s="382"/>
      <c r="D441" s="382"/>
    </row>
    <row r="442" spans="3:4" x14ac:dyDescent="0.25">
      <c r="C442" s="382"/>
      <c r="D442" s="382"/>
    </row>
    <row r="443" spans="3:4" x14ac:dyDescent="0.25">
      <c r="C443" s="382"/>
      <c r="D443" s="382"/>
    </row>
    <row r="444" spans="3:4" x14ac:dyDescent="0.25">
      <c r="C444" s="382"/>
      <c r="D444" s="382"/>
    </row>
    <row r="445" spans="3:4" x14ac:dyDescent="0.25">
      <c r="C445" s="382"/>
      <c r="D445" s="382"/>
    </row>
    <row r="446" spans="3:4" x14ac:dyDescent="0.25">
      <c r="C446" s="382"/>
      <c r="D446" s="382"/>
    </row>
    <row r="447" spans="3:4" x14ac:dyDescent="0.25">
      <c r="C447" s="382"/>
      <c r="D447" s="382"/>
    </row>
    <row r="448" spans="3:4" x14ac:dyDescent="0.25">
      <c r="C448" s="382"/>
      <c r="D448" s="382"/>
    </row>
    <row r="449" spans="3:4" x14ac:dyDescent="0.25">
      <c r="C449" s="382"/>
      <c r="D449" s="382"/>
    </row>
    <row r="450" spans="3:4" x14ac:dyDescent="0.25">
      <c r="C450" s="382"/>
      <c r="D450" s="382"/>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180975</xdr:colOff>
                <xdr:row>4</xdr:row>
                <xdr:rowOff>123825</xdr:rowOff>
              </to>
            </anchor>
          </objectPr>
        </oleObject>
      </mc:Choice>
      <mc:Fallback>
        <oleObject progId="Acrobat Document" dvAspect="DVASPECT_ICON" shapeId="11673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Beigel, Justin</cp:lastModifiedBy>
  <dcterms:created xsi:type="dcterms:W3CDTF">2014-10-17T20:34:02Z</dcterms:created>
  <dcterms:modified xsi:type="dcterms:W3CDTF">2021-08-19T19:16:55Z</dcterms:modified>
</cp:coreProperties>
</file>