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1" sheetId="1" state="visible" r:id="rId2"/>
    <sheet name="Database" sheetId="2" state="visible" r:id="rId3"/>
    <sheet name="Date" sheetId="3" state="visible" r:id="rId4"/>
    <sheet name="Engineering" sheetId="4" state="visible" r:id="rId5"/>
    <sheet name="Finance" sheetId="5" state="visible" r:id="rId6"/>
    <sheet name="Information" sheetId="6" state="visible" r:id="rId7"/>
    <sheet name="Logical" sheetId="7" state="visible" r:id="rId8"/>
    <sheet name="Lookup" sheetId="8" state="visible" r:id="rId9"/>
    <sheet name="Math" sheetId="9" state="visible" r:id="rId10"/>
    <sheet name="Statistical" sheetId="10" state="visible" r:id="rId11"/>
    <sheet name="Text" sheetId="11" state="visible" r:id="rId12"/>
  </sheets>
  <calcPr iterateCount="100" refMode="A1" iterate="false" iterateDelta="0.0001"/>
  <pivotCaches>
    <pivotCache cacheId="1" r:id="rId14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<sst xmlns="http://schemas.openxmlformats.org/spreadsheetml/2006/main" count="581" uniqueCount="529">
  <si>
    <t xml:space="preserve">NOME</t>
  </si>
  <si>
    <t xml:space="preserve">QUANTIDADE</t>
  </si>
  <si>
    <t xml:space="preserve">PRECO</t>
  </si>
  <si>
    <t xml:space="preserve">DESCRICAO</t>
  </si>
  <si>
    <t xml:space="preserve">secador1</t>
  </si>
  <si>
    <t xml:space="preserve">secador de cabelo</t>
  </si>
  <si>
    <t xml:space="preserve">secador2</t>
  </si>
  <si>
    <t xml:space="preserve">leandro</t>
  </si>
  <si>
    <t xml:space="preserve">escova</t>
  </si>
  <si>
    <t xml:space="preserve">secador5</t>
  </si>
  <si>
    <t xml:space="preserve">secador6</t>
  </si>
  <si>
    <t xml:space="preserve">secador7</t>
  </si>
  <si>
    <t xml:space="preserve">VALOR</t>
  </si>
  <si>
    <t xml:space="preserve">DESCRIÇÃO</t>
  </si>
  <si>
    <t xml:space="preserve">DAVERAGE</t>
  </si>
  <si>
    <t xml:space="preserve">dasds</t>
  </si>
  <si>
    <t xml:space="preserve">DCOUNT</t>
  </si>
  <si>
    <t xml:space="preserve">DCOUNTA</t>
  </si>
  <si>
    <t xml:space="preserve">ds</t>
  </si>
  <si>
    <t xml:space="preserve">DGET</t>
  </si>
  <si>
    <t xml:space="preserve">asd</t>
  </si>
  <si>
    <t xml:space="preserve">DMAX</t>
  </si>
  <si>
    <t xml:space="preserve">DMIN</t>
  </si>
  <si>
    <t xml:space="preserve">DPRODUCT</t>
  </si>
  <si>
    <t xml:space="preserve">DSTDEV</t>
  </si>
  <si>
    <t xml:space="preserve">DSTDEVP</t>
  </si>
  <si>
    <t xml:space="preserve">DSUM</t>
  </si>
  <si>
    <t xml:space="preserve">DVAR</t>
  </si>
  <si>
    <t xml:space="preserve">DVARP</t>
  </si>
  <si>
    <t xml:space="preserve">Pivot Table</t>
  </si>
  <si>
    <t xml:space="preserve">GETPIVOTDATA</t>
  </si>
  <si>
    <t xml:space="preserve">Conditions</t>
  </si>
  <si>
    <t xml:space="preserve">Foo</t>
  </si>
  <si>
    <t xml:space="preserve">Bar</t>
  </si>
  <si>
    <t xml:space="preserve">V8</t>
  </si>
  <si>
    <t xml:space="preserve">&gt;10</t>
  </si>
  <si>
    <t xml:space="preserve">&lt;16</t>
  </si>
  <si>
    <t xml:space="preserve">SM</t>
  </si>
  <si>
    <t xml:space="preserve">Data</t>
  </si>
  <si>
    <t xml:space="preserve">Baz</t>
  </si>
  <si>
    <t xml:space="preserve">Qux</t>
  </si>
  <si>
    <t xml:space="preserve">Sna</t>
  </si>
  <si>
    <t xml:space="preserve">Nitro</t>
  </si>
  <si>
    <t xml:space="preserve">V*</t>
  </si>
  <si>
    <t xml:space="preserve">Sum - Qux</t>
  </si>
  <si>
    <t xml:space="preserve">8 Result</t>
  </si>
  <si>
    <t xml:space="preserve">9 Result</t>
  </si>
  <si>
    <t xml:space="preserve">12 Result</t>
  </si>
  <si>
    <t xml:space="preserve">13 Result</t>
  </si>
  <si>
    <t xml:space="preserve">14 Result</t>
  </si>
  <si>
    <t xml:space="preserve">18 Result</t>
  </si>
  <si>
    <t xml:space="preserve">Total Result</t>
  </si>
  <si>
    <t xml:space="preserve">Core</t>
  </si>
  <si>
    <t xml:space="preserve">DATE</t>
  </si>
  <si>
    <t xml:space="preserve">DATEVALUE</t>
  </si>
  <si>
    <t xml:space="preserve">June 9, 1969</t>
  </si>
  <si>
    <t xml:space="preserve">TIME</t>
  </si>
  <si>
    <t xml:space="preserve">TIMEVALUE</t>
  </si>
  <si>
    <t xml:space="preserve">11:23:45 PM</t>
  </si>
  <si>
    <t xml:space="preserve">NOW</t>
  </si>
  <si>
    <t xml:space="preserve">TODAY</t>
  </si>
  <si>
    <t xml:space="preserve">Field Extraction</t>
  </si>
  <si>
    <t xml:space="preserve">YEAR</t>
  </si>
  <si>
    <t xml:space="preserve">MONTH</t>
  </si>
  <si>
    <t xml:space="preserve">DAY</t>
  </si>
  <si>
    <t xml:space="preserve">HOUR</t>
  </si>
  <si>
    <t xml:space="preserve">MINUTE</t>
  </si>
  <si>
    <t xml:space="preserve">SECOND</t>
  </si>
  <si>
    <t xml:space="preserve">WEEKDAY</t>
  </si>
  <si>
    <t xml:space="preserve">WEEKNUM</t>
  </si>
  <si>
    <t xml:space="preserve">Relative</t>
  </si>
  <si>
    <t xml:space="preserve">DATEDIF</t>
  </si>
  <si>
    <t xml:space="preserve">D</t>
  </si>
  <si>
    <t xml:space="preserve">DAYS360</t>
  </si>
  <si>
    <t xml:space="preserve">EDATE</t>
  </si>
  <si>
    <t xml:space="preserve">EOMONTH</t>
  </si>
  <si>
    <t xml:space="preserve">NETWORKDAYS</t>
  </si>
  <si>
    <t xml:space="preserve">NETWORKDAYS.INTL</t>
  </si>
  <si>
    <t xml:space="preserve">WORKDAY</t>
  </si>
  <si>
    <t xml:space="preserve">WORKDAY.INTL</t>
  </si>
  <si>
    <t xml:space="preserve">YEARFRAC</t>
  </si>
  <si>
    <t xml:space="preserve">Bessel</t>
  </si>
  <si>
    <t xml:space="preserve">* FACTDOUBLE moved to Math</t>
  </si>
  <si>
    <t xml:space="preserve">BESSELI</t>
  </si>
  <si>
    <t xml:space="preserve">BESSELJ</t>
  </si>
  <si>
    <t xml:space="preserve">BESSELK</t>
  </si>
  <si>
    <t xml:space="preserve">BESSELY</t>
  </si>
  <si>
    <t xml:space="preserve">Error Function</t>
  </si>
  <si>
    <t xml:space="preserve">ERF</t>
  </si>
  <si>
    <t xml:space="preserve">ERF.PRECISE</t>
  </si>
  <si>
    <t xml:space="preserve">ERFC</t>
  </si>
  <si>
    <t xml:space="preserve">ERFC.PRECISE</t>
  </si>
  <si>
    <t xml:space="preserve">Conversion</t>
  </si>
  <si>
    <t xml:space="preserve">CONVERT</t>
  </si>
  <si>
    <t xml:space="preserve">K</t>
  </si>
  <si>
    <t xml:space="preserve">C</t>
  </si>
  <si>
    <t xml:space="preserve">BIN2DEC</t>
  </si>
  <si>
    <t xml:space="preserve">BIN2HEX</t>
  </si>
  <si>
    <t xml:space="preserve">BIN2OCT</t>
  </si>
  <si>
    <t xml:space="preserve">DEC2BIN</t>
  </si>
  <si>
    <t xml:space="preserve">DEC2HEX</t>
  </si>
  <si>
    <t xml:space="preserve">DEC2OCT</t>
  </si>
  <si>
    <t xml:space="preserve">OCT2BIN</t>
  </si>
  <si>
    <t xml:space="preserve">OCT2DEC</t>
  </si>
  <si>
    <t xml:space="preserve">OCT2HEX</t>
  </si>
  <si>
    <t xml:space="preserve">HEX2BIN</t>
  </si>
  <si>
    <t xml:space="preserve">HEX2DEC</t>
  </si>
  <si>
    <t xml:space="preserve">HEX2OCT</t>
  </si>
  <si>
    <t xml:space="preserve">Dirac and Heaviside</t>
  </si>
  <si>
    <t xml:space="preserve">DELTA</t>
  </si>
  <si>
    <t xml:space="preserve">GESTEP</t>
  </si>
  <si>
    <t xml:space="preserve">Complex</t>
  </si>
  <si>
    <t xml:space="preserve">COMPLEX</t>
  </si>
  <si>
    <t xml:space="preserve">IMABS</t>
  </si>
  <si>
    <t xml:space="preserve">IMAGINARY</t>
  </si>
  <si>
    <t xml:space="preserve">IMARGUMENT</t>
  </si>
  <si>
    <t xml:space="preserve">IMCONJUGATE</t>
  </si>
  <si>
    <t xml:space="preserve">IMCOS</t>
  </si>
  <si>
    <t xml:space="preserve">IMDIV</t>
  </si>
  <si>
    <t xml:space="preserve">IMEXP</t>
  </si>
  <si>
    <t xml:space="preserve">IMLN</t>
  </si>
  <si>
    <t xml:space="preserve">IMLOG10</t>
  </si>
  <si>
    <t xml:space="preserve">IMLOG2</t>
  </si>
  <si>
    <t xml:space="preserve">IMPOWER</t>
  </si>
  <si>
    <t xml:space="preserve">IMPRODUCT</t>
  </si>
  <si>
    <t xml:space="preserve">IMREAL</t>
  </si>
  <si>
    <t xml:space="preserve">IMSIN</t>
  </si>
  <si>
    <t xml:space="preserve">IMSQRT</t>
  </si>
  <si>
    <t xml:space="preserve">IMSUB</t>
  </si>
  <si>
    <t xml:space="preserve">IMSUM</t>
  </si>
  <si>
    <t xml:space="preserve">DOLLARDE </t>
  </si>
  <si>
    <t xml:space="preserve">DOLLARFR </t>
  </si>
  <si>
    <t xml:space="preserve">EFFECT </t>
  </si>
  <si>
    <t xml:space="preserve">NOMINAL </t>
  </si>
  <si>
    <t xml:space="preserve">Cash Flows</t>
  </si>
  <si>
    <t xml:space="preserve">IRR </t>
  </si>
  <si>
    <t xml:space="preserve">MIRR </t>
  </si>
  <si>
    <t xml:space="preserve">NPV </t>
  </si>
  <si>
    <t xml:space="preserve">XIRR </t>
  </si>
  <si>
    <t xml:space="preserve">XNPV </t>
  </si>
  <si>
    <t xml:space="preserve">FVSCHEDULE </t>
  </si>
  <si>
    <t xml:space="preserve">Annuities</t>
  </si>
  <si>
    <t xml:space="preserve">rate</t>
  </si>
  <si>
    <t xml:space="preserve">nper</t>
  </si>
  <si>
    <t xml:space="preserve">pmt</t>
  </si>
  <si>
    <t xml:space="preserve">pv</t>
  </si>
  <si>
    <t xml:space="preserve">FV </t>
  </si>
  <si>
    <t xml:space="preserve">IPMT </t>
  </si>
  <si>
    <t xml:space="preserve">ISPMT </t>
  </si>
  <si>
    <t xml:space="preserve">NPER </t>
  </si>
  <si>
    <t xml:space="preserve">PMT </t>
  </si>
  <si>
    <t xml:space="preserve">PPMT </t>
  </si>
  <si>
    <t xml:space="preserve">PV </t>
  </si>
  <si>
    <t xml:space="preserve">RATE </t>
  </si>
  <si>
    <t xml:space="preserve">CUMIPMT </t>
  </si>
  <si>
    <t xml:space="preserve">CUMPRINC </t>
  </si>
  <si>
    <t xml:space="preserve">Securities</t>
  </si>
  <si>
    <t xml:space="preserve">settlement</t>
  </si>
  <si>
    <t xml:space="preserve">maturity</t>
  </si>
  <si>
    <t xml:space="preserve">discount</t>
  </si>
  <si>
    <t xml:space="preserve">pr</t>
  </si>
  <si>
    <t xml:space="preserve">redemption</t>
  </si>
  <si>
    <t xml:space="preserve">TBILLEQ </t>
  </si>
  <si>
    <t xml:space="preserve">TBILLPRICE </t>
  </si>
  <si>
    <t xml:space="preserve">TBILLYIELD </t>
  </si>
  <si>
    <t xml:space="preserve">PRICE </t>
  </si>
  <si>
    <t xml:space="preserve">YIELD </t>
  </si>
  <si>
    <t xml:space="preserve">DISC </t>
  </si>
  <si>
    <t xml:space="preserve">PRICEDISC </t>
  </si>
  <si>
    <t xml:space="preserve">YIELDDISC </t>
  </si>
  <si>
    <t xml:space="preserve">PRICEMAT </t>
  </si>
  <si>
    <t xml:space="preserve">YIELDMAT </t>
  </si>
  <si>
    <t xml:space="preserve">DURATION </t>
  </si>
  <si>
    <t xml:space="preserve">MDURATION </t>
  </si>
  <si>
    <t xml:space="preserve">ACCRINT </t>
  </si>
  <si>
    <t xml:space="preserve">ACCRINTM </t>
  </si>
  <si>
    <t xml:space="preserve">INTRATE </t>
  </si>
  <si>
    <t xml:space="preserve">RECEIVED </t>
  </si>
  <si>
    <t xml:space="preserve">ODDFPRICE </t>
  </si>
  <si>
    <t xml:space="preserve">ODDFYIELD </t>
  </si>
  <si>
    <t xml:space="preserve">ODDLPRICE </t>
  </si>
  <si>
    <t xml:space="preserve">ODDLYIELD </t>
  </si>
  <si>
    <t xml:space="preserve">COUPDAYBS </t>
  </si>
  <si>
    <t xml:space="preserve">COUPDAYS </t>
  </si>
  <si>
    <t xml:space="preserve">COUPDAYSNC </t>
  </si>
  <si>
    <t xml:space="preserve">COUPNCD </t>
  </si>
  <si>
    <t xml:space="preserve">COUPNUM </t>
  </si>
  <si>
    <t xml:space="preserve">COUPPCD </t>
  </si>
  <si>
    <t xml:space="preserve">Depreciation</t>
  </si>
  <si>
    <t xml:space="preserve">cost</t>
  </si>
  <si>
    <t xml:space="preserve">salvage</t>
  </si>
  <si>
    <t xml:space="preserve">life</t>
  </si>
  <si>
    <t xml:space="preserve">period</t>
  </si>
  <si>
    <t xml:space="preserve">DB </t>
  </si>
  <si>
    <t xml:space="preserve">DDB </t>
  </si>
  <si>
    <t xml:space="preserve">SLN </t>
  </si>
  <si>
    <t xml:space="preserve">SYD </t>
  </si>
  <si>
    <t xml:space="preserve">VDB </t>
  </si>
  <si>
    <t xml:space="preserve">datepurc</t>
  </si>
  <si>
    <t xml:space="preserve">datefirst</t>
  </si>
  <si>
    <t xml:space="preserve">AMORDEGRC </t>
  </si>
  <si>
    <t xml:space="preserve">AMORLINC </t>
  </si>
  <si>
    <t xml:space="preserve">CELL</t>
  </si>
  <si>
    <t xml:space="preserve">address</t>
  </si>
  <si>
    <t xml:space="preserve">ERROR.TYPE</t>
  </si>
  <si>
    <t xml:space="preserve">INFO</t>
  </si>
  <si>
    <t xml:space="preserve">release</t>
  </si>
  <si>
    <t xml:space="preserve">ISBLANK</t>
  </si>
  <si>
    <t xml:space="preserve">ISERR</t>
  </si>
  <si>
    <t xml:space="preserve">ISERROR</t>
  </si>
  <si>
    <t xml:space="preserve">ISEVEN</t>
  </si>
  <si>
    <t xml:space="preserve">ISLOGICAL</t>
  </si>
  <si>
    <t xml:space="preserve">ISNA</t>
  </si>
  <si>
    <t xml:space="preserve">ISNONTEXT</t>
  </si>
  <si>
    <t xml:space="preserve">ISNUMBER</t>
  </si>
  <si>
    <t xml:space="preserve">3</t>
  </si>
  <si>
    <t xml:space="preserve">ISODD</t>
  </si>
  <si>
    <t xml:space="preserve">ISREF</t>
  </si>
  <si>
    <t xml:space="preserve">A5</t>
  </si>
  <si>
    <t xml:space="preserve">ISTEXT</t>
  </si>
  <si>
    <t xml:space="preserve">N</t>
  </si>
  <si>
    <t xml:space="preserve">NA</t>
  </si>
  <si>
    <t xml:space="preserve">TYPE</t>
  </si>
  <si>
    <t xml:space="preserve">Singletons</t>
  </si>
  <si>
    <t xml:space="preserve">FALSE</t>
  </si>
  <si>
    <t xml:space="preserve">TRUE</t>
  </si>
  <si>
    <t xml:space="preserve">Operators</t>
  </si>
  <si>
    <t xml:space="preserve">AND</t>
  </si>
  <si>
    <t xml:space="preserve">NOT</t>
  </si>
  <si>
    <t xml:space="preserve">OR</t>
  </si>
  <si>
    <t xml:space="preserve">Conditionals</t>
  </si>
  <si>
    <t xml:space="preserve">IF</t>
  </si>
  <si>
    <t xml:space="preserve">IFERROR</t>
  </si>
  <si>
    <t xml:space="preserve">Reference Info</t>
  </si>
  <si>
    <t xml:space="preserve">COLUMN</t>
  </si>
  <si>
    <t xml:space="preserve">ROW</t>
  </si>
  <si>
    <t xml:space="preserve">COLUMNS</t>
  </si>
  <si>
    <t xml:space="preserve">ROWS</t>
  </si>
  <si>
    <t xml:space="preserve">INDIRECT</t>
  </si>
  <si>
    <t xml:space="preserve">A10</t>
  </si>
  <si>
    <t xml:space="preserve">AREAS</t>
  </si>
  <si>
    <t xml:space="preserve">ADDRESS</t>
  </si>
  <si>
    <t xml:space="preserve">OFFSET</t>
  </si>
  <si>
    <t xml:space="preserve">C14</t>
  </si>
  <si>
    <t xml:space="preserve">Lookup</t>
  </si>
  <si>
    <t xml:space="preserve">CHOOSE</t>
  </si>
  <si>
    <t xml:space="preserve">HLOOKUP</t>
  </si>
  <si>
    <t xml:space="preserve">INDEX (ref)</t>
  </si>
  <si>
    <t xml:space="preserve">INDEX (arr)</t>
  </si>
  <si>
    <t xml:space="preserve">LOOKUP (ref)</t>
  </si>
  <si>
    <t xml:space="preserve">NIGGLER</t>
  </si>
  <si>
    <t xml:space="preserve">LOOKUP (arr)</t>
  </si>
  <si>
    <t xml:space="preserve">MATCH</t>
  </si>
  <si>
    <t xml:space="preserve">VLOOKUP</t>
  </si>
  <si>
    <t xml:space="preserve">HYPERLINK</t>
  </si>
  <si>
    <t xml:space="preserve">Array Formula</t>
  </si>
  <si>
    <t xml:space="preserve">TRANSPOSE</t>
  </si>
  <si>
    <t xml:space="preserve">ABS</t>
  </si>
  <si>
    <t xml:space="preserve">ACOS</t>
  </si>
  <si>
    <t xml:space="preserve">ACOSH</t>
  </si>
  <si>
    <t xml:space="preserve">AGGREGATE</t>
  </si>
  <si>
    <t xml:space="preserve">ASIN</t>
  </si>
  <si>
    <t xml:space="preserve">ASINH</t>
  </si>
  <si>
    <t xml:space="preserve">ATAN</t>
  </si>
  <si>
    <t xml:space="preserve">ATAN2</t>
  </si>
  <si>
    <t xml:space="preserve">ATANH</t>
  </si>
  <si>
    <t xml:space="preserve">CEILING</t>
  </si>
  <si>
    <t xml:space="preserve">CEILING.PRECISE</t>
  </si>
  <si>
    <t xml:space="preserve">COMBIN</t>
  </si>
  <si>
    <t xml:space="preserve">COS</t>
  </si>
  <si>
    <t xml:space="preserve">COSH</t>
  </si>
  <si>
    <t xml:space="preserve">DEGREES</t>
  </si>
  <si>
    <t xml:space="preserve">ECMA.CEILING</t>
  </si>
  <si>
    <t xml:space="preserve">* not mentioned in summary</t>
  </si>
  <si>
    <t xml:space="preserve">EVEN</t>
  </si>
  <si>
    <t xml:space="preserve">EXP</t>
  </si>
  <si>
    <t xml:space="preserve">FACT</t>
  </si>
  <si>
    <t xml:space="preserve">FACTDOUBLE</t>
  </si>
  <si>
    <t xml:space="preserve">* originally in engineering</t>
  </si>
  <si>
    <t xml:space="preserve">FLOOR</t>
  </si>
  <si>
    <t xml:space="preserve">FLOOR.PRECISE</t>
  </si>
  <si>
    <t xml:space="preserve">GAMMALN</t>
  </si>
  <si>
    <t xml:space="preserve">* originally in statistical</t>
  </si>
  <si>
    <t xml:space="preserve">GAMMALN.PRECISE</t>
  </si>
  <si>
    <t xml:space="preserve">GCD</t>
  </si>
  <si>
    <t xml:space="preserve">INT</t>
  </si>
  <si>
    <t xml:space="preserve">ISO.CEILING</t>
  </si>
  <si>
    <t xml:space="preserve">LCM</t>
  </si>
  <si>
    <t xml:space="preserve">LN</t>
  </si>
  <si>
    <t xml:space="preserve">LOG</t>
  </si>
  <si>
    <t xml:space="preserve">LOG10</t>
  </si>
  <si>
    <t xml:space="preserve">MDETERM</t>
  </si>
  <si>
    <t xml:space="preserve">MINVERSE</t>
  </si>
  <si>
    <t xml:space="preserve">MMULT</t>
  </si>
  <si>
    <t xml:space="preserve">MOD</t>
  </si>
  <si>
    <t xml:space="preserve">MROUND</t>
  </si>
  <si>
    <t xml:space="preserve">MULTINOMIAL</t>
  </si>
  <si>
    <t xml:space="preserve">ODD</t>
  </si>
  <si>
    <t xml:space="preserve">PERMUT</t>
  </si>
  <si>
    <t xml:space="preserve">PI</t>
  </si>
  <si>
    <t xml:space="preserve">POWER</t>
  </si>
  <si>
    <t xml:space="preserve">PRODUCT</t>
  </si>
  <si>
    <t xml:space="preserve">QUOTIENT</t>
  </si>
  <si>
    <t xml:space="preserve">RADIANS</t>
  </si>
  <si>
    <t xml:space="preserve">RAND</t>
  </si>
  <si>
    <t xml:space="preserve">RANDBETWEEN</t>
  </si>
  <si>
    <t xml:space="preserve">ROMAN</t>
  </si>
  <si>
    <t xml:space="preserve">ROUND</t>
  </si>
  <si>
    <t xml:space="preserve">ROUNDDOWN</t>
  </si>
  <si>
    <t xml:space="preserve">ROUNDUP</t>
  </si>
  <si>
    <t xml:space="preserve">SERIESSUM</t>
  </si>
  <si>
    <t xml:space="preserve">SIGN</t>
  </si>
  <si>
    <t xml:space="preserve">SIN</t>
  </si>
  <si>
    <t xml:space="preserve">SINH</t>
  </si>
  <si>
    <t xml:space="preserve">SQRT</t>
  </si>
  <si>
    <t xml:space="preserve">SQRTPI</t>
  </si>
  <si>
    <t xml:space="preserve">STANDARDIZE</t>
  </si>
  <si>
    <t xml:space="preserve">SUBTOTAL</t>
  </si>
  <si>
    <t xml:space="preserve">SUM</t>
  </si>
  <si>
    <t xml:space="preserve">SUMIF</t>
  </si>
  <si>
    <t xml:space="preserve">SUMIFS</t>
  </si>
  <si>
    <t xml:space="preserve">SUMPRODUCT</t>
  </si>
  <si>
    <t xml:space="preserve">SUMSQ</t>
  </si>
  <si>
    <t xml:space="preserve">SUMX2MY2</t>
  </si>
  <si>
    <t xml:space="preserve">SUMX2PY2</t>
  </si>
  <si>
    <t xml:space="preserve">SUMXMY2</t>
  </si>
  <si>
    <t xml:space="preserve">TAN</t>
  </si>
  <si>
    <t xml:space="preserve">TANH</t>
  </si>
  <si>
    <t xml:space="preserve">TRUNC</t>
  </si>
  <si>
    <t xml:space="preserve">Distributions</t>
  </si>
  <si>
    <t xml:space="preserve">BETA.DIST</t>
  </si>
  <si>
    <t xml:space="preserve">BETA.INV</t>
  </si>
  <si>
    <t xml:space="preserve">BETADIST</t>
  </si>
  <si>
    <t xml:space="preserve">BETAINV</t>
  </si>
  <si>
    <t xml:space="preserve">BINOM.DIST</t>
  </si>
  <si>
    <t xml:space="preserve">BINOM.INV</t>
  </si>
  <si>
    <t xml:space="preserve">BINOMDIST</t>
  </si>
  <si>
    <t xml:space="preserve">CHIDIST</t>
  </si>
  <si>
    <t xml:space="preserve">CHIINV</t>
  </si>
  <si>
    <t xml:space="preserve">CHISQ.DIST</t>
  </si>
  <si>
    <t xml:space="preserve">CHISQ.DIST.RT</t>
  </si>
  <si>
    <t xml:space="preserve">CHISQ.INV</t>
  </si>
  <si>
    <t xml:space="preserve">CHISQ.INV.RT</t>
  </si>
  <si>
    <t xml:space="preserve">CONFIDENCE</t>
  </si>
  <si>
    <t xml:space="preserve">CONFIDENCE.NORM</t>
  </si>
  <si>
    <t xml:space="preserve">CONFIDENCE.T</t>
  </si>
  <si>
    <t xml:space="preserve">CRITBINOM</t>
  </si>
  <si>
    <t xml:space="preserve">EXPON.DIST</t>
  </si>
  <si>
    <t xml:space="preserve">EXPONDIST</t>
  </si>
  <si>
    <t xml:space="preserve">F.DIST</t>
  </si>
  <si>
    <t xml:space="preserve">F.DIST.RT</t>
  </si>
  <si>
    <t xml:space="preserve">F.INV</t>
  </si>
  <si>
    <t xml:space="preserve">F.INV.RT</t>
  </si>
  <si>
    <t xml:space="preserve">FDIST</t>
  </si>
  <si>
    <t xml:space="preserve">FINV</t>
  </si>
  <si>
    <t xml:space="preserve">FISHER</t>
  </si>
  <si>
    <t xml:space="preserve">FISHERINV</t>
  </si>
  <si>
    <t xml:space="preserve">GAMMA.DIST</t>
  </si>
  <si>
    <t xml:space="preserve">GAMMA.INV</t>
  </si>
  <si>
    <t xml:space="preserve">GAMMADIST</t>
  </si>
  <si>
    <t xml:space="preserve">GAMMAINV</t>
  </si>
  <si>
    <t xml:space="preserve">HYPGEOM.DIST</t>
  </si>
  <si>
    <t xml:space="preserve">HYPGEOMDIST</t>
  </si>
  <si>
    <t xml:space="preserve">LOGINV</t>
  </si>
  <si>
    <t xml:space="preserve">LOGNORM.DIST</t>
  </si>
  <si>
    <t xml:space="preserve">LOGNORM.INV</t>
  </si>
  <si>
    <t xml:space="preserve">LOGNORMDIST</t>
  </si>
  <si>
    <t xml:space="preserve">NEGBINOM.DIST</t>
  </si>
  <si>
    <t xml:space="preserve">NEGBINOMDIST</t>
  </si>
  <si>
    <t xml:space="preserve">NORM.DIST</t>
  </si>
  <si>
    <t xml:space="preserve">NORM.INV</t>
  </si>
  <si>
    <t xml:space="preserve">NORM.S.DIST</t>
  </si>
  <si>
    <t xml:space="preserve">NORM.S.INV</t>
  </si>
  <si>
    <t xml:space="preserve">NORMDIST</t>
  </si>
  <si>
    <t xml:space="preserve">NORMINV</t>
  </si>
  <si>
    <t xml:space="preserve">NORMSDIST</t>
  </si>
  <si>
    <t xml:space="preserve">NORMSINV</t>
  </si>
  <si>
    <t xml:space="preserve">POISSON</t>
  </si>
  <si>
    <t xml:space="preserve">POISSON.DIST</t>
  </si>
  <si>
    <t xml:space="preserve">T.DIST</t>
  </si>
  <si>
    <t xml:space="preserve">T.DIST.2T</t>
  </si>
  <si>
    <t xml:space="preserve">T.DIST.RT</t>
  </si>
  <si>
    <t xml:space="preserve">T.INV</t>
  </si>
  <si>
    <t xml:space="preserve">T.INV.2T</t>
  </si>
  <si>
    <t xml:space="preserve">TDIST</t>
  </si>
  <si>
    <t xml:space="preserve">TINV</t>
  </si>
  <si>
    <t xml:space="preserve">WEIBULL</t>
  </si>
  <si>
    <t xml:space="preserve">WEIBULL.DIST</t>
  </si>
  <si>
    <t xml:space="preserve">Descriptive Statistics</t>
  </si>
  <si>
    <t xml:space="preserve">AVEDEV</t>
  </si>
  <si>
    <t xml:space="preserve">AVERAGE</t>
  </si>
  <si>
    <t xml:space="preserve">AVERAGEA</t>
  </si>
  <si>
    <t xml:space="preserve">AVERAGEIF</t>
  </si>
  <si>
    <t xml:space="preserve">&lt;10</t>
  </si>
  <si>
    <t xml:space="preserve">AVERAGEIFS</t>
  </si>
  <si>
    <t xml:space="preserve">CORREL</t>
  </si>
  <si>
    <t xml:space="preserve">COUNT</t>
  </si>
  <si>
    <t xml:space="preserve">COUNTA</t>
  </si>
  <si>
    <t xml:space="preserve">COUNTBLANK</t>
  </si>
  <si>
    <t xml:space="preserve">COUNTIF</t>
  </si>
  <si>
    <t xml:space="preserve">COUNTIFS</t>
  </si>
  <si>
    <t xml:space="preserve">&lt;30</t>
  </si>
  <si>
    <t xml:space="preserve">COVAR</t>
  </si>
  <si>
    <t xml:space="preserve">COVARIANCE.P</t>
  </si>
  <si>
    <t xml:space="preserve">COVARIANCE.S</t>
  </si>
  <si>
    <t xml:space="preserve">DEVSQ</t>
  </si>
  <si>
    <t xml:space="preserve">GEOMEAN</t>
  </si>
  <si>
    <t xml:space="preserve">HARMEAN</t>
  </si>
  <si>
    <t xml:space="preserve">KURT</t>
  </si>
  <si>
    <t xml:space="preserve">LARGE</t>
  </si>
  <si>
    <t xml:space="preserve">MAX</t>
  </si>
  <si>
    <t xml:space="preserve">MAXA</t>
  </si>
  <si>
    <t xml:space="preserve">MEDIAN</t>
  </si>
  <si>
    <t xml:space="preserve">MIN</t>
  </si>
  <si>
    <t xml:space="preserve">MINA</t>
  </si>
  <si>
    <t xml:space="preserve">MODE</t>
  </si>
  <si>
    <t xml:space="preserve">MODE.MULT</t>
  </si>
  <si>
    <t xml:space="preserve">MODE.SNGL</t>
  </si>
  <si>
    <t xml:space="preserve">PERCENTILE</t>
  </si>
  <si>
    <t xml:space="preserve">PERCENTILE.EXC</t>
  </si>
  <si>
    <t xml:space="preserve">PERCENTILE.INC</t>
  </si>
  <si>
    <t xml:space="preserve">PERCENTRANK</t>
  </si>
  <si>
    <t xml:space="preserve">PERCENTRANK.EXC</t>
  </si>
  <si>
    <t xml:space="preserve">PERCENTRANK.INC</t>
  </si>
  <si>
    <t xml:space="preserve">QUARTILE</t>
  </si>
  <si>
    <t xml:space="preserve">QUARTILE.EXC</t>
  </si>
  <si>
    <t xml:space="preserve">QUARTILE.INC</t>
  </si>
  <si>
    <t xml:space="preserve">RANK</t>
  </si>
  <si>
    <t xml:space="preserve">RANK(2,{4,6,8,7,5,3,1,2},2)</t>
  </si>
  <si>
    <t xml:space="preserve">RANK.AVG</t>
  </si>
  <si>
    <t xml:space="preserve">* note that the docs say you can specify an array</t>
  </si>
  <si>
    <t xml:space="preserve">RANK.EQ</t>
  </si>
  <si>
    <t xml:space="preserve">* but it appears that excel 2011 falters on those</t>
  </si>
  <si>
    <t xml:space="preserve">SKEW</t>
  </si>
  <si>
    <t xml:space="preserve">SMALL</t>
  </si>
  <si>
    <t xml:space="preserve">STDEV</t>
  </si>
  <si>
    <t xml:space="preserve">STDEV.P</t>
  </si>
  <si>
    <t xml:space="preserve">STDEV.S</t>
  </si>
  <si>
    <t xml:space="preserve">STDEVA</t>
  </si>
  <si>
    <t xml:space="preserve">STDEVP</t>
  </si>
  <si>
    <t xml:space="preserve">STDEVPA</t>
  </si>
  <si>
    <t xml:space="preserve">TRIMMEAN</t>
  </si>
  <si>
    <t xml:space="preserve">VAR</t>
  </si>
  <si>
    <t xml:space="preserve">VAR.P</t>
  </si>
  <si>
    <t xml:space="preserve">VAR.S</t>
  </si>
  <si>
    <t xml:space="preserve">VARA</t>
  </si>
  <si>
    <t xml:space="preserve">VARP</t>
  </si>
  <si>
    <t xml:space="preserve">VARPA</t>
  </si>
  <si>
    <t xml:space="preserve">Statistical Tests</t>
  </si>
  <si>
    <t xml:space="preserve">CHISQ.TEST</t>
  </si>
  <si>
    <t xml:space="preserve">CHITEST</t>
  </si>
  <si>
    <t xml:space="preserve">F.TEST</t>
  </si>
  <si>
    <t xml:space="preserve">FTEST</t>
  </si>
  <si>
    <t xml:space="preserve">T.TEST</t>
  </si>
  <si>
    <t xml:space="preserve">TTEST</t>
  </si>
  <si>
    <t xml:space="preserve">Z.TEST</t>
  </si>
  <si>
    <t xml:space="preserve">ZTEST</t>
  </si>
  <si>
    <t xml:space="preserve">Regression and Friends</t>
  </si>
  <si>
    <t xml:space="preserve">FORECAST</t>
  </si>
  <si>
    <t xml:space="preserve">FREQUENCY</t>
  </si>
  <si>
    <t xml:space="preserve">GROWTH</t>
  </si>
  <si>
    <t xml:space="preserve">INTERCEPT</t>
  </si>
  <si>
    <t xml:space="preserve">PROB</t>
  </si>
  <si>
    <t xml:space="preserve">PEARSON</t>
  </si>
  <si>
    <t xml:space="preserve">RSQ</t>
  </si>
  <si>
    <t xml:space="preserve">SLOPE</t>
  </si>
  <si>
    <t xml:space="preserve">STEYX</t>
  </si>
  <si>
    <t xml:space="preserve">LINEST (n+1 by 5)</t>
  </si>
  <si>
    <t xml:space="preserve">LOGEST (n+1 by 5)</t>
  </si>
  <si>
    <t xml:space="preserve">LINEST</t>
  </si>
  <si>
    <t xml:space="preserve">LOGEST</t>
  </si>
  <si>
    <t xml:space="preserve">TREND</t>
  </si>
  <si>
    <t xml:space="preserve">CONCATENATE</t>
  </si>
  <si>
    <t xml:space="preserve">bar</t>
  </si>
  <si>
    <t xml:space="preserve">baz</t>
  </si>
  <si>
    <t xml:space="preserve">qux</t>
  </si>
  <si>
    <t xml:space="preserve">EXACT</t>
  </si>
  <si>
    <t xml:space="preserve">foo</t>
  </si>
  <si>
    <t xml:space="preserve">LEN</t>
  </si>
  <si>
    <t xml:space="preserve">foo bar baz qux</t>
  </si>
  <si>
    <t xml:space="preserve">LENB</t>
  </si>
  <si>
    <t xml:space="preserve">Casing</t>
  </si>
  <si>
    <t xml:space="preserve">LOWER</t>
  </si>
  <si>
    <t xml:space="preserve">foo bAR BAZ Qux</t>
  </si>
  <si>
    <t xml:space="preserve">PROPER</t>
  </si>
  <si>
    <t xml:space="preserve">UPPER</t>
  </si>
  <si>
    <t xml:space="preserve">Formatting</t>
  </si>
  <si>
    <t xml:space="preserve">DOLLAR</t>
  </si>
  <si>
    <t xml:space="preserve">FIXED</t>
  </si>
  <si>
    <t xml:space="preserve">TEXT</t>
  </si>
  <si>
    <t xml:space="preserve">ee-mm-dd</t>
  </si>
  <si>
    <t xml:space="preserve">T</t>
  </si>
  <si>
    <t xml:space="preserve">VALUE</t>
  </si>
  <si>
    <t xml:space="preserve">12</t>
  </si>
  <si>
    <t xml:space="preserve">Codepoints</t>
  </si>
  <si>
    <t xml:space="preserve">CHAR</t>
  </si>
  <si>
    <t xml:space="preserve">CODE</t>
  </si>
  <si>
    <t xml:space="preserve"></t>
  </si>
  <si>
    <t xml:space="preserve">Extracting Text</t>
  </si>
  <si>
    <t xml:space="preserve">LEFT</t>
  </si>
  <si>
    <t xml:space="preserve">LEFTB</t>
  </si>
  <si>
    <t xml:space="preserve">MID</t>
  </si>
  <si>
    <t xml:space="preserve">MIDB</t>
  </si>
  <si>
    <t xml:space="preserve">RIGHT</t>
  </si>
  <si>
    <t xml:space="preserve">RIGHTB</t>
  </si>
  <si>
    <t xml:space="preserve">Searching</t>
  </si>
  <si>
    <t xml:space="preserve">FIND</t>
  </si>
  <si>
    <t xml:space="preserve">b</t>
  </si>
  <si>
    <t xml:space="preserve">foo Bar baz qux</t>
  </si>
  <si>
    <t xml:space="preserve">FINDB</t>
  </si>
  <si>
    <t xml:space="preserve">SEARCH</t>
  </si>
  <si>
    <t xml:space="preserve">SEARCHB</t>
  </si>
  <si>
    <t xml:space="preserve">Manipulating Text</t>
  </si>
  <si>
    <t xml:space="preserve">CLEAN</t>
  </si>
  <si>
    <t xml:space="preserve">REPT</t>
  </si>
  <si>
    <t xml:space="preserve">badger</t>
  </si>
  <si>
    <t xml:space="preserve">REPLACE</t>
  </si>
  <si>
    <t xml:space="preserve"> FOO</t>
  </si>
  <si>
    <t xml:space="preserve">REPLACEB</t>
  </si>
  <si>
    <t xml:space="preserve">SUBSTITUTE</t>
  </si>
  <si>
    <t xml:space="preserve">a</t>
  </si>
  <si>
    <t xml:space="preserve">o</t>
  </si>
  <si>
    <t xml:space="preserve">TRIM</t>
  </si>
  <si>
    <t xml:space="preserve">  there are two spaces here  </t>
  </si>
  <si>
    <t xml:space="preserve">Asian Features</t>
  </si>
  <si>
    <t xml:space="preserve">ASC</t>
  </si>
  <si>
    <t xml:space="preserve">PHONETIC</t>
  </si>
  <si>
    <t xml:space="preserve">JIS</t>
  </si>
  <si>
    <t xml:space="preserve">YEN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</si>
</sst>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/D/YYYY"/>
    <numFmt numFmtId="166" formatCode="H:MM\ AM/PM"/>
    <numFmt numFmtId="167" formatCode="H:MM:SS\ AM/PM"/>
    <numFmt numFmtId="168" formatCode="M/D/YYYY\ H:MM"/>
    <numFmt numFmtId="169" formatCode="0.00%"/>
    <numFmt numFmtId="170" formatCode="0%"/>
    <numFmt numFmtId="171" formatCode="\$#,##0.00_);[RED]&quot;($&quot;#,##0.00\)"/>
    <numFmt numFmtId="172" formatCode="D\-MMM\-YY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2"/>
      <color rgb="FF0000FF"/>
      <name val="Calibri"/>
      <family val="0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24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4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6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1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4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5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6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1" builtinId="53" customBuiltin="true"/>
    <cellStyle name="Pivot Table Value" xfId="22" builtinId="53" customBuiltin="true"/>
    <cellStyle name="Pivot Table Field" xfId="23" builtinId="53" customBuiltin="true"/>
    <cellStyle name="Pivot Table Category" xfId="24" builtinId="53" customBuiltin="true"/>
    <cellStyle name="Pivot Table Title" xfId="25" builtinId="53" customBuiltin="true"/>
    <cellStyle name="Pivot Table Result" xfId="26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Relationship Id="rId14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6" createdVersion="3">
  <cacheSource type="worksheet">
    <worksheetSource ref="A24:E30" sheet="Database"/>
  </cacheSource>
  <cacheFields count="5">
    <cacheField name="Foo" numFmtId="0">
      <sharedItems count="4">
        <s v="Nitro"/>
        <s v="SM"/>
        <s v="V*"/>
        <s v="V8"/>
      </sharedItems>
    </cacheField>
    <cacheField name="Bar" numFmtId="0">
      <sharedItems containsSemiMixedTypes="0" containsString="0" containsNumber="1" containsInteger="1" minValue="8" maxValue="18" count="6">
        <n v="8"/>
        <n v="9"/>
        <n v="12"/>
        <n v="13"/>
        <n v="14"/>
        <n v="18"/>
      </sharedItems>
    </cacheField>
    <cacheField name="Baz" numFmtId="0">
      <sharedItems containsSemiMixedTypes="0" containsString="0" containsNumber="1" containsInteger="1" minValue="8" maxValue="20" count="6">
        <n v="8"/>
        <n v="9"/>
        <n v="12"/>
        <n v="14"/>
        <n v="15"/>
        <n v="20"/>
      </sharedItems>
    </cacheField>
    <cacheField name="Qux" numFmtId="0">
      <sharedItems containsSemiMixedTypes="0" containsString="0" containsNumber="1" containsInteger="1" minValue="6" maxValue="14" count="5">
        <n v="6"/>
        <n v="8"/>
        <n v="9"/>
        <n v="10"/>
        <n v="14"/>
      </sharedItems>
    </cacheField>
    <cacheField name="Sna" numFmtId="0">
      <sharedItems containsSemiMixedTypes="0" containsString="0" containsNumber="1" minValue="45" maxValue="105" count="5">
        <n v="45"/>
        <n v="75"/>
        <n v="76.8"/>
        <n v="96"/>
        <n v="10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3"/>
    <x v="5"/>
    <x v="5"/>
    <x v="4"/>
    <x v="4"/>
  </r>
  <r>
    <x v="1"/>
    <x v="2"/>
    <x v="2"/>
    <x v="3"/>
    <x v="3"/>
  </r>
  <r>
    <x v="0"/>
    <x v="3"/>
    <x v="3"/>
    <x v="2"/>
    <x v="4"/>
  </r>
  <r>
    <x v="3"/>
    <x v="4"/>
    <x v="4"/>
    <x v="3"/>
    <x v="1"/>
  </r>
  <r>
    <x v="1"/>
    <x v="1"/>
    <x v="0"/>
    <x v="1"/>
    <x v="2"/>
  </r>
  <r>
    <x v="2"/>
    <x v="0"/>
    <x v="1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GPD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B32:P45" firstHeaderRow="1" firstDataRow="3" firstDataCol="2"/>
  <pivotFields count="5">
    <pivotField axis="axisRow" showAll="0" compact="0">
      <items count="5">
        <item x="0"/>
        <item x="1"/>
        <item x="2"/>
        <item x="3"/>
        <item t="default"/>
      </items>
    </pivotField>
    <pivotField axis="axisCol" showAll="0" compact="0">
      <items count="7">
        <item x="0"/>
        <item x="1"/>
        <item x="2"/>
        <item x="3"/>
        <item x="4"/>
        <item x="5"/>
        <item t="default"/>
      </items>
    </pivotField>
    <pivotField axis="axisRow" showAll="0" compact="0">
      <items count="7">
        <item x="0"/>
        <item x="1"/>
        <item x="2"/>
        <item x="3"/>
        <item x="4"/>
        <item x="5"/>
        <item t="default"/>
      </items>
    </pivotField>
    <pivotField dataField="1" showAll="0" compact="0"/>
    <pivotField axis="axisCol" showAll="0" compact="0">
      <items count="6">
        <item x="0"/>
        <item x="1"/>
        <item x="2"/>
        <item x="3"/>
        <item x="4"/>
        <item t="default"/>
      </items>
    </pivotField>
  </pivotFields>
  <rowFields count="2">
    <field x="0"/>
    <field x="2"/>
  </rowFields>
  <colFields count="2">
    <field x="1"/>
    <field x="4"/>
  </colFields>
  <dataFields count="1">
    <dataField fld="3" subtotal="sum"/>
  </dataFields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6.34"/>
    <col collapsed="false" customWidth="true" hidden="false" outlineLevel="0" max="2" min="2" style="0" width="15.73"/>
    <col collapsed="false" customWidth="true" hidden="false" outlineLevel="0" max="3" min="3" style="0" width="15.23"/>
    <col collapsed="false" customWidth="true" hidden="false" outlineLevel="0" max="4" min="4" style="0" width="42.46"/>
    <col collapsed="false" customWidth="true" hidden="false" outlineLevel="0" max="1025" min="5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" hidden="false" customHeight="true" outlineLevel="0" collapsed="false">
      <c r="A2" s="0" t="s">
        <v>4</v>
      </c>
      <c r="B2" s="0" t="n">
        <v>4</v>
      </c>
      <c r="C2" s="0" t="n">
        <v>25</v>
      </c>
      <c r="D2" s="0" t="s">
        <v>5</v>
      </c>
    </row>
    <row r="3" customFormat="false" ht="15" hidden="false" customHeight="false" outlineLevel="0" collapsed="false">
      <c r="A3" s="2" t="s">
        <v>6</v>
      </c>
      <c r="B3" s="2" t="n">
        <v>4</v>
      </c>
      <c r="C3" s="2" t="n">
        <v>25</v>
      </c>
      <c r="D3" s="2" t="s">
        <v>5</v>
      </c>
    </row>
    <row r="4" customFormat="false" ht="15" hidden="false" customHeight="false" outlineLevel="0" collapsed="false">
      <c r="A4" s="2" t="s">
        <v>7</v>
      </c>
      <c r="B4" s="2" t="n">
        <v>4</v>
      </c>
      <c r="C4" s="2" t="n">
        <v>25</v>
      </c>
      <c r="D4" s="2" t="s">
        <v>5</v>
      </c>
    </row>
    <row r="5" customFormat="false" ht="15" hidden="false" customHeight="false" outlineLevel="0" collapsed="false">
      <c r="A5" s="2" t="s">
        <v>8</v>
      </c>
      <c r="B5" s="2" t="n">
        <v>4</v>
      </c>
      <c r="C5" s="2" t="n">
        <v>25</v>
      </c>
      <c r="D5" s="2" t="s">
        <v>5</v>
      </c>
    </row>
    <row r="6" customFormat="false" ht="15" hidden="false" customHeight="false" outlineLevel="0" collapsed="false">
      <c r="A6" s="2" t="s">
        <v>9</v>
      </c>
      <c r="B6" s="2" t="n">
        <v>4</v>
      </c>
      <c r="C6" s="2" t="n">
        <v>25</v>
      </c>
      <c r="D6" s="2" t="s">
        <v>5</v>
      </c>
    </row>
    <row r="7" customFormat="false" ht="15" hidden="false" customHeight="false" outlineLevel="0" collapsed="false">
      <c r="A7" s="2" t="s">
        <v>10</v>
      </c>
      <c r="B7" s="2" t="n">
        <v>4</v>
      </c>
      <c r="C7" s="2" t="n">
        <v>25</v>
      </c>
      <c r="D7" s="2" t="s">
        <v>5</v>
      </c>
    </row>
    <row r="8" customFormat="false" ht="15" hidden="false" customHeight="false" outlineLevel="0" collapsed="false">
      <c r="A8" s="2" t="s">
        <v>11</v>
      </c>
      <c r="B8" s="2" t="n">
        <v>4</v>
      </c>
      <c r="C8" s="2" t="n">
        <v>25</v>
      </c>
      <c r="D8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0.49"/>
    <col collapsed="false" customWidth="true" hidden="false" outlineLevel="0" max="3" min="3" style="0" width="18.05"/>
    <col collapsed="false" customWidth="true" hidden="false" outlineLevel="0" max="1025" min="4" style="0" width="10.49"/>
  </cols>
  <sheetData>
    <row r="1" customFormat="false" ht="15" hidden="false" customHeight="false" outlineLevel="0" collapsed="false">
      <c r="A1" s="0" t="s">
        <v>0</v>
      </c>
      <c r="B1" s="0" t="s">
        <v>12</v>
      </c>
      <c r="C1" s="0" t="s">
        <v>1</v>
      </c>
      <c r="D1" s="0" t="s">
        <v>13</v>
      </c>
    </row>
    <row r="2" customFormat="false" ht="15" hidden="false" customHeight="false" outlineLevel="0" collapsed="false">
      <c r="A2" s="0" t="s">
        <v>14</v>
      </c>
      <c r="B2" s="0" t="e">
        <f aca="false">DAVERAGE(A24:E30,D2,A19:C21)</f>
        <v>#VALUE!</v>
      </c>
      <c r="C2" s="0" t="n">
        <v>1</v>
      </c>
      <c r="D2" s="0" t="s">
        <v>15</v>
      </c>
    </row>
    <row r="3" customFormat="false" ht="15" hidden="false" customHeight="false" outlineLevel="0" collapsed="false">
      <c r="A3" s="0" t="s">
        <v>16</v>
      </c>
      <c r="B3" s="0" t="e">
        <f aca="false">DCOUNT(A24:E30,D2,A19:C21)</f>
        <v>#VALUE!</v>
      </c>
      <c r="C3" s="0" t="n">
        <v>5</v>
      </c>
      <c r="D3" s="0" t="s">
        <v>15</v>
      </c>
    </row>
    <row r="4" customFormat="false" ht="15" hidden="false" customHeight="false" outlineLevel="0" collapsed="false">
      <c r="A4" s="0" t="s">
        <v>17</v>
      </c>
      <c r="B4" s="0" t="e">
        <f aca="false">DCOUNTA(A24:E30,D2,A19:C21)</f>
        <v>#VALUE!</v>
      </c>
      <c r="C4" s="0" t="n">
        <v>6</v>
      </c>
      <c r="D4" s="0" t="s">
        <v>18</v>
      </c>
    </row>
    <row r="5" customFormat="false" ht="15" hidden="false" customHeight="false" outlineLevel="0" collapsed="false">
      <c r="A5" s="0" t="s">
        <v>19</v>
      </c>
      <c r="B5" s="0" t="e">
        <f aca="false">DGET(A24:E30,D2,A19:C20)</f>
        <v>#VALUE!</v>
      </c>
      <c r="C5" s="0" t="n">
        <v>4</v>
      </c>
      <c r="D5" s="0" t="s">
        <v>20</v>
      </c>
    </row>
    <row r="6" customFormat="false" ht="15" hidden="false" customHeight="false" outlineLevel="0" collapsed="false">
      <c r="A6" s="0" t="s">
        <v>21</v>
      </c>
      <c r="B6" s="0" t="e">
        <f aca="false">DMAX(A24:E30,D2,A19:C21)</f>
        <v>#VALUE!</v>
      </c>
    </row>
    <row r="7" customFormat="false" ht="15" hidden="false" customHeight="false" outlineLevel="0" collapsed="false">
      <c r="A7" s="0" t="s">
        <v>22</v>
      </c>
      <c r="B7" s="0" t="e">
        <f aca="false">DMIN(A24:E30,D2,A19:C21)</f>
        <v>#VALUE!</v>
      </c>
    </row>
    <row r="8" customFormat="false" ht="15" hidden="false" customHeight="false" outlineLevel="0" collapsed="false">
      <c r="A8" s="0" t="s">
        <v>23</v>
      </c>
      <c r="B8" s="0" t="e">
        <f aca="false">DPRODUCT(A24:E30,D2,A19:C21)</f>
        <v>#VALUE!</v>
      </c>
    </row>
    <row r="9" customFormat="false" ht="15" hidden="false" customHeight="false" outlineLevel="0" collapsed="false">
      <c r="A9" s="0" t="s">
        <v>24</v>
      </c>
      <c r="B9" s="0" t="e">
        <f aca="false">DSTDEV(A24:E30,D2,A19:A21)</f>
        <v>#VALUE!</v>
      </c>
    </row>
    <row r="10" customFormat="false" ht="15" hidden="false" customHeight="false" outlineLevel="0" collapsed="false">
      <c r="A10" s="0" t="s">
        <v>25</v>
      </c>
      <c r="B10" s="0" t="e">
        <f aca="false">DSTDEVP(A24:E30,D2,A19:A21)</f>
        <v>#VALUE!</v>
      </c>
    </row>
    <row r="11" customFormat="false" ht="15" hidden="false" customHeight="false" outlineLevel="0" collapsed="false">
      <c r="A11" s="0" t="s">
        <v>26</v>
      </c>
      <c r="B11" s="0" t="e">
        <f aca="false">DSUM(A24:E30,D2,A19:C21)</f>
        <v>#VALUE!</v>
      </c>
      <c r="D11" s="0" t="e">
        <f aca="false">B11-B2*B3</f>
        <v>#VALUE!</v>
      </c>
    </row>
    <row r="12" customFormat="false" ht="15" hidden="false" customHeight="false" outlineLevel="0" collapsed="false">
      <c r="A12" s="0" t="s">
        <v>27</v>
      </c>
      <c r="B12" s="0" t="e">
        <f aca="false">DVAR(A24:E30,D2,A19:C21)</f>
        <v>#VALUE!</v>
      </c>
    </row>
    <row r="13" customFormat="false" ht="15" hidden="false" customHeight="false" outlineLevel="0" collapsed="false">
      <c r="A13" s="0" t="s">
        <v>28</v>
      </c>
      <c r="B13" s="0" t="e">
        <f aca="false">DVARP(A24:E30,D2,A19:C21)</f>
        <v>#VALUE!</v>
      </c>
    </row>
    <row r="15" customFormat="false" ht="15" hidden="false" customHeight="false" outlineLevel="0" collapsed="false">
      <c r="A15" s="0" t="s">
        <v>29</v>
      </c>
    </row>
    <row r="16" customFormat="false" ht="15" hidden="false" customHeight="false" outlineLevel="0" collapsed="false">
      <c r="A16" s="0" t="s">
        <v>30</v>
      </c>
      <c r="B16" s="0" t="e">
        <f aca="false">GETPIVOTDATA("Sum of Qux",B32)</f>
        <v>#REF!</v>
      </c>
    </row>
    <row r="18" customFormat="false" ht="15" hidden="false" customHeight="false" outlineLevel="0" collapsed="false">
      <c r="A18" s="0" t="s">
        <v>31</v>
      </c>
    </row>
    <row r="19" customFormat="false" ht="15" hidden="false" customHeight="false" outlineLevel="0" collapsed="false">
      <c r="A19" s="0" t="s">
        <v>32</v>
      </c>
      <c r="B19" s="0" t="s">
        <v>33</v>
      </c>
      <c r="C19" s="0" t="s">
        <v>33</v>
      </c>
    </row>
    <row r="20" customFormat="false" ht="15" hidden="false" customHeight="false" outlineLevel="0" collapsed="false">
      <c r="A20" s="0" t="s">
        <v>34</v>
      </c>
      <c r="B20" s="0" t="s">
        <v>35</v>
      </c>
      <c r="C20" s="0" t="s">
        <v>36</v>
      </c>
    </row>
    <row r="21" customFormat="false" ht="15" hidden="false" customHeight="false" outlineLevel="0" collapsed="false">
      <c r="A21" s="0" t="s">
        <v>37</v>
      </c>
    </row>
    <row r="23" customFormat="false" ht="15" hidden="false" customHeight="false" outlineLevel="0" collapsed="false">
      <c r="A23" s="0" t="s">
        <v>38</v>
      </c>
    </row>
    <row r="24" customFormat="false" ht="15" hidden="false" customHeight="false" outlineLevel="0" collapsed="false">
      <c r="A24" s="0" t="s">
        <v>32</v>
      </c>
      <c r="B24" s="0" t="s">
        <v>33</v>
      </c>
      <c r="C24" s="0" t="s">
        <v>39</v>
      </c>
      <c r="D24" s="0" t="s">
        <v>40</v>
      </c>
      <c r="E24" s="0" t="s">
        <v>41</v>
      </c>
    </row>
    <row r="25" customFormat="false" ht="15" hidden="false" customHeight="false" outlineLevel="0" collapsed="false">
      <c r="A25" s="0" t="s">
        <v>34</v>
      </c>
      <c r="B25" s="0" t="n">
        <v>18</v>
      </c>
      <c r="C25" s="0" t="n">
        <v>20</v>
      </c>
      <c r="D25" s="0" t="n">
        <v>14</v>
      </c>
      <c r="E25" s="0" t="n">
        <v>105</v>
      </c>
    </row>
    <row r="26" customFormat="false" ht="15" hidden="false" customHeight="false" outlineLevel="0" collapsed="false">
      <c r="A26" s="0" t="s">
        <v>37</v>
      </c>
      <c r="B26" s="0" t="n">
        <v>12</v>
      </c>
      <c r="C26" s="0" t="n">
        <v>12</v>
      </c>
      <c r="D26" s="0" t="n">
        <v>10</v>
      </c>
      <c r="E26" s="0" t="n">
        <v>96</v>
      </c>
    </row>
    <row r="27" customFormat="false" ht="15" hidden="false" customHeight="false" outlineLevel="0" collapsed="false">
      <c r="A27" s="0" t="s">
        <v>42</v>
      </c>
      <c r="B27" s="0" t="n">
        <v>13</v>
      </c>
      <c r="C27" s="0" t="n">
        <v>14</v>
      </c>
      <c r="D27" s="0" t="n">
        <v>9</v>
      </c>
      <c r="E27" s="0" t="n">
        <v>105</v>
      </c>
    </row>
    <row r="28" customFormat="false" ht="15" hidden="false" customHeight="false" outlineLevel="0" collapsed="false">
      <c r="A28" s="0" t="s">
        <v>34</v>
      </c>
      <c r="B28" s="0" t="n">
        <v>14</v>
      </c>
      <c r="C28" s="0" t="n">
        <v>15</v>
      </c>
      <c r="D28" s="0" t="n">
        <v>10</v>
      </c>
      <c r="E28" s="0" t="n">
        <v>75</v>
      </c>
    </row>
    <row r="29" customFormat="false" ht="15" hidden="false" customHeight="false" outlineLevel="0" collapsed="false">
      <c r="A29" s="0" t="s">
        <v>37</v>
      </c>
      <c r="B29" s="0" t="n">
        <v>9</v>
      </c>
      <c r="C29" s="0" t="n">
        <v>8</v>
      </c>
      <c r="D29" s="0" t="n">
        <v>8</v>
      </c>
      <c r="E29" s="0" t="n">
        <v>76.8</v>
      </c>
    </row>
    <row r="30" customFormat="false" ht="15" hidden="false" customHeight="false" outlineLevel="0" collapsed="false">
      <c r="A30" s="0" t="s">
        <v>43</v>
      </c>
      <c r="B30" s="0" t="n">
        <v>8</v>
      </c>
      <c r="C30" s="0" t="n">
        <v>9</v>
      </c>
      <c r="D30" s="0" t="n">
        <v>6</v>
      </c>
      <c r="E30" s="0" t="n">
        <v>45</v>
      </c>
    </row>
    <row r="32" customFormat="false" ht="15" hidden="false" customHeight="false" outlineLevel="0" collapsed="false">
      <c r="B32" s="3" t="s">
        <v>44</v>
      </c>
      <c r="C32" s="4"/>
      <c r="D32" s="5" t="s">
        <v>33</v>
      </c>
      <c r="E32" s="5" t="s">
        <v>41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</row>
    <row r="33" customFormat="false" ht="15" hidden="false" customHeight="false" outlineLevel="0" collapsed="false">
      <c r="B33" s="8"/>
      <c r="C33" s="9"/>
      <c r="D33" s="10" t="n">
        <v>8</v>
      </c>
      <c r="E33" s="11" t="s">
        <v>45</v>
      </c>
      <c r="F33" s="12" t="n">
        <v>9</v>
      </c>
      <c r="G33" s="11" t="s">
        <v>46</v>
      </c>
      <c r="H33" s="12" t="n">
        <v>12</v>
      </c>
      <c r="I33" s="11" t="s">
        <v>47</v>
      </c>
      <c r="J33" s="12" t="n">
        <v>13</v>
      </c>
      <c r="K33" s="11" t="s">
        <v>48</v>
      </c>
      <c r="L33" s="12" t="n">
        <v>14</v>
      </c>
      <c r="M33" s="11" t="s">
        <v>49</v>
      </c>
      <c r="N33" s="12" t="n">
        <v>18</v>
      </c>
      <c r="O33" s="11" t="s">
        <v>50</v>
      </c>
      <c r="P33" s="13" t="s">
        <v>51</v>
      </c>
    </row>
    <row r="34" customFormat="false" ht="15" hidden="false" customHeight="false" outlineLevel="0" collapsed="false">
      <c r="B34" s="14" t="s">
        <v>32</v>
      </c>
      <c r="C34" s="15" t="s">
        <v>39</v>
      </c>
      <c r="D34" s="16" t="n">
        <v>45</v>
      </c>
      <c r="E34" s="17"/>
      <c r="F34" s="18" t="n">
        <v>76.8</v>
      </c>
      <c r="G34" s="17"/>
      <c r="H34" s="18" t="n">
        <v>96</v>
      </c>
      <c r="I34" s="17"/>
      <c r="J34" s="18" t="n">
        <v>105</v>
      </c>
      <c r="K34" s="17"/>
      <c r="L34" s="18" t="n">
        <v>75</v>
      </c>
      <c r="M34" s="17"/>
      <c r="N34" s="18" t="n">
        <v>105</v>
      </c>
      <c r="O34" s="17"/>
      <c r="P34" s="19"/>
    </row>
    <row r="35" customFormat="false" ht="15" hidden="false" customHeight="false" outlineLevel="0" collapsed="false">
      <c r="B35" s="20" t="s">
        <v>42</v>
      </c>
      <c r="C35" s="21"/>
      <c r="D35" s="22"/>
      <c r="E35" s="23"/>
      <c r="F35" s="22"/>
      <c r="G35" s="23"/>
      <c r="H35" s="22"/>
      <c r="I35" s="23"/>
      <c r="J35" s="22" t="n">
        <v>9</v>
      </c>
      <c r="K35" s="23" t="n">
        <v>9</v>
      </c>
      <c r="L35" s="22"/>
      <c r="M35" s="23"/>
      <c r="N35" s="22"/>
      <c r="O35" s="23"/>
      <c r="P35" s="24" t="n">
        <v>9</v>
      </c>
    </row>
    <row r="36" customFormat="false" ht="15" hidden="false" customHeight="false" outlineLevel="0" collapsed="false">
      <c r="B36" s="25"/>
      <c r="C36" s="26" t="n">
        <v>14</v>
      </c>
      <c r="D36" s="27"/>
      <c r="E36" s="28"/>
      <c r="F36" s="27"/>
      <c r="G36" s="28"/>
      <c r="H36" s="27"/>
      <c r="I36" s="28"/>
      <c r="J36" s="27" t="n">
        <v>9</v>
      </c>
      <c r="K36" s="28" t="n">
        <v>9</v>
      </c>
      <c r="L36" s="27"/>
      <c r="M36" s="28"/>
      <c r="N36" s="27"/>
      <c r="O36" s="28"/>
      <c r="P36" s="29" t="n">
        <v>9</v>
      </c>
    </row>
    <row r="37" customFormat="false" ht="15" hidden="false" customHeight="false" outlineLevel="0" collapsed="false">
      <c r="B37" s="20" t="s">
        <v>37</v>
      </c>
      <c r="C37" s="21"/>
      <c r="D37" s="30"/>
      <c r="E37" s="31"/>
      <c r="F37" s="30" t="n">
        <v>8</v>
      </c>
      <c r="G37" s="31" t="n">
        <v>8</v>
      </c>
      <c r="H37" s="30" t="n">
        <v>10</v>
      </c>
      <c r="I37" s="31" t="n">
        <v>10</v>
      </c>
      <c r="J37" s="30"/>
      <c r="K37" s="31"/>
      <c r="L37" s="30"/>
      <c r="M37" s="31"/>
      <c r="N37" s="30"/>
      <c r="O37" s="31"/>
      <c r="P37" s="24" t="n">
        <v>18</v>
      </c>
    </row>
    <row r="38" customFormat="false" ht="15" hidden="false" customHeight="false" outlineLevel="0" collapsed="false">
      <c r="B38" s="32"/>
      <c r="C38" s="33" t="n">
        <v>8</v>
      </c>
      <c r="D38" s="34"/>
      <c r="E38" s="35"/>
      <c r="F38" s="34" t="n">
        <v>8</v>
      </c>
      <c r="G38" s="35" t="n">
        <v>8</v>
      </c>
      <c r="H38" s="34"/>
      <c r="I38" s="35"/>
      <c r="J38" s="34"/>
      <c r="K38" s="35"/>
      <c r="L38" s="34"/>
      <c r="M38" s="35"/>
      <c r="N38" s="34"/>
      <c r="O38" s="35"/>
      <c r="P38" s="36" t="n">
        <v>8</v>
      </c>
    </row>
    <row r="39" customFormat="false" ht="15" hidden="false" customHeight="false" outlineLevel="0" collapsed="false">
      <c r="B39" s="25"/>
      <c r="C39" s="26" t="n">
        <v>12</v>
      </c>
      <c r="D39" s="37"/>
      <c r="E39" s="38"/>
      <c r="F39" s="37"/>
      <c r="G39" s="38"/>
      <c r="H39" s="37" t="n">
        <v>10</v>
      </c>
      <c r="I39" s="38" t="n">
        <v>10</v>
      </c>
      <c r="J39" s="37"/>
      <c r="K39" s="38"/>
      <c r="L39" s="37"/>
      <c r="M39" s="38"/>
      <c r="N39" s="37"/>
      <c r="O39" s="38"/>
      <c r="P39" s="29" t="n">
        <v>10</v>
      </c>
    </row>
    <row r="40" customFormat="false" ht="15" hidden="false" customHeight="false" outlineLevel="0" collapsed="false">
      <c r="B40" s="20" t="s">
        <v>43</v>
      </c>
      <c r="C40" s="21"/>
      <c r="D40" s="22" t="n">
        <v>6</v>
      </c>
      <c r="E40" s="23" t="n">
        <v>6</v>
      </c>
      <c r="F40" s="22"/>
      <c r="G40" s="23"/>
      <c r="H40" s="22"/>
      <c r="I40" s="23"/>
      <c r="J40" s="22"/>
      <c r="K40" s="23"/>
      <c r="L40" s="22"/>
      <c r="M40" s="23"/>
      <c r="N40" s="22"/>
      <c r="O40" s="23"/>
      <c r="P40" s="24" t="n">
        <v>6</v>
      </c>
    </row>
    <row r="41" customFormat="false" ht="15" hidden="false" customHeight="false" outlineLevel="0" collapsed="false">
      <c r="B41" s="25"/>
      <c r="C41" s="26" t="n">
        <v>9</v>
      </c>
      <c r="D41" s="27" t="n">
        <v>6</v>
      </c>
      <c r="E41" s="28" t="n">
        <v>6</v>
      </c>
      <c r="F41" s="27"/>
      <c r="G41" s="28"/>
      <c r="H41" s="27"/>
      <c r="I41" s="28"/>
      <c r="J41" s="27"/>
      <c r="K41" s="28"/>
      <c r="L41" s="27"/>
      <c r="M41" s="28"/>
      <c r="N41" s="27"/>
      <c r="O41" s="28"/>
      <c r="P41" s="29" t="n">
        <v>6</v>
      </c>
    </row>
    <row r="42" customFormat="false" ht="15" hidden="false" customHeight="false" outlineLevel="0" collapsed="false">
      <c r="B42" s="20" t="s">
        <v>34</v>
      </c>
      <c r="C42" s="21"/>
      <c r="D42" s="30"/>
      <c r="E42" s="31"/>
      <c r="F42" s="30"/>
      <c r="G42" s="31"/>
      <c r="H42" s="30"/>
      <c r="I42" s="31"/>
      <c r="J42" s="30"/>
      <c r="K42" s="31"/>
      <c r="L42" s="30" t="n">
        <v>10</v>
      </c>
      <c r="M42" s="31" t="n">
        <v>10</v>
      </c>
      <c r="N42" s="30" t="n">
        <v>14</v>
      </c>
      <c r="O42" s="31" t="n">
        <v>14</v>
      </c>
      <c r="P42" s="24" t="n">
        <v>24</v>
      </c>
    </row>
    <row r="43" customFormat="false" ht="15" hidden="false" customHeight="false" outlineLevel="0" collapsed="false">
      <c r="B43" s="32"/>
      <c r="C43" s="33" t="n">
        <v>15</v>
      </c>
      <c r="D43" s="34"/>
      <c r="E43" s="35"/>
      <c r="F43" s="34"/>
      <c r="G43" s="35"/>
      <c r="H43" s="34"/>
      <c r="I43" s="35"/>
      <c r="J43" s="34"/>
      <c r="K43" s="35"/>
      <c r="L43" s="34" t="n">
        <v>10</v>
      </c>
      <c r="M43" s="35" t="n">
        <v>10</v>
      </c>
      <c r="N43" s="34"/>
      <c r="O43" s="35"/>
      <c r="P43" s="36" t="n">
        <v>10</v>
      </c>
    </row>
    <row r="44" customFormat="false" ht="15" hidden="false" customHeight="false" outlineLevel="0" collapsed="false">
      <c r="B44" s="25"/>
      <c r="C44" s="26" t="n">
        <v>20</v>
      </c>
      <c r="D44" s="37"/>
      <c r="E44" s="38"/>
      <c r="F44" s="37"/>
      <c r="G44" s="38"/>
      <c r="H44" s="37"/>
      <c r="I44" s="38"/>
      <c r="J44" s="37"/>
      <c r="K44" s="38"/>
      <c r="L44" s="37"/>
      <c r="M44" s="38"/>
      <c r="N44" s="37" t="n">
        <v>14</v>
      </c>
      <c r="O44" s="38" t="n">
        <v>14</v>
      </c>
      <c r="P44" s="29" t="n">
        <v>14</v>
      </c>
    </row>
    <row r="45" customFormat="false" ht="15" hidden="false" customHeight="false" outlineLevel="0" collapsed="false">
      <c r="B45" s="39" t="s">
        <v>51</v>
      </c>
      <c r="C45" s="40"/>
      <c r="D45" s="41" t="n">
        <v>6</v>
      </c>
      <c r="E45" s="41" t="n">
        <v>6</v>
      </c>
      <c r="F45" s="41" t="n">
        <v>8</v>
      </c>
      <c r="G45" s="41" t="n">
        <v>8</v>
      </c>
      <c r="H45" s="41" t="n">
        <v>10</v>
      </c>
      <c r="I45" s="41" t="n">
        <v>10</v>
      </c>
      <c r="J45" s="41" t="n">
        <v>9</v>
      </c>
      <c r="K45" s="41" t="n">
        <v>9</v>
      </c>
      <c r="L45" s="41" t="n">
        <v>10</v>
      </c>
      <c r="M45" s="41" t="n">
        <v>10</v>
      </c>
      <c r="N45" s="41" t="n">
        <v>14</v>
      </c>
      <c r="O45" s="41" t="n">
        <v>14</v>
      </c>
      <c r="P45" s="42" t="n">
        <v>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12.83"/>
    <col collapsed="false" customWidth="true" hidden="false" outlineLevel="0" max="3" min="3" style="0" width="11.66"/>
    <col collapsed="false" customWidth="true" hidden="false" outlineLevel="0" max="1025" min="4" style="0" width="10.49"/>
  </cols>
  <sheetData>
    <row r="1" customFormat="false" ht="15" hidden="false" customHeight="false" outlineLevel="0" collapsed="false">
      <c r="A1" s="0" t="s">
        <v>52</v>
      </c>
    </row>
    <row r="2" customFormat="false" ht="15" hidden="false" customHeight="false" outlineLevel="0" collapsed="false">
      <c r="A2" s="0" t="s">
        <v>53</v>
      </c>
      <c r="B2" s="43" t="n">
        <f aca="false">DATE(C2,D2,E2)</f>
        <v>41434</v>
      </c>
      <c r="C2" s="0" t="n">
        <v>2013</v>
      </c>
      <c r="D2" s="0" t="n">
        <v>6</v>
      </c>
      <c r="E2" s="0" t="n">
        <v>9</v>
      </c>
    </row>
    <row r="3" customFormat="false" ht="15" hidden="false" customHeight="false" outlineLevel="0" collapsed="false">
      <c r="A3" s="0" t="s">
        <v>54</v>
      </c>
      <c r="B3" s="0" t="n">
        <f aca="false">DATEVALUE(C3)</f>
        <v>25363</v>
      </c>
      <c r="C3" s="2" t="s">
        <v>55</v>
      </c>
    </row>
    <row r="4" customFormat="false" ht="15" hidden="false" customHeight="false" outlineLevel="0" collapsed="false">
      <c r="A4" s="0" t="s">
        <v>56</v>
      </c>
      <c r="B4" s="44" t="n">
        <f aca="false">TIME(C4,D4,E4)</f>
        <v>0.256516203703704</v>
      </c>
      <c r="C4" s="0" t="n">
        <v>6</v>
      </c>
      <c r="D4" s="0" t="n">
        <v>9</v>
      </c>
      <c r="E4" s="0" t="n">
        <v>23</v>
      </c>
    </row>
    <row r="5" customFormat="false" ht="15" hidden="false" customHeight="false" outlineLevel="0" collapsed="false">
      <c r="A5" s="0" t="s">
        <v>57</v>
      </c>
      <c r="B5" s="0" t="n">
        <f aca="false">TIMEVALUE(C5)</f>
        <v>0.974826388888889</v>
      </c>
      <c r="C5" s="45" t="s">
        <v>58</v>
      </c>
    </row>
    <row r="6" customFormat="false" ht="15" hidden="false" customHeight="false" outlineLevel="0" collapsed="false">
      <c r="A6" s="0" t="s">
        <v>59</v>
      </c>
      <c r="B6" s="46" t="n">
        <f aca="true">NOW()</f>
        <v>43806.9225560192</v>
      </c>
    </row>
    <row r="7" customFormat="false" ht="15" hidden="false" customHeight="false" outlineLevel="0" collapsed="false">
      <c r="A7" s="0" t="s">
        <v>60</v>
      </c>
      <c r="B7" s="43" t="n">
        <f aca="true">TODAY()</f>
        <v>43806</v>
      </c>
    </row>
    <row r="8" customFormat="false" ht="15" hidden="false" customHeight="false" outlineLevel="0" collapsed="false">
      <c r="B8" s="44"/>
    </row>
    <row r="9" customFormat="false" ht="15" hidden="false" customHeight="false" outlineLevel="0" collapsed="false">
      <c r="A9" s="0" t="s">
        <v>61</v>
      </c>
      <c r="B9" s="44"/>
    </row>
    <row r="10" customFormat="false" ht="15" hidden="false" customHeight="false" outlineLevel="0" collapsed="false">
      <c r="A10" s="0" t="s">
        <v>62</v>
      </c>
      <c r="B10" s="0" t="n">
        <f aca="false">YEAR(B2)</f>
        <v>2013</v>
      </c>
    </row>
    <row r="11" customFormat="false" ht="15" hidden="false" customHeight="false" outlineLevel="0" collapsed="false">
      <c r="A11" s="0" t="s">
        <v>63</v>
      </c>
      <c r="B11" s="0" t="n">
        <f aca="false">MONTH(B2)</f>
        <v>6</v>
      </c>
    </row>
    <row r="12" customFormat="false" ht="15" hidden="false" customHeight="false" outlineLevel="0" collapsed="false">
      <c r="A12" s="0" t="s">
        <v>64</v>
      </c>
      <c r="B12" s="0" t="n">
        <f aca="false">DAY(B2)</f>
        <v>9</v>
      </c>
    </row>
    <row r="13" customFormat="false" ht="15" hidden="false" customHeight="false" outlineLevel="0" collapsed="false">
      <c r="A13" s="0" t="s">
        <v>65</v>
      </c>
      <c r="B13" s="0" t="n">
        <f aca="false">HOUR(B4)</f>
        <v>6</v>
      </c>
    </row>
    <row r="14" customFormat="false" ht="15" hidden="false" customHeight="false" outlineLevel="0" collapsed="false">
      <c r="A14" s="0" t="s">
        <v>66</v>
      </c>
      <c r="B14" s="0" t="n">
        <f aca="false">MINUTE(B4)</f>
        <v>9</v>
      </c>
    </row>
    <row r="15" customFormat="false" ht="15" hidden="false" customHeight="false" outlineLevel="0" collapsed="false">
      <c r="A15" s="0" t="s">
        <v>67</v>
      </c>
      <c r="B15" s="0" t="n">
        <f aca="false">SECOND(B4)</f>
        <v>23</v>
      </c>
    </row>
    <row r="16" customFormat="false" ht="15" hidden="false" customHeight="false" outlineLevel="0" collapsed="false">
      <c r="A16" s="0" t="s">
        <v>68</v>
      </c>
      <c r="B16" s="0" t="n">
        <f aca="false">WEEKDAY(B2)</f>
        <v>1</v>
      </c>
    </row>
    <row r="17" customFormat="false" ht="15" hidden="false" customHeight="false" outlineLevel="0" collapsed="false">
      <c r="A17" s="0" t="s">
        <v>69</v>
      </c>
      <c r="B17" s="0" t="n">
        <f aca="false">WEEKNUM(B2,1)</f>
        <v>24</v>
      </c>
    </row>
    <row r="19" customFormat="false" ht="15" hidden="false" customHeight="false" outlineLevel="0" collapsed="false">
      <c r="A19" s="0" t="s">
        <v>70</v>
      </c>
    </row>
    <row r="20" customFormat="false" ht="15" hidden="false" customHeight="false" outlineLevel="0" collapsed="false">
      <c r="A20" s="0" t="s">
        <v>71</v>
      </c>
      <c r="B20" s="0" t="n">
        <f aca="false">DATEDIF(C20,D20,E20)</f>
        <v>395</v>
      </c>
      <c r="C20" s="43" t="n">
        <f aca="false">B2</f>
        <v>41434</v>
      </c>
      <c r="D20" s="43" t="n">
        <v>41829</v>
      </c>
      <c r="E20" s="0" t="s">
        <v>72</v>
      </c>
    </row>
    <row r="21" customFormat="false" ht="15" hidden="false" customHeight="false" outlineLevel="0" collapsed="false">
      <c r="A21" s="0" t="s">
        <v>73</v>
      </c>
      <c r="B21" s="0" t="n">
        <f aca="false">DAYS360(C20,D20)</f>
        <v>390</v>
      </c>
    </row>
    <row r="22" customFormat="false" ht="15" hidden="false" customHeight="false" outlineLevel="0" collapsed="false">
      <c r="A22" s="0" t="s">
        <v>74</v>
      </c>
      <c r="B22" s="0" t="n">
        <f aca="false">EDATE(B2,C22)</f>
        <v>41526</v>
      </c>
      <c r="C22" s="0" t="n">
        <v>3</v>
      </c>
    </row>
    <row r="23" customFormat="false" ht="15" hidden="false" customHeight="false" outlineLevel="0" collapsed="false">
      <c r="A23" s="0" t="s">
        <v>75</v>
      </c>
      <c r="B23" s="0" t="n">
        <f aca="false">EOMONTH(B2,C23)</f>
        <v>41547</v>
      </c>
      <c r="C23" s="0" t="n">
        <v>3</v>
      </c>
    </row>
    <row r="24" customFormat="false" ht="15" hidden="false" customHeight="false" outlineLevel="0" collapsed="false">
      <c r="A24" s="0" t="s">
        <v>76</v>
      </c>
      <c r="B24" s="0" t="n">
        <f aca="false">NETWORKDAYS(C20,D20)</f>
        <v>283</v>
      </c>
    </row>
    <row r="25" customFormat="false" ht="15" hidden="false" customHeight="false" outlineLevel="0" collapsed="false">
      <c r="A25" s="0" t="s">
        <v>77</v>
      </c>
      <c r="B25" s="0" t="n">
        <f aca="false">NETWORKDAYS.INTL(C20,D20,C25)</f>
        <v>340</v>
      </c>
      <c r="C25" s="0" t="n">
        <v>17</v>
      </c>
    </row>
    <row r="26" customFormat="false" ht="15" hidden="false" customHeight="false" outlineLevel="0" collapsed="false">
      <c r="A26" s="0" t="s">
        <v>78</v>
      </c>
      <c r="B26" s="0" t="n">
        <f aca="false">WORKDAY(C20,C26)</f>
        <v>41605</v>
      </c>
      <c r="C26" s="0" t="n">
        <v>123</v>
      </c>
    </row>
    <row r="27" customFormat="false" ht="15" hidden="false" customHeight="false" outlineLevel="0" collapsed="false">
      <c r="A27" s="0" t="s">
        <v>79</v>
      </c>
      <c r="B27" s="0" t="n">
        <f aca="false">WORKDAY.INTL(C20,123,17)</f>
        <v>41577</v>
      </c>
    </row>
    <row r="28" customFormat="false" ht="15" hidden="false" customHeight="false" outlineLevel="0" collapsed="false">
      <c r="A28" s="0" t="s">
        <v>80</v>
      </c>
      <c r="B28" s="0" t="n">
        <f aca="false">YEARFRAC(C20,D20)</f>
        <v>1.08333333333333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81</v>
      </c>
      <c r="C1" s="0" t="s">
        <v>82</v>
      </c>
    </row>
    <row r="2" customFormat="false" ht="15" hidden="false" customHeight="false" outlineLevel="0" collapsed="false">
      <c r="A2" s="0" t="s">
        <v>83</v>
      </c>
      <c r="B2" s="0" t="n">
        <f aca="false">BESSELI(C2,D2)</f>
        <v>0.212739959239853</v>
      </c>
      <c r="C2" s="0" t="n">
        <v>2</v>
      </c>
      <c r="D2" s="0" t="n">
        <v>3</v>
      </c>
      <c r="E2" s="0" t="e">
        <f aca="false">BESSELI(-1,-1)</f>
        <v>#VALUE!</v>
      </c>
    </row>
    <row r="3" customFormat="false" ht="15" hidden="false" customHeight="false" outlineLevel="0" collapsed="false">
      <c r="A3" s="0" t="s">
        <v>84</v>
      </c>
      <c r="B3" s="0" t="n">
        <f aca="false">BESSELJ(C3,D3)</f>
        <v>0.128943249474402</v>
      </c>
      <c r="C3" s="0" t="n">
        <v>2</v>
      </c>
      <c r="D3" s="0" t="n">
        <v>3</v>
      </c>
    </row>
    <row r="4" customFormat="false" ht="15" hidden="false" customHeight="false" outlineLevel="0" collapsed="false">
      <c r="A4" s="0" t="s">
        <v>85</v>
      </c>
      <c r="B4" s="0" t="n">
        <f aca="false">BESSELK(C4,D4)</f>
        <v>0.6473854</v>
      </c>
      <c r="C4" s="0" t="n">
        <v>2</v>
      </c>
      <c r="D4" s="0" t="n">
        <v>3</v>
      </c>
    </row>
    <row r="5" customFormat="false" ht="15" hidden="false" customHeight="false" outlineLevel="0" collapsed="false">
      <c r="A5" s="0" t="s">
        <v>86</v>
      </c>
      <c r="B5" s="0" t="n">
        <f aca="false">BESSELY(C5,D5)</f>
        <v>-1.12778377684043</v>
      </c>
      <c r="C5" s="0" t="n">
        <v>2</v>
      </c>
      <c r="D5" s="0" t="n">
        <v>3</v>
      </c>
    </row>
    <row r="7" customFormat="false" ht="15" hidden="false" customHeight="false" outlineLevel="0" collapsed="false">
      <c r="A7" s="0" t="s">
        <v>87</v>
      </c>
    </row>
    <row r="8" customFormat="false" ht="15" hidden="false" customHeight="false" outlineLevel="0" collapsed="false">
      <c r="A8" s="0" t="s">
        <v>88</v>
      </c>
      <c r="B8" s="0" t="n">
        <f aca="false">BESSELI(C8,D8)</f>
        <v>1</v>
      </c>
    </row>
    <row r="9" customFormat="false" ht="15" hidden="false" customHeight="false" outlineLevel="0" collapsed="false">
      <c r="A9" s="0" t="s">
        <v>89</v>
      </c>
      <c r="B9" s="0" t="n">
        <f aca="false">BESSELI(C9,D9)</f>
        <v>1</v>
      </c>
    </row>
    <row r="10" customFormat="false" ht="15" hidden="false" customHeight="false" outlineLevel="0" collapsed="false">
      <c r="A10" s="0" t="s">
        <v>90</v>
      </c>
      <c r="B10" s="0" t="n">
        <f aca="false">BESSELI(C10,D10)</f>
        <v>1</v>
      </c>
    </row>
    <row r="11" customFormat="false" ht="15" hidden="false" customHeight="false" outlineLevel="0" collapsed="false">
      <c r="A11" s="0" t="s">
        <v>91</v>
      </c>
      <c r="B11" s="0" t="n">
        <f aca="false">BESSELI(C11,D11)</f>
        <v>1</v>
      </c>
    </row>
    <row r="13" customFormat="false" ht="15" hidden="false" customHeight="false" outlineLevel="0" collapsed="false">
      <c r="A13" s="0" t="s">
        <v>92</v>
      </c>
    </row>
    <row r="14" customFormat="false" ht="15" hidden="false" customHeight="false" outlineLevel="0" collapsed="false">
      <c r="A14" s="0" t="s">
        <v>93</v>
      </c>
      <c r="B14" s="0" t="n">
        <f aca="false">CONVERT(C14,D14,E14)</f>
        <v>-273.15</v>
      </c>
      <c r="C14" s="0" t="n">
        <v>0</v>
      </c>
      <c r="D14" s="0" t="s">
        <v>94</v>
      </c>
      <c r="E14" s="0" t="s">
        <v>95</v>
      </c>
    </row>
    <row r="15" customFormat="false" ht="15" hidden="false" customHeight="false" outlineLevel="0" collapsed="false">
      <c r="A15" s="0" t="s">
        <v>96</v>
      </c>
      <c r="B15" s="0" t="n">
        <f aca="false">BIN2DEC(10)</f>
        <v>2</v>
      </c>
    </row>
    <row r="16" customFormat="false" ht="15" hidden="false" customHeight="false" outlineLevel="0" collapsed="false">
      <c r="A16" s="0" t="s">
        <v>97</v>
      </c>
      <c r="B16" s="0" t="str">
        <f aca="false">BIN2HEX(10)</f>
        <v>2</v>
      </c>
    </row>
    <row r="17" customFormat="false" ht="15" hidden="false" customHeight="false" outlineLevel="0" collapsed="false">
      <c r="A17" s="0" t="s">
        <v>98</v>
      </c>
      <c r="B17" s="0" t="str">
        <f aca="false">BIN2OCT(10)</f>
        <v>2</v>
      </c>
    </row>
    <row r="18" customFormat="false" ht="15" hidden="false" customHeight="false" outlineLevel="0" collapsed="false">
      <c r="A18" s="0" t="s">
        <v>99</v>
      </c>
      <c r="B18" s="0" t="str">
        <f aca="false">DEC2BIN(10)</f>
        <v>1010</v>
      </c>
    </row>
    <row r="19" customFormat="false" ht="15" hidden="false" customHeight="false" outlineLevel="0" collapsed="false">
      <c r="A19" s="0" t="s">
        <v>100</v>
      </c>
      <c r="B19" s="0" t="str">
        <f aca="false">DEC2HEX(10)</f>
        <v>A</v>
      </c>
    </row>
    <row r="20" customFormat="false" ht="15" hidden="false" customHeight="false" outlineLevel="0" collapsed="false">
      <c r="A20" s="0" t="s">
        <v>101</v>
      </c>
      <c r="B20" s="0" t="str">
        <f aca="false">DEC2OCT(10)</f>
        <v>12</v>
      </c>
    </row>
    <row r="21" customFormat="false" ht="15" hidden="false" customHeight="false" outlineLevel="0" collapsed="false">
      <c r="A21" s="0" t="s">
        <v>102</v>
      </c>
      <c r="B21" s="0" t="str">
        <f aca="false">OCT2BIN(10)</f>
        <v>1000</v>
      </c>
    </row>
    <row r="22" customFormat="false" ht="15" hidden="false" customHeight="false" outlineLevel="0" collapsed="false">
      <c r="A22" s="0" t="s">
        <v>103</v>
      </c>
      <c r="B22" s="0" t="n">
        <f aca="false">OCT2DEC(10)</f>
        <v>8</v>
      </c>
    </row>
    <row r="23" customFormat="false" ht="15" hidden="false" customHeight="false" outlineLevel="0" collapsed="false">
      <c r="A23" s="0" t="s">
        <v>104</v>
      </c>
      <c r="B23" s="0" t="str">
        <f aca="false">OCT2HEX(10)</f>
        <v>8</v>
      </c>
    </row>
    <row r="24" customFormat="false" ht="15" hidden="false" customHeight="false" outlineLevel="0" collapsed="false">
      <c r="A24" s="0" t="s">
        <v>105</v>
      </c>
      <c r="B24" s="0" t="str">
        <f aca="false">HEX2BIN(10)</f>
        <v>10000</v>
      </c>
    </row>
    <row r="25" customFormat="false" ht="15" hidden="false" customHeight="false" outlineLevel="0" collapsed="false">
      <c r="A25" s="0" t="s">
        <v>106</v>
      </c>
      <c r="B25" s="0" t="n">
        <f aca="false">HEX2DEC(10)</f>
        <v>16</v>
      </c>
    </row>
    <row r="26" customFormat="false" ht="15" hidden="false" customHeight="false" outlineLevel="0" collapsed="false">
      <c r="A26" s="0" t="s">
        <v>107</v>
      </c>
      <c r="B26" s="0" t="str">
        <f aca="false">HEX2OCT(10)</f>
        <v>20</v>
      </c>
    </row>
    <row r="28" customFormat="false" ht="15" hidden="false" customHeight="false" outlineLevel="0" collapsed="false">
      <c r="A28" s="0" t="s">
        <v>108</v>
      </c>
    </row>
    <row r="29" customFormat="false" ht="15" hidden="false" customHeight="false" outlineLevel="0" collapsed="false">
      <c r="A29" s="0" t="s">
        <v>109</v>
      </c>
      <c r="B29" s="0" t="n">
        <f aca="false">DELTA(5)</f>
        <v>0</v>
      </c>
    </row>
    <row r="30" customFormat="false" ht="15" hidden="false" customHeight="false" outlineLevel="0" collapsed="false">
      <c r="A30" s="0" t="s">
        <v>110</v>
      </c>
      <c r="B30" s="0" t="n">
        <f aca="false">GESTEP(5)</f>
        <v>1</v>
      </c>
    </row>
    <row r="32" customFormat="false" ht="15" hidden="false" customHeight="false" outlineLevel="0" collapsed="false">
      <c r="A32" s="0" t="s">
        <v>111</v>
      </c>
    </row>
    <row r="33" customFormat="false" ht="15" hidden="false" customHeight="false" outlineLevel="0" collapsed="false">
      <c r="A33" s="0" t="s">
        <v>112</v>
      </c>
      <c r="B33" s="0" t="str">
        <f aca="false">COMPLEX(2,3)</f>
        <v>2+3i</v>
      </c>
      <c r="C33" s="0" t="str">
        <f aca="false">COMPLEX(2,3,"j")</f>
        <v>2+3j</v>
      </c>
    </row>
    <row r="34" customFormat="false" ht="15" hidden="false" customHeight="false" outlineLevel="0" collapsed="false">
      <c r="A34" s="0" t="s">
        <v>113</v>
      </c>
      <c r="B34" s="0" t="n">
        <f aca="false">IMABS(C34)</f>
        <v>3.60555127546399</v>
      </c>
      <c r="C34" s="0" t="str">
        <f aca="false">COMPLEX(2,3,"j")</f>
        <v>2+3j</v>
      </c>
    </row>
    <row r="35" customFormat="false" ht="15" hidden="false" customHeight="false" outlineLevel="0" collapsed="false">
      <c r="A35" s="0" t="s">
        <v>114</v>
      </c>
      <c r="B35" s="0" t="n">
        <f aca="false">IMAGINARY(C35)</f>
        <v>3</v>
      </c>
      <c r="C35" s="0" t="str">
        <f aca="false">COMPLEX(2,3,"j")</f>
        <v>2+3j</v>
      </c>
    </row>
    <row r="36" customFormat="false" ht="15" hidden="false" customHeight="false" outlineLevel="0" collapsed="false">
      <c r="A36" s="0" t="s">
        <v>115</v>
      </c>
      <c r="B36" s="0" t="n">
        <f aca="false">IMARGUMENT(C36)</f>
        <v>0.982793723247329</v>
      </c>
      <c r="C36" s="0" t="str">
        <f aca="false">COMPLEX(2,3,"j")</f>
        <v>2+3j</v>
      </c>
    </row>
    <row r="37" customFormat="false" ht="15" hidden="false" customHeight="false" outlineLevel="0" collapsed="false">
      <c r="A37" s="0" t="s">
        <v>116</v>
      </c>
      <c r="B37" s="0" t="str">
        <f aca="false">IMCONJUGATE(C37)</f>
        <v>2-3j</v>
      </c>
      <c r="C37" s="0" t="str">
        <f aca="false">COMPLEX(2,3,"j")</f>
        <v>2+3j</v>
      </c>
    </row>
    <row r="38" customFormat="false" ht="15" hidden="false" customHeight="false" outlineLevel="0" collapsed="false">
      <c r="A38" s="0" t="s">
        <v>117</v>
      </c>
      <c r="B38" s="0" t="str">
        <f aca="false">IMCOS(C38)</f>
        <v>-4,18962569096881-9,10922789375534j</v>
      </c>
      <c r="C38" s="0" t="str">
        <f aca="false">COMPLEX(2,3,"j")</f>
        <v>2+3j</v>
      </c>
    </row>
    <row r="39" customFormat="false" ht="15" hidden="false" customHeight="false" outlineLevel="0" collapsed="false">
      <c r="A39" s="0" t="s">
        <v>118</v>
      </c>
      <c r="B39" s="0" t="str">
        <f aca="false">IMDIV(B43,B42)</f>
        <v>3,32192809488736-7,89160231518619e-15j</v>
      </c>
      <c r="C39" s="0" t="str">
        <f aca="false">COMPLEX(2,3,"j")</f>
        <v>2+3j</v>
      </c>
    </row>
    <row r="40" customFormat="false" ht="15" hidden="false" customHeight="false" outlineLevel="0" collapsed="false">
      <c r="A40" s="0" t="s">
        <v>119</v>
      </c>
      <c r="B40" s="0" t="str">
        <f aca="false">IMEXP(C40)</f>
        <v>-7,3151100949011+1,0427436562359j</v>
      </c>
      <c r="C40" s="0" t="str">
        <f aca="false">COMPLEX(2,3,"j")</f>
        <v>2+3j</v>
      </c>
    </row>
    <row r="41" customFormat="false" ht="15" hidden="false" customHeight="false" outlineLevel="0" collapsed="false">
      <c r="A41" s="0" t="s">
        <v>120</v>
      </c>
      <c r="B41" s="0" t="str">
        <f aca="false">IMLN(C41)</f>
        <v>1,28247467873077+0,982793723247329j</v>
      </c>
      <c r="C41" s="0" t="str">
        <f aca="false">COMPLEX(2,3,"j")</f>
        <v>2+3j</v>
      </c>
    </row>
    <row r="42" customFormat="false" ht="15" hidden="false" customHeight="false" outlineLevel="0" collapsed="false">
      <c r="A42" s="0" t="s">
        <v>121</v>
      </c>
      <c r="B42" s="0" t="str">
        <f aca="false">IMLOG10(C42)</f>
        <v>0,556971676153418+0,426821890855467j</v>
      </c>
      <c r="C42" s="0" t="str">
        <f aca="false">COMPLEX(2,3,"j")</f>
        <v>2+3j</v>
      </c>
    </row>
    <row r="43" customFormat="false" ht="15" hidden="false" customHeight="false" outlineLevel="0" collapsed="false">
      <c r="A43" s="0" t="s">
        <v>122</v>
      </c>
      <c r="B43" s="0" t="str">
        <f aca="false">IMLOG2(C43)</f>
        <v>1,85021985907055+1,41787163074572j</v>
      </c>
      <c r="C43" s="0" t="str">
        <f aca="false">COMPLEX(2,3,"j")</f>
        <v>2+3j</v>
      </c>
    </row>
    <row r="44" customFormat="false" ht="15" hidden="false" customHeight="false" outlineLevel="0" collapsed="false">
      <c r="A44" s="0" t="s">
        <v>123</v>
      </c>
      <c r="B44" s="0" t="str">
        <f aca="false">IMPOWER(C44,2)</f>
        <v>-5+12j</v>
      </c>
      <c r="C44" s="0" t="str">
        <f aca="false">COMPLEX(2,3,"j")</f>
        <v>2+3j</v>
      </c>
    </row>
    <row r="45" customFormat="false" ht="15" hidden="false" customHeight="false" outlineLevel="0" collapsed="false">
      <c r="A45" s="0" t="s">
        <v>124</v>
      </c>
      <c r="B45" s="0" t="str">
        <f aca="false">IMPRODUCT(C45,D45)</f>
        <v>-10+24j</v>
      </c>
      <c r="C45" s="0" t="str">
        <f aca="false">COMPLEX(2,3,"j")</f>
        <v>2+3j</v>
      </c>
      <c r="D45" s="0" t="str">
        <f aca="false">COMPLEX(4,6,"j")</f>
        <v>4+6j</v>
      </c>
    </row>
    <row r="46" customFormat="false" ht="15" hidden="false" customHeight="false" outlineLevel="0" collapsed="false">
      <c r="A46" s="0" t="s">
        <v>125</v>
      </c>
      <c r="B46" s="0" t="n">
        <f aca="false">IMREAL(C46)</f>
        <v>2</v>
      </c>
      <c r="C46" s="0" t="str">
        <f aca="false">COMPLEX(2,3,"j")</f>
        <v>2+3j</v>
      </c>
    </row>
    <row r="47" customFormat="false" ht="15" hidden="false" customHeight="false" outlineLevel="0" collapsed="false">
      <c r="A47" s="0" t="s">
        <v>126</v>
      </c>
      <c r="B47" s="0" t="str">
        <f aca="false">IMSIN(C47)</f>
        <v>9,15449914691143-4,16890695996656j</v>
      </c>
      <c r="C47" s="0" t="str">
        <f aca="false">COMPLEX(2,3,"j")</f>
        <v>2+3j</v>
      </c>
    </row>
    <row r="48" customFormat="false" ht="15" hidden="false" customHeight="false" outlineLevel="0" collapsed="false">
      <c r="A48" s="0" t="s">
        <v>127</v>
      </c>
      <c r="B48" s="0" t="str">
        <f aca="false">IMSQRT(C48)</f>
        <v>1,67414922803554+0,895977476129838j</v>
      </c>
      <c r="C48" s="0" t="str">
        <f aca="false">COMPLEX(2,3,"j")</f>
        <v>2+3j</v>
      </c>
    </row>
    <row r="49" customFormat="false" ht="15" hidden="false" customHeight="false" outlineLevel="0" collapsed="false">
      <c r="A49" s="0" t="s">
        <v>128</v>
      </c>
      <c r="B49" s="0" t="str">
        <f aca="false">IMSUB(C49,D49)</f>
        <v>-2-2j</v>
      </c>
      <c r="C49" s="0" t="str">
        <f aca="false">COMPLEX(2,3,"j")</f>
        <v>2+3j</v>
      </c>
      <c r="D49" s="0" t="str">
        <f aca="false">COMPLEX(4,5,"j")</f>
        <v>4+5j</v>
      </c>
    </row>
    <row r="50" customFormat="false" ht="15" hidden="false" customHeight="false" outlineLevel="0" collapsed="false">
      <c r="A50" s="0" t="s">
        <v>129</v>
      </c>
      <c r="B50" s="0" t="str">
        <f aca="false">IMSUM(C33:D50)</f>
        <v>48+70j</v>
      </c>
      <c r="C50" s="0" t="str">
        <f aca="false">COMPLEX(2,3,"j")</f>
        <v>2+3j</v>
      </c>
      <c r="D50" s="0" t="str">
        <f aca="false">COMPLEX(4,5,"j")</f>
        <v>4+5j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12.83"/>
    <col collapsed="false" customWidth="true" hidden="false" outlineLevel="0" max="6" min="3" style="0" width="10.49"/>
    <col collapsed="false" customWidth="true" hidden="false" outlineLevel="0" max="7" min="7" style="0" width="11.83"/>
    <col collapsed="false" customWidth="true" hidden="false" outlineLevel="0" max="1025" min="8" style="0" width="10.49"/>
  </cols>
  <sheetData>
    <row r="1" customFormat="false" ht="15" hidden="false" customHeight="false" outlineLevel="0" collapsed="false">
      <c r="A1" s="0" t="s">
        <v>92</v>
      </c>
    </row>
    <row r="2" customFormat="false" ht="15" hidden="false" customHeight="false" outlineLevel="0" collapsed="false">
      <c r="A2" s="0" t="s">
        <v>130</v>
      </c>
      <c r="B2" s="0" t="n">
        <f aca="false">DOLLARDE(D2,E2)</f>
        <v>1.125</v>
      </c>
      <c r="D2" s="0" t="n">
        <v>1.02</v>
      </c>
      <c r="E2" s="0" t="n">
        <v>16</v>
      </c>
    </row>
    <row r="3" customFormat="false" ht="15" hidden="false" customHeight="false" outlineLevel="0" collapsed="false">
      <c r="A3" s="0" t="s">
        <v>131</v>
      </c>
      <c r="B3" s="0" t="n">
        <f aca="false">DOLLARFR(B2,E2)</f>
        <v>1.02</v>
      </c>
    </row>
    <row r="4" customFormat="false" ht="15" hidden="false" customHeight="false" outlineLevel="0" collapsed="false">
      <c r="A4" s="0" t="s">
        <v>132</v>
      </c>
      <c r="B4" s="0" t="n">
        <f aca="false">EFFECT(D4,E4)</f>
        <v>0.0535426673707582</v>
      </c>
      <c r="D4" s="47" t="n">
        <v>0.0525</v>
      </c>
      <c r="E4" s="0" t="n">
        <v>4</v>
      </c>
    </row>
    <row r="5" customFormat="false" ht="15" hidden="false" customHeight="false" outlineLevel="0" collapsed="false">
      <c r="A5" s="0" t="s">
        <v>133</v>
      </c>
      <c r="B5" s="0" t="n">
        <f aca="false">NOMINAL(B4,E4)</f>
        <v>0.0525000000000002</v>
      </c>
    </row>
    <row r="7" customFormat="false" ht="15" hidden="false" customHeight="false" outlineLevel="0" collapsed="false">
      <c r="A7" s="0" t="s">
        <v>134</v>
      </c>
      <c r="C7" s="48"/>
    </row>
    <row r="8" customFormat="false" ht="15" hidden="false" customHeight="false" outlineLevel="0" collapsed="false">
      <c r="A8" s="0" t="s">
        <v>135</v>
      </c>
      <c r="B8" s="48" t="n">
        <f aca="false">IRR(D8:I8,0.1)</f>
        <v>0.0866309480365316</v>
      </c>
      <c r="D8" s="0" t="n">
        <v>-70000</v>
      </c>
      <c r="E8" s="0" t="n">
        <v>12000</v>
      </c>
      <c r="F8" s="0" t="n">
        <v>15000</v>
      </c>
      <c r="G8" s="0" t="n">
        <v>18000</v>
      </c>
      <c r="H8" s="0" t="n">
        <v>21000</v>
      </c>
      <c r="I8" s="0" t="n">
        <v>26000</v>
      </c>
    </row>
    <row r="9" customFormat="false" ht="15" hidden="false" customHeight="false" outlineLevel="0" collapsed="false">
      <c r="A9" s="0" t="s">
        <v>136</v>
      </c>
      <c r="B9" s="48" t="n">
        <f aca="false">MIRR(D9:I9,J9,K9)</f>
        <v>0.126094130365905</v>
      </c>
      <c r="D9" s="0" t="n">
        <v>-120000</v>
      </c>
      <c r="E9" s="0" t="n">
        <v>39000</v>
      </c>
      <c r="F9" s="0" t="n">
        <v>30000</v>
      </c>
      <c r="G9" s="0" t="n">
        <v>21000</v>
      </c>
      <c r="H9" s="0" t="n">
        <v>37000</v>
      </c>
      <c r="I9" s="0" t="n">
        <v>46000</v>
      </c>
      <c r="J9" s="48" t="n">
        <v>0.1</v>
      </c>
      <c r="K9" s="48" t="n">
        <v>0.12</v>
      </c>
    </row>
    <row r="10" customFormat="false" ht="15" hidden="false" customHeight="false" outlineLevel="0" collapsed="false">
      <c r="A10" s="0" t="s">
        <v>137</v>
      </c>
      <c r="B10" s="49" t="n">
        <f aca="false">NPV(D10,E10,F10,G10,H10)</f>
        <v>1188.44341233522</v>
      </c>
      <c r="D10" s="48" t="n">
        <v>0.1</v>
      </c>
      <c r="E10" s="0" t="n">
        <v>-10000</v>
      </c>
      <c r="F10" s="0" t="n">
        <v>3000</v>
      </c>
      <c r="G10" s="0" t="n">
        <v>4200</v>
      </c>
      <c r="H10" s="0" t="n">
        <v>6800</v>
      </c>
    </row>
    <row r="11" customFormat="false" ht="15" hidden="false" customHeight="false" outlineLevel="0" collapsed="false">
      <c r="A11" s="0" t="s">
        <v>138</v>
      </c>
      <c r="B11" s="0" t="n">
        <f aca="false">XIRR(E10:H10,E11:H11)</f>
        <v>5.31523773858332</v>
      </c>
      <c r="E11" s="50" t="n">
        <v>41275</v>
      </c>
      <c r="F11" s="50" t="n">
        <v>41306</v>
      </c>
      <c r="G11" s="50" t="n">
        <v>41334</v>
      </c>
      <c r="H11" s="50" t="n">
        <v>41365</v>
      </c>
    </row>
    <row r="12" customFormat="false" ht="15" hidden="false" customHeight="false" outlineLevel="0" collapsed="false">
      <c r="A12" s="0" t="s">
        <v>139</v>
      </c>
      <c r="B12" s="0" t="n">
        <f aca="false">XNPV(B11,E10:H10,E11:H11)</f>
        <v>0</v>
      </c>
    </row>
    <row r="13" customFormat="false" ht="15" hidden="false" customHeight="false" outlineLevel="0" collapsed="false">
      <c r="A13" s="0" t="s">
        <v>140</v>
      </c>
      <c r="B13" s="0" t="n">
        <f aca="false">FVSCHEDULE(1,{0.09,0.11,0.1})</f>
        <v>1.33089</v>
      </c>
      <c r="C13" s="0" t="n">
        <f aca="false">FVSCHEDULE(1,D13:F13)</f>
        <v>1.33089</v>
      </c>
      <c r="D13" s="0" t="n">
        <v>0.09</v>
      </c>
      <c r="E13" s="0" t="n">
        <v>0.11</v>
      </c>
      <c r="F13" s="0" t="n">
        <v>0.1</v>
      </c>
    </row>
    <row r="15" customFormat="false" ht="15" hidden="false" customHeight="false" outlineLevel="0" collapsed="false">
      <c r="A15" s="0" t="s">
        <v>141</v>
      </c>
      <c r="D15" s="0" t="s">
        <v>142</v>
      </c>
      <c r="E15" s="0" t="s">
        <v>143</v>
      </c>
      <c r="F15" s="0" t="s">
        <v>144</v>
      </c>
      <c r="G15" s="0" t="s">
        <v>145</v>
      </c>
    </row>
    <row r="16" customFormat="false" ht="15" hidden="false" customHeight="false" outlineLevel="0" collapsed="false">
      <c r="A16" s="0" t="s">
        <v>146</v>
      </c>
      <c r="B16" s="49" t="n">
        <f aca="false">FV(D16/12,E16,F16,G16,1)</f>
        <v>2581.40337406014</v>
      </c>
      <c r="D16" s="48" t="n">
        <v>0.06</v>
      </c>
      <c r="E16" s="0" t="n">
        <v>10</v>
      </c>
      <c r="F16" s="0" t="n">
        <v>-200</v>
      </c>
      <c r="G16" s="0" t="n">
        <v>-500</v>
      </c>
    </row>
    <row r="17" customFormat="false" ht="15" hidden="false" customHeight="false" outlineLevel="0" collapsed="false">
      <c r="A17" s="0" t="s">
        <v>147</v>
      </c>
      <c r="B17" s="49" t="n">
        <f aca="false">IPMT(D17/12,3,E17,G17)</f>
        <v>-22.4068930159241</v>
      </c>
      <c r="D17" s="48" t="n">
        <v>0.1</v>
      </c>
      <c r="E17" s="0" t="n">
        <v>3</v>
      </c>
      <c r="G17" s="0" t="n">
        <v>8000</v>
      </c>
    </row>
    <row r="18" customFormat="false" ht="15" hidden="false" customHeight="false" outlineLevel="0" collapsed="false">
      <c r="A18" s="0" t="s">
        <v>148</v>
      </c>
      <c r="B18" s="49" t="n">
        <f aca="false">ISPMT(D18/12,1,E18*12,G18)</f>
        <v>-64.8148148148148</v>
      </c>
      <c r="D18" s="48" t="n">
        <v>0.1</v>
      </c>
      <c r="E18" s="0" t="n">
        <v>3</v>
      </c>
      <c r="G18" s="0" t="n">
        <v>8000</v>
      </c>
    </row>
    <row r="19" customFormat="false" ht="15" hidden="false" customHeight="false" outlineLevel="0" collapsed="false">
      <c r="A19" s="0" t="s">
        <v>149</v>
      </c>
      <c r="B19" s="0" t="n">
        <f aca="false">NPER(D19/12,F19,G19)</f>
        <v>-9.57859403981317</v>
      </c>
      <c r="D19" s="48" t="n">
        <v>0.12</v>
      </c>
      <c r="F19" s="0" t="n">
        <v>-100</v>
      </c>
      <c r="G19" s="0" t="n">
        <v>-1000</v>
      </c>
    </row>
    <row r="20" customFormat="false" ht="15" hidden="false" customHeight="false" outlineLevel="0" collapsed="false">
      <c r="A20" s="0" t="s">
        <v>150</v>
      </c>
      <c r="B20" s="49" t="n">
        <f aca="false">PMT(D17/12,E17,G17)</f>
        <v>-2711.23405492681</v>
      </c>
    </row>
    <row r="21" customFormat="false" ht="15" hidden="false" customHeight="false" outlineLevel="0" collapsed="false">
      <c r="A21" s="0" t="s">
        <v>151</v>
      </c>
      <c r="B21" s="49" t="n">
        <f aca="false">PPMT(D17/12,3,E17,G17)</f>
        <v>-2688.82716191088</v>
      </c>
    </row>
    <row r="22" customFormat="false" ht="15" hidden="false" customHeight="false" outlineLevel="0" collapsed="false">
      <c r="A22" s="0" t="s">
        <v>152</v>
      </c>
      <c r="B22" s="49" t="n">
        <f aca="false">PV(D22/12,12*E22,F22)</f>
        <v>-59777.1458511878</v>
      </c>
      <c r="D22" s="48" t="n">
        <v>0.08</v>
      </c>
      <c r="E22" s="0" t="n">
        <v>20</v>
      </c>
      <c r="F22" s="0" t="n">
        <v>500</v>
      </c>
    </row>
    <row r="23" customFormat="false" ht="15" hidden="false" customHeight="false" outlineLevel="0" collapsed="false">
      <c r="A23" s="0" t="s">
        <v>153</v>
      </c>
      <c r="B23" s="48" t="n">
        <f aca="false">RATE(E23*12,F23,G23)*12</f>
        <v>0.0924176698587934</v>
      </c>
      <c r="E23" s="0" t="n">
        <v>4</v>
      </c>
      <c r="F23" s="0" t="n">
        <v>-200</v>
      </c>
      <c r="G23" s="0" t="n">
        <v>8000</v>
      </c>
    </row>
    <row r="24" customFormat="false" ht="15" hidden="false" customHeight="false" outlineLevel="0" collapsed="false">
      <c r="A24" s="0" t="s">
        <v>154</v>
      </c>
      <c r="B24" s="0" t="n">
        <f aca="false">CUMIPMT(D24/12,E24*12,F24,G24,H24,0)</f>
        <v>-11135.2321307508</v>
      </c>
      <c r="D24" s="48" t="n">
        <v>0.09</v>
      </c>
      <c r="E24" s="0" t="n">
        <v>30</v>
      </c>
      <c r="F24" s="0" t="n">
        <v>125000</v>
      </c>
      <c r="G24" s="0" t="n">
        <v>13</v>
      </c>
      <c r="H24" s="0" t="n">
        <v>24</v>
      </c>
    </row>
    <row r="25" customFormat="false" ht="15" hidden="false" customHeight="false" outlineLevel="0" collapsed="false">
      <c r="A25" s="0" t="s">
        <v>155</v>
      </c>
      <c r="B25" s="0" t="n">
        <f aca="false">CUMPRINC(D24/12,E24*12,F24,G24,H24,0)</f>
        <v>-934.107123420898</v>
      </c>
    </row>
    <row r="27" customFormat="false" ht="15" hidden="false" customHeight="false" outlineLevel="0" collapsed="false">
      <c r="A27" s="0" t="s">
        <v>156</v>
      </c>
      <c r="D27" s="0" t="s">
        <v>157</v>
      </c>
      <c r="E27" s="0" t="s">
        <v>158</v>
      </c>
      <c r="F27" s="0" t="s">
        <v>159</v>
      </c>
      <c r="G27" s="0" t="s">
        <v>160</v>
      </c>
      <c r="H27" s="0" t="s">
        <v>161</v>
      </c>
    </row>
    <row r="28" customFormat="false" ht="15" hidden="false" customHeight="false" outlineLevel="0" collapsed="false">
      <c r="A28" s="0" t="s">
        <v>162</v>
      </c>
      <c r="B28" s="0" t="n">
        <f aca="false">TBILLEQ(D29,E29,F28)</f>
        <v>0.094151493565943</v>
      </c>
      <c r="F28" s="47" t="n">
        <v>0.0914</v>
      </c>
    </row>
    <row r="29" customFormat="false" ht="15" hidden="false" customHeight="false" outlineLevel="0" collapsed="false">
      <c r="A29" s="0" t="s">
        <v>163</v>
      </c>
      <c r="B29" s="0" t="n">
        <f aca="false">TBILLPRICE(D29,E29,F29)</f>
        <v>98.45</v>
      </c>
      <c r="D29" s="50" t="n">
        <v>39538</v>
      </c>
      <c r="E29" s="50" t="n">
        <v>39600</v>
      </c>
      <c r="F29" s="48" t="n">
        <v>0.09</v>
      </c>
      <c r="G29" s="0" t="n">
        <v>98.45</v>
      </c>
    </row>
    <row r="30" customFormat="false" ht="15" hidden="false" customHeight="false" outlineLevel="0" collapsed="false">
      <c r="A30" s="0" t="s">
        <v>164</v>
      </c>
      <c r="B30" s="0" t="n">
        <f aca="false">TBILLYIELD(D29,E29,G29)</f>
        <v>0.0914169629253423</v>
      </c>
    </row>
    <row r="31" customFormat="false" ht="15" hidden="false" customHeight="false" outlineLevel="0" collapsed="false">
      <c r="A31" s="0" t="s">
        <v>165</v>
      </c>
      <c r="B31" s="0" t="n">
        <f aca="false">PRICE(D31,E31,F31,G31,H31,I31)</f>
        <v>94.6343616213221</v>
      </c>
      <c r="D31" s="50" t="n">
        <v>39493</v>
      </c>
      <c r="E31" s="50" t="n">
        <v>43054</v>
      </c>
      <c r="F31" s="47" t="n">
        <v>0.0575</v>
      </c>
      <c r="G31" s="47" t="n">
        <v>0.065</v>
      </c>
      <c r="H31" s="0" t="n">
        <v>100</v>
      </c>
      <c r="I31" s="0" t="n">
        <v>2</v>
      </c>
    </row>
    <row r="32" customFormat="false" ht="15" hidden="false" customHeight="false" outlineLevel="0" collapsed="false">
      <c r="A32" s="0" t="s">
        <v>166</v>
      </c>
      <c r="B32" s="0" t="n">
        <f aca="false">YIELD(D32,E32,F32,G32,H32,I32)</f>
        <v>0.0650000068807552</v>
      </c>
      <c r="D32" s="50" t="n">
        <v>39493</v>
      </c>
      <c r="E32" s="50" t="n">
        <v>42689</v>
      </c>
      <c r="F32" s="47" t="n">
        <v>0.0575</v>
      </c>
      <c r="G32" s="0" t="n">
        <v>95.04287</v>
      </c>
      <c r="H32" s="0" t="n">
        <v>100</v>
      </c>
      <c r="I32" s="0" t="n">
        <v>2</v>
      </c>
    </row>
    <row r="33" customFormat="false" ht="15" hidden="false" customHeight="false" outlineLevel="0" collapsed="false">
      <c r="A33" s="0" t="s">
        <v>167</v>
      </c>
      <c r="B33" s="0" t="n">
        <f aca="false">DISC(D33,E33,G33,H33)</f>
        <v>0.0520714285714288</v>
      </c>
      <c r="D33" s="50" t="n">
        <v>39107</v>
      </c>
      <c r="E33" s="50" t="n">
        <v>39248</v>
      </c>
      <c r="G33" s="0" t="n">
        <v>97.975</v>
      </c>
      <c r="H33" s="0" t="n">
        <v>100</v>
      </c>
    </row>
    <row r="34" customFormat="false" ht="15" hidden="false" customHeight="false" outlineLevel="0" collapsed="false">
      <c r="A34" s="0" t="s">
        <v>168</v>
      </c>
      <c r="B34" s="0" t="n">
        <f aca="false">PRICEDISC(D34,E34,F34,H34,SQRT(4))</f>
        <v>99.7958333333333</v>
      </c>
      <c r="D34" s="50" t="n">
        <v>39494</v>
      </c>
      <c r="E34" s="50" t="n">
        <v>39508</v>
      </c>
      <c r="F34" s="47" t="n">
        <v>0.0525</v>
      </c>
      <c r="H34" s="0" t="n">
        <v>100</v>
      </c>
    </row>
    <row r="35" customFormat="false" ht="15" hidden="false" customHeight="false" outlineLevel="0" collapsed="false">
      <c r="A35" s="0" t="s">
        <v>169</v>
      </c>
      <c r="B35" s="0" t="n">
        <f aca="false">YIELDDISC(D34,E34,G35,H34,LOG(100)/LOG(10))</f>
        <v>0.0528225719868601</v>
      </c>
      <c r="G35" s="0" t="n">
        <v>99.795</v>
      </c>
    </row>
    <row r="36" customFormat="false" ht="15" hidden="false" customHeight="false" outlineLevel="0" collapsed="false">
      <c r="A36" s="0" t="s">
        <v>170</v>
      </c>
      <c r="B36" s="0" t="n">
        <f aca="false">PRICEMAT(D36,E36,F36,G36,G36,H36)</f>
        <v>99.984498875557</v>
      </c>
      <c r="D36" s="50" t="n">
        <v>39493</v>
      </c>
      <c r="E36" s="50" t="n">
        <v>39551</v>
      </c>
      <c r="F36" s="50" t="n">
        <v>39397</v>
      </c>
      <c r="G36" s="47" t="n">
        <v>0.061</v>
      </c>
      <c r="H36" s="50" t="n">
        <v>0</v>
      </c>
    </row>
    <row r="37" customFormat="false" ht="15" hidden="false" customHeight="false" outlineLevel="0" collapsed="false">
      <c r="A37" s="0" t="s">
        <v>171</v>
      </c>
      <c r="B37" s="0" t="n">
        <f aca="false">YIELDMAT(D37,E37,F37,G37,H37,I37)</f>
        <v>0.0609543336915386</v>
      </c>
      <c r="D37" s="50" t="n">
        <v>39522</v>
      </c>
      <c r="E37" s="50" t="n">
        <v>39755</v>
      </c>
      <c r="F37" s="50" t="n">
        <v>39394</v>
      </c>
      <c r="G37" s="47" t="n">
        <v>0.0625</v>
      </c>
      <c r="H37" s="0" t="n">
        <v>100.0123</v>
      </c>
      <c r="I37" s="0" t="n">
        <v>0</v>
      </c>
    </row>
    <row r="38" customFormat="false" ht="15" hidden="false" customHeight="false" outlineLevel="0" collapsed="false">
      <c r="A38" s="0" t="s">
        <v>172</v>
      </c>
      <c r="B38" s="0" t="n">
        <f aca="false">DURATION(D38,E38,F38,G38,H38,I38)</f>
        <v>5.99195013802694</v>
      </c>
      <c r="D38" s="50" t="n">
        <v>39448</v>
      </c>
      <c r="E38" s="50" t="n">
        <v>42370</v>
      </c>
      <c r="F38" s="48" t="n">
        <v>0.08</v>
      </c>
      <c r="G38" s="48" t="n">
        <v>0.09</v>
      </c>
      <c r="H38" s="0" t="n">
        <v>2</v>
      </c>
      <c r="I38" s="0" t="n">
        <v>1</v>
      </c>
    </row>
    <row r="39" customFormat="false" ht="15" hidden="false" customHeight="false" outlineLevel="0" collapsed="false">
      <c r="A39" s="0" t="s">
        <v>173</v>
      </c>
      <c r="B39" s="0" t="n">
        <f aca="false">MDURATION(D38,E38,F38,G38,H38,I38)</f>
        <v>5.73392357705927</v>
      </c>
    </row>
    <row r="40" customFormat="false" ht="15" hidden="false" customHeight="false" outlineLevel="0" collapsed="false">
      <c r="A40" s="0" t="s">
        <v>174</v>
      </c>
      <c r="B40" s="0" t="n">
        <f aca="false">ACCRINT(D40,E40,F40,G40,H40,I40,J40)</f>
        <v>16.6666666666667</v>
      </c>
      <c r="D40" s="43" t="n">
        <v>39508</v>
      </c>
      <c r="E40" s="43" t="n">
        <v>39691</v>
      </c>
      <c r="F40" s="43" t="n">
        <v>39569</v>
      </c>
      <c r="G40" s="48" t="n">
        <v>0.1</v>
      </c>
      <c r="H40" s="0" t="n">
        <v>1000</v>
      </c>
      <c r="I40" s="0" t="n">
        <v>2</v>
      </c>
      <c r="J40" s="0" t="n">
        <v>0</v>
      </c>
    </row>
    <row r="41" customFormat="false" ht="15" hidden="false" customHeight="false" outlineLevel="0" collapsed="false">
      <c r="A41" s="0" t="s">
        <v>175</v>
      </c>
      <c r="B41" s="0" t="n">
        <f aca="false">ACCRINTM(D41,E41,G41,H41,I41)</f>
        <v>20.5479452054794</v>
      </c>
      <c r="D41" s="43" t="n">
        <v>39539</v>
      </c>
      <c r="E41" s="43" t="n">
        <v>39614</v>
      </c>
      <c r="G41" s="48" t="n">
        <v>0.1</v>
      </c>
      <c r="H41" s="0" t="n">
        <v>1000</v>
      </c>
      <c r="I41" s="0" t="n">
        <v>3</v>
      </c>
    </row>
    <row r="42" customFormat="false" ht="15" hidden="false" customHeight="false" outlineLevel="0" collapsed="false">
      <c r="A42" s="0" t="s">
        <v>176</v>
      </c>
      <c r="B42" s="0" t="n">
        <f aca="false">INTRATE(D42,E42,F42,G42,H42)</f>
        <v>0.0576800000000004</v>
      </c>
      <c r="D42" s="43" t="n">
        <v>39493</v>
      </c>
      <c r="E42" s="43" t="n">
        <v>39583</v>
      </c>
      <c r="F42" s="0" t="n">
        <v>1000000</v>
      </c>
      <c r="G42" s="0" t="n">
        <v>1014420</v>
      </c>
      <c r="H42" s="0" t="n">
        <v>2</v>
      </c>
    </row>
    <row r="43" customFormat="false" ht="15" hidden="false" customHeight="false" outlineLevel="0" collapsed="false">
      <c r="A43" s="0" t="s">
        <v>177</v>
      </c>
      <c r="B43" s="0" t="n">
        <f aca="false">RECEIVED(D43,E43,F43,G43,H43)</f>
        <v>1014584.6544071</v>
      </c>
      <c r="D43" s="43" t="n">
        <v>39493</v>
      </c>
      <c r="E43" s="43" t="n">
        <v>39583</v>
      </c>
      <c r="F43" s="0" t="n">
        <v>1000000</v>
      </c>
      <c r="G43" s="47" t="n">
        <v>0.0575</v>
      </c>
      <c r="H43" s="0" t="n">
        <v>2</v>
      </c>
    </row>
    <row r="44" customFormat="false" ht="15" hidden="false" customHeight="false" outlineLevel="0" collapsed="false">
      <c r="A44" s="0" t="s">
        <v>178</v>
      </c>
      <c r="B44" s="0" t="e">
        <f aca="false">ODDFPRICE(D44,E44,F44,G44,H44,I44,J44,K44,L44)</f>
        <v>#VALUE!</v>
      </c>
      <c r="D44" s="50" t="n">
        <v>39763</v>
      </c>
      <c r="E44" s="50" t="n">
        <v>44256</v>
      </c>
      <c r="F44" s="50" t="n">
        <v>39736</v>
      </c>
      <c r="G44" s="50" t="n">
        <v>39873</v>
      </c>
      <c r="H44" s="47" t="n">
        <v>0.0785</v>
      </c>
      <c r="I44" s="47" t="n">
        <v>0.0625</v>
      </c>
      <c r="J44" s="0" t="n">
        <v>100</v>
      </c>
      <c r="K44" s="0" t="n">
        <v>2</v>
      </c>
      <c r="L44" s="0" t="n">
        <v>1</v>
      </c>
    </row>
    <row r="45" customFormat="false" ht="15" hidden="false" customHeight="false" outlineLevel="0" collapsed="false">
      <c r="A45" s="0" t="s">
        <v>179</v>
      </c>
      <c r="B45" s="0" t="e">
        <f aca="false">ODDFYIELD(D45,E45,F45,G45,H45,I45,J45,K45,L45)</f>
        <v>#VALUE!</v>
      </c>
      <c r="D45" s="50" t="n">
        <v>39763</v>
      </c>
      <c r="E45" s="50" t="n">
        <v>44256</v>
      </c>
      <c r="F45" s="50" t="n">
        <v>39736</v>
      </c>
      <c r="G45" s="50" t="n">
        <v>39873</v>
      </c>
      <c r="H45" s="47" t="n">
        <v>0.0575</v>
      </c>
      <c r="I45" s="0" t="n">
        <v>84.5</v>
      </c>
      <c r="J45" s="0" t="n">
        <v>100</v>
      </c>
      <c r="K45" s="0" t="n">
        <v>2</v>
      </c>
      <c r="L45" s="0" t="n">
        <v>0</v>
      </c>
    </row>
    <row r="46" customFormat="false" ht="15" hidden="false" customHeight="false" outlineLevel="0" collapsed="false">
      <c r="A46" s="0" t="s">
        <v>180</v>
      </c>
      <c r="B46" s="0" t="n">
        <f aca="false">ODDLPRICE(D46,E46,F46,G46,H46,I46,J46,K46)</f>
        <v>110.882869098244</v>
      </c>
      <c r="D46" s="50" t="n">
        <v>39763</v>
      </c>
      <c r="E46" s="50" t="n">
        <v>44256</v>
      </c>
      <c r="F46" s="50" t="n">
        <v>39736</v>
      </c>
      <c r="G46" s="47" t="n">
        <v>0.0785</v>
      </c>
      <c r="H46" s="47" t="n">
        <v>0.0625</v>
      </c>
      <c r="I46" s="0" t="n">
        <v>100</v>
      </c>
      <c r="J46" s="0" t="n">
        <v>2</v>
      </c>
      <c r="K46" s="0" t="n">
        <v>0</v>
      </c>
    </row>
    <row r="47" customFormat="false" ht="15" hidden="false" customHeight="false" outlineLevel="0" collapsed="false">
      <c r="A47" s="0" t="s">
        <v>181</v>
      </c>
      <c r="B47" s="0" t="n">
        <f aca="false">ODDLYIELD(D47,E47,F47,G47,H47,I47,J47,K47)</f>
        <v>0.0825480863149533</v>
      </c>
      <c r="D47" s="50" t="n">
        <v>39763</v>
      </c>
      <c r="E47" s="50" t="n">
        <v>44256</v>
      </c>
      <c r="F47" s="50" t="n">
        <v>39736</v>
      </c>
      <c r="G47" s="47" t="n">
        <v>0.0575</v>
      </c>
      <c r="H47" s="0" t="n">
        <v>84.5</v>
      </c>
      <c r="I47" s="0" t="n">
        <v>100</v>
      </c>
      <c r="J47" s="0" t="n">
        <v>2</v>
      </c>
      <c r="K47" s="0" t="n">
        <v>0</v>
      </c>
    </row>
    <row r="48" customFormat="false" ht="15" hidden="false" customHeight="false" outlineLevel="0" collapsed="false">
      <c r="A48" s="0" t="s">
        <v>182</v>
      </c>
      <c r="B48" s="0" t="n">
        <f aca="false">COUPDAYBS(D48,E48,F48,G48)</f>
        <v>71</v>
      </c>
      <c r="D48" s="43" t="n">
        <f aca="false">DATE(2007,1,25)</f>
        <v>39107</v>
      </c>
      <c r="E48" s="43" t="n">
        <f aca="false">DATE(2008,11,15)</f>
        <v>39767</v>
      </c>
      <c r="F48" s="0" t="n">
        <v>2</v>
      </c>
      <c r="G48" s="0" t="n">
        <v>1</v>
      </c>
    </row>
    <row r="49" customFormat="false" ht="15" hidden="false" customHeight="false" outlineLevel="0" collapsed="false">
      <c r="A49" s="0" t="s">
        <v>183</v>
      </c>
      <c r="B49" s="0" t="n">
        <f aca="false">COUPDAYS(D48,E48,F48,G48)</f>
        <v>181</v>
      </c>
    </row>
    <row r="50" customFormat="false" ht="15" hidden="false" customHeight="false" outlineLevel="0" collapsed="false">
      <c r="A50" s="0" t="s">
        <v>184</v>
      </c>
      <c r="B50" s="0" t="n">
        <f aca="false">COUPDAYSNC(D48,E48,F48,G48)</f>
        <v>110</v>
      </c>
    </row>
    <row r="51" customFormat="false" ht="15" hidden="false" customHeight="false" outlineLevel="0" collapsed="false">
      <c r="A51" s="0" t="s">
        <v>185</v>
      </c>
      <c r="B51" s="43" t="n">
        <f aca="false">COUPNCD(D48,E48,F48,G48)</f>
        <v>39217</v>
      </c>
      <c r="C51" s="43"/>
    </row>
    <row r="52" customFormat="false" ht="15" hidden="false" customHeight="false" outlineLevel="0" collapsed="false">
      <c r="A52" s="0" t="s">
        <v>186</v>
      </c>
      <c r="B52" s="0" t="n">
        <f aca="false">COUPNUM(D48,E48,F48,G48)</f>
        <v>4</v>
      </c>
    </row>
    <row r="53" customFormat="false" ht="15" hidden="false" customHeight="false" outlineLevel="0" collapsed="false">
      <c r="A53" s="0" t="s">
        <v>187</v>
      </c>
      <c r="B53" s="0" t="n">
        <f aca="false">COUPPCD(D48,E48,F48,G48)</f>
        <v>39036</v>
      </c>
    </row>
    <row r="55" customFormat="false" ht="15" hidden="false" customHeight="false" outlineLevel="0" collapsed="false">
      <c r="A55" s="0" t="s">
        <v>188</v>
      </c>
      <c r="D55" s="0" t="s">
        <v>189</v>
      </c>
      <c r="E55" s="0" t="s">
        <v>190</v>
      </c>
      <c r="F55" s="0" t="s">
        <v>191</v>
      </c>
      <c r="G55" s="0" t="s">
        <v>192</v>
      </c>
    </row>
    <row r="56" customFormat="false" ht="15" hidden="false" customHeight="false" outlineLevel="0" collapsed="false">
      <c r="A56" s="0" t="s">
        <v>193</v>
      </c>
      <c r="B56" s="49" t="n">
        <f aca="false">DB(D56,E56,F56,G56,H56)</f>
        <v>55841.7567360285</v>
      </c>
      <c r="D56" s="0" t="n">
        <v>1000000</v>
      </c>
      <c r="E56" s="0" t="n">
        <v>100000</v>
      </c>
      <c r="F56" s="0" t="n">
        <v>6</v>
      </c>
      <c r="G56" s="0" t="n">
        <v>6</v>
      </c>
      <c r="H56" s="0" t="n">
        <v>7</v>
      </c>
    </row>
    <row r="57" customFormat="false" ht="15" hidden="false" customHeight="false" outlineLevel="0" collapsed="false">
      <c r="A57" s="0" t="s">
        <v>194</v>
      </c>
      <c r="B57" s="49" t="n">
        <f aca="false">DDB(D57,E57,F57*365,G57)</f>
        <v>1.3143479076748</v>
      </c>
      <c r="D57" s="0" t="n">
        <v>2400</v>
      </c>
      <c r="E57" s="0" t="n">
        <v>300</v>
      </c>
      <c r="F57" s="0" t="n">
        <v>10</v>
      </c>
      <c r="G57" s="0" t="n">
        <v>2</v>
      </c>
    </row>
    <row r="58" customFormat="false" ht="15" hidden="false" customHeight="false" outlineLevel="0" collapsed="false">
      <c r="A58" s="0" t="s">
        <v>195</v>
      </c>
      <c r="B58" s="49" t="n">
        <f aca="false">SLN(D59,E59,F59)</f>
        <v>2250</v>
      </c>
    </row>
    <row r="59" customFormat="false" ht="15" hidden="false" customHeight="false" outlineLevel="0" collapsed="false">
      <c r="A59" s="0" t="s">
        <v>196</v>
      </c>
      <c r="B59" s="49" t="n">
        <f aca="false">SYD(D59,E59,F59,G59)</f>
        <v>409.090909090909</v>
      </c>
      <c r="D59" s="0" t="n">
        <v>30000</v>
      </c>
      <c r="E59" s="0" t="n">
        <v>7500</v>
      </c>
      <c r="F59" s="0" t="n">
        <v>10</v>
      </c>
      <c r="G59" s="0" t="n">
        <v>10</v>
      </c>
    </row>
    <row r="60" customFormat="false" ht="15" hidden="false" customHeight="false" outlineLevel="0" collapsed="false">
      <c r="A60" s="0" t="s">
        <v>197</v>
      </c>
      <c r="B60" s="49" t="n">
        <f aca="false">VDB(D57,E57,F57*365,5,9)</f>
        <v>5.24156794233068</v>
      </c>
      <c r="D60" s="0" t="s">
        <v>189</v>
      </c>
      <c r="E60" s="0" t="s">
        <v>190</v>
      </c>
      <c r="F60" s="0" t="s">
        <v>142</v>
      </c>
      <c r="G60" s="0" t="s">
        <v>192</v>
      </c>
      <c r="H60" s="0" t="s">
        <v>198</v>
      </c>
      <c r="I60" s="0" t="s">
        <v>199</v>
      </c>
    </row>
    <row r="61" customFormat="false" ht="15" hidden="false" customHeight="false" outlineLevel="0" collapsed="false">
      <c r="A61" s="0" t="s">
        <v>200</v>
      </c>
      <c r="B61" s="0" t="n">
        <f aca="false">AMORDEGRC(D62,H62,I62,E62,G62,F62)</f>
        <v>767</v>
      </c>
    </row>
    <row r="62" customFormat="false" ht="15" hidden="false" customHeight="false" outlineLevel="0" collapsed="false">
      <c r="A62" s="0" t="s">
        <v>201</v>
      </c>
      <c r="B62" s="0" t="n">
        <f aca="false">AMORLINC(D62,H62,I62,E62,G62,F62)</f>
        <v>360</v>
      </c>
      <c r="D62" s="0" t="n">
        <v>2400</v>
      </c>
      <c r="E62" s="0" t="n">
        <v>300</v>
      </c>
      <c r="F62" s="48" t="n">
        <v>0.15</v>
      </c>
      <c r="G62" s="0" t="n">
        <v>1</v>
      </c>
      <c r="H62" s="43" t="n">
        <v>39669</v>
      </c>
      <c r="I62" s="43" t="n">
        <v>39813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202</v>
      </c>
      <c r="B1" s="0" t="str">
        <f aca="true">CELL(C1,D1)</f>
        <v>$D$1</v>
      </c>
      <c r="C1" s="0" t="s">
        <v>203</v>
      </c>
    </row>
    <row r="2" customFormat="false" ht="15" hidden="false" customHeight="false" outlineLevel="0" collapsed="false">
      <c r="A2" s="0" t="s">
        <v>204</v>
      </c>
      <c r="B2" s="0" t="n">
        <f aca="false">ERROR.TYPE(#VALUE!)</f>
        <v>3</v>
      </c>
      <c r="C2" s="0" t="e">
        <f aca="false">0/0</f>
        <v>#DIV/0!</v>
      </c>
    </row>
    <row r="3" customFormat="false" ht="15" hidden="false" customHeight="false" outlineLevel="0" collapsed="false">
      <c r="A3" s="0" t="s">
        <v>205</v>
      </c>
      <c r="B3" s="0" t="str">
        <f aca="true">INFO(C3)</f>
        <v>00m0(Build:3)</v>
      </c>
      <c r="C3" s="0" t="s">
        <v>206</v>
      </c>
    </row>
    <row r="4" customFormat="false" ht="15" hidden="false" customHeight="false" outlineLevel="0" collapsed="false">
      <c r="A4" s="0" t="s">
        <v>207</v>
      </c>
      <c r="B4" s="0" t="n">
        <f aca="false">ISBLANK(C4)</f>
        <v>1</v>
      </c>
    </row>
    <row r="5" customFormat="false" ht="15" hidden="false" customHeight="false" outlineLevel="0" collapsed="false">
      <c r="A5" s="0" t="s">
        <v>208</v>
      </c>
      <c r="B5" s="0" t="n">
        <f aca="false">ISERR(C5)</f>
        <v>0</v>
      </c>
    </row>
    <row r="6" customFormat="false" ht="15" hidden="false" customHeight="false" outlineLevel="0" collapsed="false">
      <c r="A6" s="0" t="s">
        <v>209</v>
      </c>
      <c r="B6" s="0" t="n">
        <f aca="false">ISERROR(C2)</f>
        <v>1</v>
      </c>
    </row>
    <row r="7" customFormat="false" ht="15" hidden="false" customHeight="false" outlineLevel="0" collapsed="false">
      <c r="A7" s="0" t="s">
        <v>210</v>
      </c>
      <c r="B7" s="0" t="n">
        <f aca="false">ISEVEN(C7)</f>
        <v>0</v>
      </c>
      <c r="C7" s="0" t="n">
        <v>7</v>
      </c>
    </row>
    <row r="8" customFormat="false" ht="15" hidden="false" customHeight="false" outlineLevel="0" collapsed="false">
      <c r="A8" s="0" t="s">
        <v>211</v>
      </c>
      <c r="B8" s="0" t="n">
        <f aca="false">ISLOGICAL(C8)</f>
        <v>0</v>
      </c>
      <c r="C8" s="0" t="n">
        <f aca="false">TRUE()</f>
        <v>1</v>
      </c>
    </row>
    <row r="9" customFormat="false" ht="15" hidden="false" customHeight="false" outlineLevel="0" collapsed="false">
      <c r="A9" s="0" t="s">
        <v>212</v>
      </c>
      <c r="B9" s="0" t="n">
        <f aca="false">ISNA(C9)</f>
        <v>1</v>
      </c>
      <c r="C9" s="0" t="e">
        <f aca="false">NA()</f>
        <v>#N/A</v>
      </c>
    </row>
    <row r="10" customFormat="false" ht="15" hidden="false" customHeight="false" outlineLevel="0" collapsed="false">
      <c r="A10" s="0" t="s">
        <v>213</v>
      </c>
      <c r="B10" s="0" t="n">
        <f aca="false">ISNONTEXT(C10)</f>
        <v>1</v>
      </c>
      <c r="C10" s="0" t="n">
        <v>3</v>
      </c>
    </row>
    <row r="11" customFormat="false" ht="15" hidden="false" customHeight="false" outlineLevel="0" collapsed="false">
      <c r="A11" s="0" t="s">
        <v>214</v>
      </c>
      <c r="B11" s="0" t="n">
        <f aca="false">ISNUMBER(C11)</f>
        <v>0</v>
      </c>
      <c r="C11" s="2" t="s">
        <v>215</v>
      </c>
    </row>
    <row r="12" customFormat="false" ht="15" hidden="false" customHeight="false" outlineLevel="0" collapsed="false">
      <c r="A12" s="0" t="s">
        <v>216</v>
      </c>
      <c r="B12" s="0" t="e">
        <f aca="false">ISODD(C12)</f>
        <v>#VALUE!</v>
      </c>
      <c r="C12" s="2" t="s">
        <v>215</v>
      </c>
    </row>
    <row r="13" customFormat="false" ht="15" hidden="false" customHeight="false" outlineLevel="0" collapsed="false">
      <c r="A13" s="0" t="s">
        <v>217</v>
      </c>
      <c r="B13" s="0" t="n">
        <f aca="false">ISREF("address")</f>
        <v>0</v>
      </c>
      <c r="C13" s="0" t="s">
        <v>218</v>
      </c>
    </row>
    <row r="14" customFormat="false" ht="15" hidden="false" customHeight="false" outlineLevel="0" collapsed="false">
      <c r="A14" s="0" t="s">
        <v>219</v>
      </c>
      <c r="B14" s="0" t="n">
        <f aca="false">ISTEXT(C14)</f>
        <v>0</v>
      </c>
      <c r="C14" s="0" t="n">
        <v>3</v>
      </c>
    </row>
    <row r="15" customFormat="false" ht="15" hidden="false" customHeight="false" outlineLevel="0" collapsed="false">
      <c r="A15" s="0" t="s">
        <v>220</v>
      </c>
      <c r="B15" s="0" t="n">
        <f aca="false">N(C15)</f>
        <v>1</v>
      </c>
      <c r="C15" s="0" t="n">
        <f aca="false">TRUE()</f>
        <v>1</v>
      </c>
    </row>
    <row r="16" customFormat="false" ht="15" hidden="false" customHeight="false" outlineLevel="0" collapsed="false">
      <c r="A16" s="0" t="s">
        <v>221</v>
      </c>
      <c r="B16" s="0" t="e">
        <f aca="false">NA()</f>
        <v>#N/A</v>
      </c>
    </row>
    <row r="17" customFormat="false" ht="15" hidden="false" customHeight="false" outlineLevel="0" collapsed="false">
      <c r="A17" s="0" t="s">
        <v>222</v>
      </c>
      <c r="B17" s="0" t="n">
        <f aca="false">TYPE({1,2;3,4})</f>
        <v>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223</v>
      </c>
    </row>
    <row r="2" customFormat="false" ht="15" hidden="false" customHeight="false" outlineLevel="0" collapsed="false">
      <c r="A2" s="2" t="s">
        <v>224</v>
      </c>
      <c r="B2" s="0" t="n">
        <f aca="false">FALSE()</f>
        <v>0</v>
      </c>
    </row>
    <row r="3" customFormat="false" ht="15" hidden="false" customHeight="false" outlineLevel="0" collapsed="false">
      <c r="A3" s="2" t="s">
        <v>225</v>
      </c>
      <c r="B3" s="0" t="n">
        <f aca="false">TRUE()</f>
        <v>1</v>
      </c>
    </row>
    <row r="4" customFormat="false" ht="15" hidden="false" customHeight="false" outlineLevel="0" collapsed="false">
      <c r="A4" s="2"/>
    </row>
    <row r="5" customFormat="false" ht="15" hidden="false" customHeight="false" outlineLevel="0" collapsed="false">
      <c r="A5" s="2" t="s">
        <v>226</v>
      </c>
    </row>
    <row r="6" customFormat="false" ht="15" hidden="false" customHeight="false" outlineLevel="0" collapsed="false">
      <c r="A6" s="0" t="s">
        <v>227</v>
      </c>
      <c r="B6" s="0" t="n">
        <f aca="false">AND(C6,D6)</f>
        <v>0</v>
      </c>
      <c r="C6" s="0" t="n">
        <f aca="false">TRUE()</f>
        <v>1</v>
      </c>
      <c r="D6" s="0" t="n">
        <f aca="false">FALSE()</f>
        <v>0</v>
      </c>
    </row>
    <row r="7" customFormat="false" ht="15" hidden="false" customHeight="false" outlineLevel="0" collapsed="false">
      <c r="A7" s="0" t="s">
        <v>228</v>
      </c>
      <c r="B7" s="0" t="n">
        <f aca="false">NOT(C6)</f>
        <v>0</v>
      </c>
    </row>
    <row r="8" customFormat="false" ht="15" hidden="false" customHeight="false" outlineLevel="0" collapsed="false">
      <c r="A8" s="0" t="s">
        <v>229</v>
      </c>
      <c r="B8" s="0" t="n">
        <f aca="false">OR(C6,D6)</f>
        <v>1</v>
      </c>
    </row>
    <row r="10" customFormat="false" ht="15" hidden="false" customHeight="false" outlineLevel="0" collapsed="false">
      <c r="A10" s="0" t="s">
        <v>230</v>
      </c>
    </row>
    <row r="11" customFormat="false" ht="15" hidden="false" customHeight="false" outlineLevel="0" collapsed="false">
      <c r="A11" s="0" t="s">
        <v>231</v>
      </c>
      <c r="B11" s="0" t="n">
        <f aca="false">IF(B8,C11,D11)</f>
        <v>123</v>
      </c>
      <c r="C11" s="0" t="n">
        <v>123</v>
      </c>
      <c r="D11" s="0" t="n">
        <v>456</v>
      </c>
    </row>
    <row r="12" customFormat="false" ht="15" hidden="false" customHeight="false" outlineLevel="0" collapsed="false">
      <c r="A12" s="0" t="s">
        <v>232</v>
      </c>
      <c r="B12" s="0" t="n">
        <f aca="false">IFERROR(C12,D12)</f>
        <v>456</v>
      </c>
      <c r="C12" s="0" t="e">
        <f aca="false">0/0</f>
        <v>#DIV/0!</v>
      </c>
      <c r="D12" s="0" t="n">
        <v>456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233</v>
      </c>
    </row>
    <row r="2" customFormat="false" ht="15" hidden="false" customHeight="false" outlineLevel="0" collapsed="false">
      <c r="A2" s="0" t="s">
        <v>234</v>
      </c>
      <c r="B2" s="0" t="n">
        <f aca="false">COLUMN(C2)</f>
        <v>3</v>
      </c>
    </row>
    <row r="3" customFormat="false" ht="15" hidden="false" customHeight="false" outlineLevel="0" collapsed="false">
      <c r="A3" s="0" t="s">
        <v>235</v>
      </c>
      <c r="B3" s="0" t="n">
        <f aca="false">ROW(C3)</f>
        <v>3</v>
      </c>
    </row>
    <row r="4" customFormat="false" ht="15" hidden="false" customHeight="false" outlineLevel="0" collapsed="false">
      <c r="A4" s="0" t="s">
        <v>236</v>
      </c>
      <c r="B4" s="0" t="n">
        <f aca="false">COLUMNS(A10:D21)</f>
        <v>4</v>
      </c>
    </row>
    <row r="5" customFormat="false" ht="15" hidden="false" customHeight="false" outlineLevel="0" collapsed="false">
      <c r="A5" s="0" t="s">
        <v>237</v>
      </c>
      <c r="B5" s="0" t="n">
        <f aca="false">ROWS(A10:D21)</f>
        <v>12</v>
      </c>
    </row>
    <row r="6" customFormat="false" ht="15" hidden="false" customHeight="false" outlineLevel="0" collapsed="false">
      <c r="A6" s="0" t="s">
        <v>238</v>
      </c>
      <c r="B6" s="0" t="str">
        <f aca="true">INDIRECT(C6)</f>
        <v>ADDRESS</v>
      </c>
      <c r="C6" s="0" t="s">
        <v>239</v>
      </c>
    </row>
    <row r="7" customFormat="false" ht="15" hidden="false" customHeight="false" outlineLevel="0" collapsed="false">
      <c r="A7" s="0" t="s">
        <v>240</v>
      </c>
      <c r="B7" s="0" t="n">
        <f aca="false">AREAS((B7:D14~E2~F4:H16))</f>
        <v>3</v>
      </c>
    </row>
    <row r="9" customFormat="false" ht="15" hidden="false" customHeight="false" outlineLevel="0" collapsed="false">
      <c r="A9" s="0" t="s">
        <v>70</v>
      </c>
    </row>
    <row r="10" customFormat="false" ht="15" hidden="false" customHeight="false" outlineLevel="0" collapsed="false">
      <c r="A10" s="0" t="s">
        <v>241</v>
      </c>
      <c r="B10" s="0" t="str">
        <f aca="false">ADDRESS(2,2)</f>
        <v>$B$2</v>
      </c>
    </row>
    <row r="11" customFormat="false" ht="15" hidden="false" customHeight="false" outlineLevel="0" collapsed="false">
      <c r="A11" s="0" t="s">
        <v>242</v>
      </c>
      <c r="B11" s="0" t="n">
        <f aca="true">OFFSET(C11,D11,E11)</f>
        <v>0</v>
      </c>
      <c r="C11" s="0" t="s">
        <v>243</v>
      </c>
      <c r="D11" s="0" t="n">
        <v>-1</v>
      </c>
      <c r="E11" s="0" t="n">
        <v>0</v>
      </c>
    </row>
    <row r="13" customFormat="false" ht="15" hidden="false" customHeight="false" outlineLevel="0" collapsed="false">
      <c r="A13" s="0" t="s">
        <v>244</v>
      </c>
      <c r="B13" s="51"/>
    </row>
    <row r="14" customFormat="false" ht="15" hidden="false" customHeight="false" outlineLevel="0" collapsed="false">
      <c r="A14" s="0" t="s">
        <v>245</v>
      </c>
      <c r="B14" s="0" t="str">
        <f aca="false">CHOOSE(C14,A10,A7,A14,#REF!,A2,A4,A15,A23,A16,A17)</f>
        <v>CHOOSE</v>
      </c>
      <c r="C14" s="0" t="n">
        <v>3</v>
      </c>
    </row>
    <row r="15" customFormat="false" ht="15" hidden="false" customHeight="false" outlineLevel="0" collapsed="false">
      <c r="A15" s="0" t="s">
        <v>246</v>
      </c>
      <c r="B15" s="0" t="str">
        <f aca="false">HLOOKUP(C15,A10:C21,10,0)</f>
        <v>LOOKUP (arr)</v>
      </c>
      <c r="C15" s="0" t="s">
        <v>241</v>
      </c>
    </row>
    <row r="16" customFormat="false" ht="15" hidden="false" customHeight="false" outlineLevel="0" collapsed="false">
      <c r="A16" s="0" t="s">
        <v>247</v>
      </c>
      <c r="B16" s="0" t="str">
        <f aca="false">INDEX(A1:D21,C16,D16)</f>
        <v>ADDRESS</v>
      </c>
      <c r="C16" s="0" t="n">
        <v>6</v>
      </c>
      <c r="D16" s="0" t="n">
        <v>2</v>
      </c>
    </row>
    <row r="17" customFormat="false" ht="15" hidden="false" customHeight="false" outlineLevel="0" collapsed="false">
      <c r="A17" s="0" t="s">
        <v>248</v>
      </c>
      <c r="B17" s="0" t="n">
        <f aca="false">INDEX({1,2;3,4},C17,D17)</f>
        <v>3</v>
      </c>
      <c r="C17" s="0" t="n">
        <v>2</v>
      </c>
      <c r="D17" s="0" t="n">
        <v>1</v>
      </c>
    </row>
    <row r="18" customFormat="false" ht="15" hidden="false" customHeight="false" outlineLevel="0" collapsed="false">
      <c r="A18" s="0" t="s">
        <v>249</v>
      </c>
      <c r="B18" s="0" t="str">
        <f aca="false">LOOKUP(C18,A10:A21)</f>
        <v>MATCH</v>
      </c>
      <c r="C18" s="0" t="s">
        <v>250</v>
      </c>
    </row>
    <row r="19" customFormat="false" ht="15" hidden="false" customHeight="false" outlineLevel="0" collapsed="false">
      <c r="A19" s="0" t="s">
        <v>251</v>
      </c>
      <c r="B19" s="0" t="n">
        <f aca="false">LOOKUP(3,{1,2,2.5,4,5,6,7,8,9})</f>
        <v>2.5</v>
      </c>
    </row>
    <row r="20" customFormat="false" ht="15" hidden="false" customHeight="false" outlineLevel="0" collapsed="false">
      <c r="A20" s="0" t="s">
        <v>252</v>
      </c>
      <c r="B20" s="0" t="n">
        <f aca="false">MATCH(C20,A10:A21)</f>
        <v>11</v>
      </c>
      <c r="C20" s="0" t="s">
        <v>250</v>
      </c>
    </row>
    <row r="21" customFormat="false" ht="15" hidden="false" customHeight="false" outlineLevel="0" collapsed="false">
      <c r="A21" s="0" t="s">
        <v>253</v>
      </c>
      <c r="B21" s="0" t="str">
        <f aca="false">VLOOKUP(C21,A10:E21,D21)</f>
        <v>MATCH</v>
      </c>
      <c r="C21" s="0" t="s">
        <v>250</v>
      </c>
      <c r="D21" s="0" t="n">
        <v>1</v>
      </c>
    </row>
    <row r="23" customFormat="false" ht="15" hidden="false" customHeight="false" outlineLevel="0" collapsed="false">
      <c r="A23" s="0" t="s">
        <v>254</v>
      </c>
      <c r="B23" s="52" t="str">
        <f aca="false">HYPERLINK("http://nig.gl","niggler")</f>
        <v>niggler</v>
      </c>
    </row>
    <row r="24" customFormat="false" ht="15" hidden="false" customHeight="false" outlineLevel="0" collapsed="false">
      <c r="B24" s="52"/>
    </row>
    <row r="25" customFormat="false" ht="15" hidden="false" customHeight="false" outlineLevel="0" collapsed="false">
      <c r="A25" s="0" t="s">
        <v>255</v>
      </c>
    </row>
    <row r="26" customFormat="false" ht="15" hidden="false" customHeight="false" outlineLevel="0" collapsed="false">
      <c r="A26" s="0" t="s">
        <v>256</v>
      </c>
      <c r="B26" s="0" t="str">
        <f aca="false" t="array" ref="B26:D26">TRANSPOSE(A2:A4)</f>
        <v>COLUMN</v>
      </c>
      <c r="C26" s="0" t="str">
        <v>ROW</v>
      </c>
      <c r="D26" s="0" t="str">
        <v>COLUMNS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12.16"/>
    <col collapsed="false" customWidth="true" hidden="false" outlineLevel="0" max="1025" min="3" style="0" width="10.49"/>
  </cols>
  <sheetData>
    <row r="1" customFormat="false" ht="1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</row>
    <row r="2" customFormat="false" ht="15" hidden="false" customHeight="false" outlineLevel="0" collapsed="false">
      <c r="A2" s="0" t="s">
        <v>257</v>
      </c>
      <c r="B2" s="0" t="n">
        <f aca="false">ABS(B1)</f>
        <v>2</v>
      </c>
      <c r="C2" s="0" t="n">
        <v>5</v>
      </c>
      <c r="D2" s="0" t="n">
        <v>6</v>
      </c>
      <c r="E2" s="0" t="n">
        <v>7</v>
      </c>
      <c r="F2" s="0" t="n">
        <v>8</v>
      </c>
    </row>
    <row r="3" customFormat="false" ht="15" hidden="false" customHeight="false" outlineLevel="0" collapsed="false">
      <c r="A3" s="0" t="s">
        <v>258</v>
      </c>
      <c r="B3" s="0" t="n">
        <f aca="false">ACOS(1/B1)</f>
        <v>1.0471975511966</v>
      </c>
    </row>
    <row r="4" customFormat="false" ht="15" hidden="false" customHeight="false" outlineLevel="0" collapsed="false">
      <c r="A4" s="0" t="s">
        <v>259</v>
      </c>
      <c r="B4" s="0" t="n">
        <f aca="false">ACOSH(B1)</f>
        <v>1.31695789692482</v>
      </c>
    </row>
    <row r="5" customFormat="false" ht="15" hidden="false" customHeight="false" outlineLevel="0" collapsed="false">
      <c r="A5" s="0" t="s">
        <v>260</v>
      </c>
      <c r="B5" s="0" t="n">
        <f aca="false">_xlfn.AGGREGATE(A1,B1,C1:K1)</f>
        <v>7</v>
      </c>
    </row>
    <row r="6" customFormat="false" ht="15" hidden="false" customHeight="false" outlineLevel="0" collapsed="false">
      <c r="A6" s="0" t="s">
        <v>261</v>
      </c>
      <c r="B6" s="0" t="n">
        <f aca="false">ASIN(1/B1)</f>
        <v>0.523598775598299</v>
      </c>
    </row>
    <row r="7" customFormat="false" ht="15" hidden="false" customHeight="false" outlineLevel="0" collapsed="false">
      <c r="A7" s="0" t="s">
        <v>262</v>
      </c>
      <c r="B7" s="0" t="n">
        <f aca="false">ASINH(B1)</f>
        <v>1.44363547517881</v>
      </c>
    </row>
    <row r="8" customFormat="false" ht="15" hidden="false" customHeight="false" outlineLevel="0" collapsed="false">
      <c r="A8" s="0" t="s">
        <v>263</v>
      </c>
      <c r="B8" s="0" t="n">
        <f aca="false">ATAN(B1)</f>
        <v>1.10714871779409</v>
      </c>
    </row>
    <row r="9" customFormat="false" ht="15" hidden="false" customHeight="false" outlineLevel="0" collapsed="false">
      <c r="A9" s="0" t="s">
        <v>264</v>
      </c>
      <c r="B9" s="0" t="n">
        <f aca="false">ATAN2(A1,B1)</f>
        <v>1.10714871779409</v>
      </c>
    </row>
    <row r="10" customFormat="false" ht="15" hidden="false" customHeight="false" outlineLevel="0" collapsed="false">
      <c r="A10" s="0" t="s">
        <v>265</v>
      </c>
      <c r="B10" s="0" t="n">
        <f aca="false">ATANH(1/B1)</f>
        <v>0.549306144334055</v>
      </c>
    </row>
    <row r="11" customFormat="false" ht="15" hidden="false" customHeight="false" outlineLevel="0" collapsed="false">
      <c r="A11" s="0" t="s">
        <v>266</v>
      </c>
      <c r="B11" s="0" t="n">
        <f aca="false">CEILING(B1,C1)</f>
        <v>3</v>
      </c>
    </row>
    <row r="12" customFormat="false" ht="15" hidden="false" customHeight="false" outlineLevel="0" collapsed="false">
      <c r="A12" s="0" t="s">
        <v>267</v>
      </c>
      <c r="B12" s="0" t="n">
        <f aca="false">_xlfn.CEILING.PRECISE(B1,C1)</f>
        <v>3</v>
      </c>
    </row>
    <row r="13" customFormat="false" ht="15" hidden="false" customHeight="false" outlineLevel="0" collapsed="false">
      <c r="A13" s="0" t="s">
        <v>268</v>
      </c>
      <c r="B13" s="0" t="n">
        <f aca="false">COMBIN(D1,C1)</f>
        <v>4</v>
      </c>
    </row>
    <row r="14" customFormat="false" ht="15" hidden="false" customHeight="false" outlineLevel="0" collapsed="false">
      <c r="A14" s="0" t="s">
        <v>269</v>
      </c>
      <c r="B14" s="0" t="n">
        <f aca="false">COS(B1)</f>
        <v>-0.416146836547142</v>
      </c>
    </row>
    <row r="15" customFormat="false" ht="15" hidden="false" customHeight="false" outlineLevel="0" collapsed="false">
      <c r="A15" s="0" t="s">
        <v>270</v>
      </c>
      <c r="B15" s="0" t="n">
        <f aca="false">COSH(B1)</f>
        <v>3.76219569108363</v>
      </c>
    </row>
    <row r="16" customFormat="false" ht="15" hidden="false" customHeight="false" outlineLevel="0" collapsed="false">
      <c r="A16" s="0" t="s">
        <v>271</v>
      </c>
      <c r="B16" s="0" t="n">
        <f aca="false">DEGREES(B1)</f>
        <v>114.591559026165</v>
      </c>
    </row>
    <row r="17" customFormat="false" ht="15" hidden="false" customHeight="false" outlineLevel="0" collapsed="false">
      <c r="A17" s="0" t="s">
        <v>272</v>
      </c>
      <c r="B17" s="0" t="e">
        <f aca="false">ecma.ceiling(B2,2)</f>
        <v>#NAME?</v>
      </c>
      <c r="F17" s="0" t="s">
        <v>273</v>
      </c>
    </row>
    <row r="18" customFormat="false" ht="15" hidden="false" customHeight="false" outlineLevel="0" collapsed="false">
      <c r="A18" s="0" t="s">
        <v>274</v>
      </c>
      <c r="B18" s="0" t="n">
        <f aca="false">EVEN(B1)</f>
        <v>2</v>
      </c>
    </row>
    <row r="19" customFormat="false" ht="15" hidden="false" customHeight="false" outlineLevel="0" collapsed="false">
      <c r="A19" s="0" t="s">
        <v>275</v>
      </c>
      <c r="B19" s="0" t="n">
        <f aca="false">EXP(B1)</f>
        <v>7.38905609893065</v>
      </c>
    </row>
    <row r="20" customFormat="false" ht="15" hidden="false" customHeight="false" outlineLevel="0" collapsed="false">
      <c r="A20" s="0" t="s">
        <v>276</v>
      </c>
      <c r="B20" s="0" t="n">
        <f aca="false">FACT(B1)</f>
        <v>2</v>
      </c>
    </row>
    <row r="21" customFormat="false" ht="15" hidden="false" customHeight="false" outlineLevel="0" collapsed="false">
      <c r="A21" s="0" t="s">
        <v>277</v>
      </c>
      <c r="B21" s="0" t="n">
        <f aca="false">FACTDOUBLE(E1)</f>
        <v>15</v>
      </c>
      <c r="F21" s="0" t="s">
        <v>278</v>
      </c>
    </row>
    <row r="22" customFormat="false" ht="15" hidden="false" customHeight="false" outlineLevel="0" collapsed="false">
      <c r="A22" s="0" t="s">
        <v>279</v>
      </c>
      <c r="B22" s="0" t="n">
        <f aca="false">FLOOR(B1,C1)</f>
        <v>0</v>
      </c>
    </row>
    <row r="23" customFormat="false" ht="15" hidden="false" customHeight="false" outlineLevel="0" collapsed="false">
      <c r="A23" s="0" t="s">
        <v>280</v>
      </c>
      <c r="B23" s="0" t="n">
        <f aca="false">_xlfn.FLOOR.PRECISE(B1,C1)</f>
        <v>0</v>
      </c>
    </row>
    <row r="24" customFormat="false" ht="15" hidden="false" customHeight="false" outlineLevel="0" collapsed="false">
      <c r="A24" s="0" t="s">
        <v>281</v>
      </c>
      <c r="B24" s="0" t="n">
        <f aca="false">GAMMALN(C24)</f>
        <v>3.17805383034795</v>
      </c>
      <c r="C24" s="0" t="n">
        <v>5</v>
      </c>
      <c r="F24" s="0" t="s">
        <v>282</v>
      </c>
    </row>
    <row r="25" customFormat="false" ht="15" hidden="false" customHeight="false" outlineLevel="0" collapsed="false">
      <c r="A25" s="0" t="s">
        <v>283</v>
      </c>
      <c r="B25" s="0" t="n">
        <f aca="false">_xlfn.GAMMALN.PRECISE(C24)</f>
        <v>3.17805383034795</v>
      </c>
      <c r="F25" s="0" t="s">
        <v>282</v>
      </c>
    </row>
    <row r="26" customFormat="false" ht="15" hidden="false" customHeight="false" outlineLevel="0" collapsed="false">
      <c r="A26" s="0" t="s">
        <v>284</v>
      </c>
      <c r="B26" s="0" t="n">
        <f aca="false">GCD(F1,J1)</f>
        <v>2</v>
      </c>
    </row>
    <row r="27" customFormat="false" ht="15" hidden="false" customHeight="false" outlineLevel="0" collapsed="false">
      <c r="A27" s="0" t="s">
        <v>285</v>
      </c>
      <c r="B27" s="0" t="n">
        <f aca="false">INT(B1)</f>
        <v>2</v>
      </c>
    </row>
    <row r="28" customFormat="false" ht="15" hidden="false" customHeight="false" outlineLevel="0" collapsed="false">
      <c r="A28" s="0" t="s">
        <v>286</v>
      </c>
      <c r="B28" s="0" t="n">
        <f aca="false">ISO.CEILING(F1)</f>
        <v>6</v>
      </c>
    </row>
    <row r="29" customFormat="false" ht="15" hidden="false" customHeight="false" outlineLevel="0" collapsed="false">
      <c r="A29" s="0" t="s">
        <v>287</v>
      </c>
      <c r="B29" s="0" t="n">
        <f aca="false">LCM(F1,I1)</f>
        <v>18</v>
      </c>
    </row>
    <row r="30" customFormat="false" ht="15" hidden="false" customHeight="false" outlineLevel="0" collapsed="false">
      <c r="A30" s="0" t="s">
        <v>288</v>
      </c>
      <c r="B30" s="0" t="n">
        <f aca="false">LN(I1)</f>
        <v>2.19722457733622</v>
      </c>
    </row>
    <row r="31" customFormat="false" ht="15" hidden="false" customHeight="false" outlineLevel="0" collapsed="false">
      <c r="A31" s="0" t="s">
        <v>289</v>
      </c>
      <c r="B31" s="0" t="n">
        <f aca="false">LOG(J1)</f>
        <v>1</v>
      </c>
    </row>
    <row r="32" customFormat="false" ht="15" hidden="false" customHeight="false" outlineLevel="0" collapsed="false">
      <c r="A32" s="0" t="s">
        <v>290</v>
      </c>
      <c r="B32" s="0" t="n">
        <f aca="false">LOG10(E1)</f>
        <v>0.698970004336019</v>
      </c>
    </row>
    <row r="33" customFormat="false" ht="15" hidden="false" customHeight="false" outlineLevel="0" collapsed="false">
      <c r="A33" s="0" t="s">
        <v>291</v>
      </c>
      <c r="B33" s="0" t="n">
        <f aca="false">MDETERM(C1:D2)</f>
        <v>-2</v>
      </c>
    </row>
    <row r="34" customFormat="false" ht="15" hidden="false" customHeight="false" outlineLevel="0" collapsed="false">
      <c r="A34" s="0" t="s">
        <v>292</v>
      </c>
      <c r="B34" s="0" t="n">
        <f aca="false">MINVERSE(C1:D2)</f>
        <v>-3</v>
      </c>
    </row>
    <row r="35" customFormat="false" ht="15" hidden="false" customHeight="false" outlineLevel="0" collapsed="false">
      <c r="A35" s="0" t="s">
        <v>293</v>
      </c>
      <c r="B35" s="0" t="n">
        <f aca="false">MMULT(C1:D2,E1:F2)</f>
        <v>43</v>
      </c>
    </row>
    <row r="36" customFormat="false" ht="15" hidden="false" customHeight="false" outlineLevel="0" collapsed="false">
      <c r="A36" s="0" t="s">
        <v>294</v>
      </c>
      <c r="B36" s="0" t="n">
        <f aca="false">MOD(E2,E1)</f>
        <v>2</v>
      </c>
    </row>
    <row r="37" customFormat="false" ht="15" hidden="false" customHeight="false" outlineLevel="0" collapsed="false">
      <c r="A37" s="0" t="s">
        <v>295</v>
      </c>
      <c r="B37" s="0" t="n">
        <f aca="false">MROUND(C1,D1)</f>
        <v>4</v>
      </c>
    </row>
    <row r="38" customFormat="false" ht="15" hidden="false" customHeight="false" outlineLevel="0" collapsed="false">
      <c r="A38" s="0" t="s">
        <v>296</v>
      </c>
      <c r="B38" s="0" t="n">
        <f aca="false">MULTINOMIAL(J1,E1,C1)</f>
        <v>2450448</v>
      </c>
    </row>
    <row r="39" customFormat="false" ht="15" hidden="false" customHeight="false" outlineLevel="0" collapsed="false">
      <c r="A39" s="0" t="s">
        <v>297</v>
      </c>
      <c r="B39" s="0" t="n">
        <f aca="false">ODD(F1)</f>
        <v>7</v>
      </c>
    </row>
    <row r="40" customFormat="false" ht="15" hidden="false" customHeight="false" outlineLevel="0" collapsed="false">
      <c r="A40" s="0" t="s">
        <v>298</v>
      </c>
      <c r="B40" s="0" t="n">
        <f aca="false">PERMUT(F2,E1)</f>
        <v>6720</v>
      </c>
      <c r="F40" s="0" t="s">
        <v>282</v>
      </c>
    </row>
    <row r="41" customFormat="false" ht="15" hidden="false" customHeight="false" outlineLevel="0" collapsed="false">
      <c r="A41" s="0" t="s">
        <v>299</v>
      </c>
      <c r="B41" s="0" t="n">
        <f aca="false">PI()</f>
        <v>3.14159265358979</v>
      </c>
    </row>
    <row r="42" customFormat="false" ht="15" hidden="false" customHeight="false" outlineLevel="0" collapsed="false">
      <c r="A42" s="0" t="s">
        <v>300</v>
      </c>
      <c r="B42" s="0" t="n">
        <f aca="false">POWER(C1,D1)</f>
        <v>81</v>
      </c>
    </row>
    <row r="43" customFormat="false" ht="15" hidden="false" customHeight="false" outlineLevel="0" collapsed="false">
      <c r="A43" s="0" t="s">
        <v>301</v>
      </c>
      <c r="B43" s="0" t="n">
        <f aca="false">PRODUCT(C1,D1,E1)</f>
        <v>60</v>
      </c>
    </row>
    <row r="44" customFormat="false" ht="15" hidden="false" customHeight="false" outlineLevel="0" collapsed="false">
      <c r="A44" s="0" t="s">
        <v>302</v>
      </c>
      <c r="B44" s="0" t="n">
        <f aca="false">QUOTIENT(E2,C1)</f>
        <v>2</v>
      </c>
    </row>
    <row r="45" customFormat="false" ht="15" hidden="false" customHeight="false" outlineLevel="0" collapsed="false">
      <c r="A45" s="0" t="s">
        <v>303</v>
      </c>
      <c r="B45" s="0" t="n">
        <f aca="false">RADIANS(E1)</f>
        <v>0.0872664625997165</v>
      </c>
    </row>
    <row r="46" customFormat="false" ht="15" hidden="false" customHeight="false" outlineLevel="0" collapsed="false">
      <c r="A46" s="0" t="s">
        <v>304</v>
      </c>
      <c r="B46" s="0" t="n">
        <f aca="true">RAND()</f>
        <v>0.0790272208662676</v>
      </c>
    </row>
    <row r="47" customFormat="false" ht="15" hidden="false" customHeight="false" outlineLevel="0" collapsed="false">
      <c r="A47" s="0" t="s">
        <v>305</v>
      </c>
      <c r="B47" s="0" t="n">
        <f aca="false">RANDBETWEEN(D1,E2)</f>
        <v>4</v>
      </c>
    </row>
    <row r="48" customFormat="false" ht="15" hidden="false" customHeight="false" outlineLevel="0" collapsed="false">
      <c r="A48" s="0" t="s">
        <v>306</v>
      </c>
      <c r="B48" s="0" t="str">
        <f aca="false">ROMAN(B1)</f>
        <v>II</v>
      </c>
      <c r="C48" s="0" t="str">
        <f aca="false">ROMAN(B1,C1)</f>
        <v>II</v>
      </c>
    </row>
    <row r="49" customFormat="false" ht="15" hidden="false" customHeight="false" outlineLevel="0" collapsed="false">
      <c r="A49" s="0" t="s">
        <v>307</v>
      </c>
      <c r="B49" s="0" t="n">
        <f aca="false">ROUND(E1,D2)</f>
        <v>5</v>
      </c>
    </row>
    <row r="50" customFormat="false" ht="15" hidden="false" customHeight="false" outlineLevel="0" collapsed="false">
      <c r="A50" s="0" t="s">
        <v>308</v>
      </c>
      <c r="B50" s="0" t="n">
        <f aca="false">ROUNDDOWN(F1,H1)</f>
        <v>6</v>
      </c>
    </row>
    <row r="51" customFormat="false" ht="15" hidden="false" customHeight="false" outlineLevel="0" collapsed="false">
      <c r="A51" s="0" t="s">
        <v>309</v>
      </c>
      <c r="B51" s="0" t="n">
        <f aca="false">ROUNDUP(C1,B2)</f>
        <v>3</v>
      </c>
    </row>
    <row r="52" customFormat="false" ht="15" hidden="false" customHeight="false" outlineLevel="0" collapsed="false">
      <c r="A52" s="0" t="s">
        <v>310</v>
      </c>
      <c r="B52" s="0" t="n">
        <f aca="false">SERIESSUM(C1,C2,D2,D1:K1)</f>
        <v>2.92842138745913E+023</v>
      </c>
    </row>
    <row r="53" customFormat="false" ht="15" hidden="false" customHeight="false" outlineLevel="0" collapsed="false">
      <c r="A53" s="0" t="s">
        <v>311</v>
      </c>
      <c r="B53" s="0" t="n">
        <f aca="false">SIGN(D2)</f>
        <v>1</v>
      </c>
    </row>
    <row r="54" customFormat="false" ht="15" hidden="false" customHeight="false" outlineLevel="0" collapsed="false">
      <c r="A54" s="0" t="s">
        <v>312</v>
      </c>
      <c r="B54" s="0" t="n">
        <f aca="false">SIN(E1)</f>
        <v>-0.958924274663139</v>
      </c>
    </row>
    <row r="55" customFormat="false" ht="15" hidden="false" customHeight="false" outlineLevel="0" collapsed="false">
      <c r="A55" s="0" t="s">
        <v>313</v>
      </c>
      <c r="B55" s="0" t="n">
        <f aca="false">SINH(D2)</f>
        <v>201.713157370279</v>
      </c>
    </row>
    <row r="56" customFormat="false" ht="15" hidden="false" customHeight="false" outlineLevel="0" collapsed="false">
      <c r="A56" s="0" t="s">
        <v>314</v>
      </c>
      <c r="B56" s="0" t="n">
        <f aca="false">SQRT(C1)</f>
        <v>1.73205080756888</v>
      </c>
    </row>
    <row r="57" customFormat="false" ht="15" hidden="false" customHeight="false" outlineLevel="0" collapsed="false">
      <c r="A57" s="0" t="s">
        <v>315</v>
      </c>
      <c r="B57" s="0" t="n">
        <f aca="false">SQRTPI(B2)</f>
        <v>2.506628274631</v>
      </c>
    </row>
    <row r="58" customFormat="false" ht="15" hidden="false" customHeight="false" outlineLevel="0" collapsed="false">
      <c r="A58" s="0" t="s">
        <v>316</v>
      </c>
      <c r="B58" s="0" t="n">
        <f aca="false">STANDARDIZE(C58,D58,E58)</f>
        <v>0.2</v>
      </c>
      <c r="C58" s="0" t="n">
        <v>3</v>
      </c>
      <c r="D58" s="0" t="n">
        <v>2</v>
      </c>
      <c r="E58" s="0" t="n">
        <v>5</v>
      </c>
      <c r="F58" s="0" t="s">
        <v>282</v>
      </c>
    </row>
    <row r="59" customFormat="false" ht="15" hidden="false" customHeight="false" outlineLevel="0" collapsed="false">
      <c r="A59" s="0" t="s">
        <v>317</v>
      </c>
      <c r="B59" s="0" t="n">
        <f aca="false">SUBTOTAL(A1,B1,C1:K1)</f>
        <v>6.5</v>
      </c>
    </row>
    <row r="60" customFormat="false" ht="15" hidden="false" customHeight="false" outlineLevel="0" collapsed="false">
      <c r="A60" s="0" t="s">
        <v>318</v>
      </c>
      <c r="B60" s="0" t="n">
        <f aca="false">SUM(B1)</f>
        <v>2</v>
      </c>
      <c r="C60" s="0" t="n">
        <f aca="false">SUM(B1:K1)</f>
        <v>65</v>
      </c>
      <c r="D60" s="0" t="n">
        <f aca="false">SUM(B1:K1,B2:F2)</f>
        <v>93</v>
      </c>
    </row>
    <row r="61" customFormat="false" ht="15" hidden="false" customHeight="false" outlineLevel="0" collapsed="false">
      <c r="A61" s="0" t="s">
        <v>319</v>
      </c>
      <c r="B61" s="0" t="n">
        <f aca="false">SUMIF(C1:C2,"&gt;3")</f>
        <v>5</v>
      </c>
      <c r="C61" s="0" t="n">
        <f aca="false">SUMIF(C1:C2,"&gt;3",D1:D2)</f>
        <v>6</v>
      </c>
    </row>
    <row r="62" customFormat="false" ht="15" hidden="false" customHeight="false" outlineLevel="0" collapsed="false">
      <c r="A62" s="0" t="s">
        <v>320</v>
      </c>
      <c r="B62" s="0" t="n">
        <f aca="false">SUMIFS(C1:C2,D1:D2,"&gt;0",E1:E2,"&lt;7")</f>
        <v>3</v>
      </c>
    </row>
    <row r="63" customFormat="false" ht="15" hidden="false" customHeight="false" outlineLevel="0" collapsed="false">
      <c r="A63" s="0" t="s">
        <v>321</v>
      </c>
      <c r="B63" s="0" t="n">
        <f aca="false">SUMPRODUCT(C1:K1)</f>
        <v>63</v>
      </c>
      <c r="C63" s="0" t="n">
        <f aca="false">SUMPRODUCT(C1:F1,C2:F2)</f>
        <v>122</v>
      </c>
    </row>
    <row r="64" customFormat="false" ht="15" hidden="false" customHeight="false" outlineLevel="0" collapsed="false">
      <c r="A64" s="0" t="s">
        <v>322</v>
      </c>
      <c r="B64" s="0" t="n">
        <f aca="false">SUMSQ(C1,D2)</f>
        <v>45</v>
      </c>
      <c r="C64" s="0" t="n">
        <f aca="false">SUMSQ(D2,E1,F2)</f>
        <v>125</v>
      </c>
    </row>
    <row r="65" customFormat="false" ht="15" hidden="false" customHeight="false" outlineLevel="0" collapsed="false">
      <c r="A65" s="0" t="s">
        <v>323</v>
      </c>
      <c r="B65" s="0" t="n">
        <f aca="false">SUMX2MY2(C1:F1,C2:F2)</f>
        <v>-88</v>
      </c>
    </row>
    <row r="66" customFormat="false" ht="15" hidden="false" customHeight="false" outlineLevel="0" collapsed="false">
      <c r="A66" s="0" t="s">
        <v>324</v>
      </c>
      <c r="B66" s="0" t="n">
        <f aca="false">SUMX2PY2(C1:F1,C2:F2)</f>
        <v>260</v>
      </c>
    </row>
    <row r="67" customFormat="false" ht="15" hidden="false" customHeight="false" outlineLevel="0" collapsed="false">
      <c r="A67" s="0" t="s">
        <v>325</v>
      </c>
      <c r="B67" s="0" t="n">
        <f aca="false">SUMXMY2(C1:F1,C2:F2)</f>
        <v>16</v>
      </c>
    </row>
    <row r="68" customFormat="false" ht="15" hidden="false" customHeight="false" outlineLevel="0" collapsed="false">
      <c r="A68" s="0" t="s">
        <v>326</v>
      </c>
      <c r="B68" s="0" t="n">
        <f aca="false">TAN(C2)</f>
        <v>-3.38051500624659</v>
      </c>
    </row>
    <row r="69" customFormat="false" ht="15" hidden="false" customHeight="false" outlineLevel="0" collapsed="false">
      <c r="A69" s="0" t="s">
        <v>327</v>
      </c>
      <c r="B69" s="0" t="n">
        <f aca="false">TANH(C1)</f>
        <v>0.99505475368673</v>
      </c>
    </row>
    <row r="70" customFormat="false" ht="15" hidden="false" customHeight="false" outlineLevel="0" collapsed="false">
      <c r="A70" s="0" t="s">
        <v>328</v>
      </c>
      <c r="B70" s="0" t="n">
        <f aca="false">TRUNC(C1,F2)</f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4"/>
  <sheetViews>
    <sheetView showFormulas="false" showGridLines="true" showRowColHeaders="true" showZeros="true" rightToLeft="false" tabSelected="false" showOutlineSymbols="true" defaultGridColor="true" view="normal" topLeftCell="A104" colorId="64" zoomScale="100" zoomScaleNormal="100" zoomScalePageLayoutView="100" workbookViewId="0">
      <selection pane="topLeft" activeCell="F134" activeCellId="0" sqref="F134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2.16"/>
    <col collapsed="false" customWidth="true" hidden="false" outlineLevel="0" max="1025" min="3" style="0" width="10.49"/>
  </cols>
  <sheetData>
    <row r="1" customFormat="false" ht="15" hidden="false" customHeight="false" outlineLevel="0" collapsed="false">
      <c r="A1" s="0" t="s">
        <v>329</v>
      </c>
    </row>
    <row r="2" customFormat="false" ht="15" hidden="false" customHeight="false" outlineLevel="0" collapsed="false">
      <c r="A2" s="0" t="s">
        <v>330</v>
      </c>
      <c r="B2" s="0" t="n">
        <f aca="false">_xlfn.BETA.DIST(C2,D2,E2,F2)</f>
        <v>1.5</v>
      </c>
      <c r="C2" s="0" t="n">
        <v>0.5</v>
      </c>
      <c r="D2" s="0" t="n">
        <v>2</v>
      </c>
      <c r="E2" s="0" t="n">
        <v>2</v>
      </c>
      <c r="F2" s="0" t="n">
        <f aca="false">FALSE()</f>
        <v>0</v>
      </c>
    </row>
    <row r="3" customFormat="false" ht="15" hidden="false" customHeight="false" outlineLevel="0" collapsed="false">
      <c r="A3" s="0" t="s">
        <v>331</v>
      </c>
      <c r="B3" s="0" t="n">
        <f aca="false">_xlfn.BETA.INV(C3,D3,E3)</f>
        <v>0.5</v>
      </c>
      <c r="C3" s="0" t="n">
        <v>0.5</v>
      </c>
      <c r="D3" s="0" t="n">
        <v>2</v>
      </c>
      <c r="E3" s="0" t="n">
        <v>2</v>
      </c>
    </row>
    <row r="4" customFormat="false" ht="15" hidden="false" customHeight="false" outlineLevel="0" collapsed="false">
      <c r="A4" s="0" t="s">
        <v>332</v>
      </c>
      <c r="B4" s="0" t="n">
        <f aca="false">BETADIST(C4,D4,E4)</f>
        <v>0.5</v>
      </c>
      <c r="C4" s="0" t="n">
        <v>0.5</v>
      </c>
      <c r="D4" s="0" t="n">
        <v>2</v>
      </c>
      <c r="E4" s="0" t="n">
        <v>2</v>
      </c>
    </row>
    <row r="5" customFormat="false" ht="15" hidden="false" customHeight="false" outlineLevel="0" collapsed="false">
      <c r="A5" s="0" t="s">
        <v>333</v>
      </c>
      <c r="B5" s="0" t="n">
        <f aca="false">BETAINV(C5,D5,E5)</f>
        <v>0.5</v>
      </c>
      <c r="C5" s="0" t="n">
        <v>0.5</v>
      </c>
      <c r="D5" s="0" t="n">
        <v>2</v>
      </c>
      <c r="E5" s="0" t="n">
        <v>2</v>
      </c>
    </row>
    <row r="6" customFormat="false" ht="15" hidden="false" customHeight="false" outlineLevel="0" collapsed="false">
      <c r="A6" s="0" t="s">
        <v>334</v>
      </c>
      <c r="B6" s="0" t="n">
        <f aca="false">_xlfn.BINOM.DIST(C6,D6,E6,F6)</f>
        <v>0.9526510126</v>
      </c>
      <c r="C6" s="0" t="n">
        <v>5</v>
      </c>
      <c r="D6" s="0" t="n">
        <v>10</v>
      </c>
      <c r="E6" s="0" t="n">
        <v>0.3</v>
      </c>
      <c r="F6" s="0" t="n">
        <f aca="false">TRUE()</f>
        <v>1</v>
      </c>
    </row>
    <row r="7" customFormat="false" ht="15" hidden="false" customHeight="false" outlineLevel="0" collapsed="false">
      <c r="A7" s="0" t="s">
        <v>335</v>
      </c>
      <c r="B7" s="0" t="n">
        <f aca="false">_xlfn.BINOM.INV(C7,D7,E7)</f>
        <v>7</v>
      </c>
      <c r="C7" s="0" t="n">
        <v>20</v>
      </c>
      <c r="D7" s="0" t="n">
        <v>0.5</v>
      </c>
      <c r="E7" s="0" t="n">
        <v>0.1</v>
      </c>
      <c r="F7" s="0" t="n">
        <f aca="false">TRUE()</f>
        <v>1</v>
      </c>
    </row>
    <row r="8" customFormat="false" ht="15" hidden="false" customHeight="false" outlineLevel="0" collapsed="false">
      <c r="A8" s="0" t="s">
        <v>336</v>
      </c>
      <c r="B8" s="0" t="n">
        <f aca="false">BINOMDIST(C8,D8,E8,F8)</f>
        <v>0.1029193452</v>
      </c>
      <c r="C8" s="0" t="n">
        <v>5</v>
      </c>
      <c r="D8" s="0" t="n">
        <v>10</v>
      </c>
      <c r="E8" s="0" t="n">
        <v>0.3</v>
      </c>
      <c r="F8" s="0" t="n">
        <f aca="false">FALSE()</f>
        <v>0</v>
      </c>
    </row>
    <row r="9" customFormat="false" ht="15" hidden="false" customHeight="false" outlineLevel="0" collapsed="false">
      <c r="A9" s="0" t="s">
        <v>337</v>
      </c>
      <c r="B9" s="0" t="n">
        <f aca="false">CHIDIST(C9,D9)</f>
        <v>0.659963229694282</v>
      </c>
      <c r="C9" s="0" t="n">
        <v>5</v>
      </c>
      <c r="D9" s="0" t="n">
        <v>7</v>
      </c>
    </row>
    <row r="10" customFormat="false" ht="15" hidden="false" customHeight="false" outlineLevel="0" collapsed="false">
      <c r="A10" s="0" t="s">
        <v>338</v>
      </c>
      <c r="B10" s="0" t="n">
        <f aca="false">CHIINV(B9,D9)</f>
        <v>5</v>
      </c>
    </row>
    <row r="11" customFormat="false" ht="15" hidden="false" customHeight="false" outlineLevel="0" collapsed="false">
      <c r="A11" s="0" t="s">
        <v>339</v>
      </c>
      <c r="B11" s="0" t="n">
        <f aca="false">_xlfn.CHISQ.DIST(C11,D11,E11)</f>
        <v>0.340036770305718</v>
      </c>
      <c r="C11" s="0" t="n">
        <v>5</v>
      </c>
      <c r="D11" s="0" t="n">
        <v>7</v>
      </c>
      <c r="E11" s="0" t="n">
        <f aca="false">TRUE()</f>
        <v>1</v>
      </c>
    </row>
    <row r="12" customFormat="false" ht="15" hidden="false" customHeight="false" outlineLevel="0" collapsed="false">
      <c r="A12" s="0" t="s">
        <v>340</v>
      </c>
      <c r="B12" s="0" t="n">
        <f aca="false">_xlfn.CHISQ.DIST.RT(C11,D11)</f>
        <v>0.659963229694282</v>
      </c>
    </row>
    <row r="13" customFormat="false" ht="15" hidden="false" customHeight="false" outlineLevel="0" collapsed="false">
      <c r="A13" s="0" t="s">
        <v>341</v>
      </c>
      <c r="B13" s="0" t="n">
        <f aca="false">_xlfn.CHISQ.INV(B11,D11)</f>
        <v>5</v>
      </c>
    </row>
    <row r="14" customFormat="false" ht="15" hidden="false" customHeight="false" outlineLevel="0" collapsed="false">
      <c r="A14" s="0" t="s">
        <v>342</v>
      </c>
      <c r="B14" s="0" t="n">
        <f aca="false">_xlfn.CHISQ.INV.RT(B12,D11)</f>
        <v>5</v>
      </c>
    </row>
    <row r="15" customFormat="false" ht="15" hidden="false" customHeight="false" outlineLevel="0" collapsed="false">
      <c r="A15" s="0" t="s">
        <v>343</v>
      </c>
      <c r="B15" s="0" t="n">
        <f aca="false">CONFIDENCE(C15,D15,E15)</f>
        <v>0.103643338949379</v>
      </c>
      <c r="C15" s="0" t="n">
        <v>0.3</v>
      </c>
      <c r="D15" s="0" t="n">
        <v>1</v>
      </c>
      <c r="E15" s="0" t="n">
        <v>100</v>
      </c>
    </row>
    <row r="16" customFormat="false" ht="15" hidden="false" customHeight="false" outlineLevel="0" collapsed="false">
      <c r="A16" s="0" t="s">
        <v>344</v>
      </c>
      <c r="B16" s="0" t="n">
        <f aca="false">_xlfn.CONFIDENCE.NORM(C16,D16,E16)</f>
        <v>0.103643338949379</v>
      </c>
      <c r="C16" s="0" t="n">
        <v>0.3</v>
      </c>
      <c r="D16" s="0" t="n">
        <v>1</v>
      </c>
      <c r="E16" s="0" t="n">
        <v>100</v>
      </c>
    </row>
    <row r="17" customFormat="false" ht="15" hidden="false" customHeight="false" outlineLevel="0" collapsed="false">
      <c r="A17" s="0" t="s">
        <v>345</v>
      </c>
      <c r="B17" s="0" t="n">
        <f aca="false">_xlfn.CONFIDENCE.T(C17,D17,E17)</f>
        <v>0.104189075925178</v>
      </c>
      <c r="C17" s="0" t="n">
        <v>0.3</v>
      </c>
      <c r="D17" s="0" t="n">
        <v>1</v>
      </c>
      <c r="E17" s="0" t="n">
        <v>100</v>
      </c>
    </row>
    <row r="18" customFormat="false" ht="15" hidden="false" customHeight="false" outlineLevel="0" collapsed="false">
      <c r="A18" s="0" t="s">
        <v>346</v>
      </c>
      <c r="B18" s="0" t="n">
        <f aca="false">CRITBINOM(C18,D18,E18)</f>
        <v>64</v>
      </c>
      <c r="C18" s="0" t="n">
        <v>120</v>
      </c>
      <c r="D18" s="0" t="n">
        <v>0.5</v>
      </c>
      <c r="E18" s="0" t="n">
        <v>0.75</v>
      </c>
    </row>
    <row r="19" customFormat="false" ht="15" hidden="false" customHeight="false" outlineLevel="0" collapsed="false">
      <c r="A19" s="0" t="s">
        <v>347</v>
      </c>
      <c r="B19" s="0" t="n">
        <f aca="false">_xlfn.EXPON.DIST(C19,D19,E19)</f>
        <v>0.864664716763387</v>
      </c>
      <c r="C19" s="0" t="n">
        <v>1</v>
      </c>
      <c r="D19" s="0" t="n">
        <v>2</v>
      </c>
      <c r="E19" s="0" t="n">
        <f aca="false">TRUE()</f>
        <v>1</v>
      </c>
    </row>
    <row r="20" customFormat="false" ht="15" hidden="false" customHeight="false" outlineLevel="0" collapsed="false">
      <c r="A20" s="0" t="s">
        <v>348</v>
      </c>
      <c r="B20" s="0" t="n">
        <f aca="false">EXPONDIST(C20,D20,E20)</f>
        <v>0.270670566473225</v>
      </c>
      <c r="C20" s="0" t="n">
        <v>1</v>
      </c>
      <c r="D20" s="0" t="n">
        <v>2</v>
      </c>
      <c r="E20" s="0" t="n">
        <f aca="false">FALSE()</f>
        <v>0</v>
      </c>
    </row>
    <row r="21" customFormat="false" ht="15" hidden="false" customHeight="false" outlineLevel="0" collapsed="false">
      <c r="A21" s="0" t="s">
        <v>349</v>
      </c>
      <c r="B21" s="0" t="n">
        <f aca="false">_xlfn.F.DIST(C21,D21,E21,F21)</f>
        <v>0.53524199845511</v>
      </c>
      <c r="C21" s="0" t="n">
        <v>1</v>
      </c>
      <c r="D21" s="0" t="n">
        <v>2</v>
      </c>
      <c r="E21" s="0" t="n">
        <v>3</v>
      </c>
      <c r="F21" s="0" t="n">
        <f aca="false">TRUE()</f>
        <v>1</v>
      </c>
    </row>
    <row r="22" customFormat="false" ht="15" hidden="false" customHeight="false" outlineLevel="0" collapsed="false">
      <c r="A22" s="0" t="s">
        <v>350</v>
      </c>
      <c r="B22" s="0" t="n">
        <f aca="false">_xlfn.F.DIST.RT(C21,D21,E21)</f>
        <v>0.46475800154489</v>
      </c>
    </row>
    <row r="23" customFormat="false" ht="15" hidden="false" customHeight="false" outlineLevel="0" collapsed="false">
      <c r="A23" s="0" t="s">
        <v>351</v>
      </c>
      <c r="B23" s="0" t="n">
        <f aca="false">_xlfn.F.INV(B21,D21,E21)</f>
        <v>1</v>
      </c>
    </row>
    <row r="24" customFormat="false" ht="15" hidden="false" customHeight="false" outlineLevel="0" collapsed="false">
      <c r="A24" s="0" t="s">
        <v>352</v>
      </c>
      <c r="B24" s="0" t="n">
        <f aca="false">_xlfn.F.INV.RT(B22,D21,E21)</f>
        <v>1</v>
      </c>
    </row>
    <row r="25" customFormat="false" ht="15" hidden="false" customHeight="false" outlineLevel="0" collapsed="false">
      <c r="A25" s="0" t="s">
        <v>353</v>
      </c>
      <c r="B25" s="0" t="n">
        <f aca="false">FDIST(C25,D25,E25)</f>
        <v>0.173553719008264</v>
      </c>
      <c r="C25" s="0" t="n">
        <v>5</v>
      </c>
      <c r="D25" s="0" t="n">
        <v>4</v>
      </c>
      <c r="E25" s="0" t="n">
        <v>2</v>
      </c>
    </row>
    <row r="26" customFormat="false" ht="15" hidden="false" customHeight="false" outlineLevel="0" collapsed="false">
      <c r="A26" s="0" t="s">
        <v>354</v>
      </c>
      <c r="B26" s="0" t="n">
        <f aca="false">FINV(B25,D25,E25)</f>
        <v>5</v>
      </c>
    </row>
    <row r="27" customFormat="false" ht="15" hidden="false" customHeight="false" outlineLevel="0" collapsed="false">
      <c r="A27" s="0" t="s">
        <v>355</v>
      </c>
      <c r="B27" s="0" t="n">
        <f aca="false">FISHER(C27)</f>
        <v>0.549306144334055</v>
      </c>
      <c r="C27" s="0" t="n">
        <v>0.5</v>
      </c>
    </row>
    <row r="28" customFormat="false" ht="15" hidden="false" customHeight="false" outlineLevel="0" collapsed="false">
      <c r="A28" s="0" t="s">
        <v>356</v>
      </c>
      <c r="B28" s="0" t="n">
        <f aca="false">FISHERINV(B27)</f>
        <v>0.5</v>
      </c>
    </row>
    <row r="29" customFormat="false" ht="15" hidden="false" customHeight="false" outlineLevel="0" collapsed="false">
      <c r="A29" s="0" t="s">
        <v>357</v>
      </c>
      <c r="B29" s="0" t="n">
        <f aca="false">_xlfn.GAMMA.DIST(C29,D29,E29,F29)</f>
        <v>0.384940011063304</v>
      </c>
      <c r="C29" s="0" t="n">
        <v>4</v>
      </c>
      <c r="D29" s="0" t="n">
        <v>2</v>
      </c>
      <c r="E29" s="0" t="n">
        <v>3</v>
      </c>
      <c r="F29" s="0" t="n">
        <f aca="false">TRUE()</f>
        <v>1</v>
      </c>
    </row>
    <row r="30" customFormat="false" ht="15" hidden="false" customHeight="false" outlineLevel="0" collapsed="false">
      <c r="A30" s="0" t="s">
        <v>358</v>
      </c>
      <c r="B30" s="0" t="n">
        <f aca="false">_xlfn.GAMMA.INV(B29,D29,E29)</f>
        <v>4</v>
      </c>
    </row>
    <row r="31" customFormat="false" ht="15" hidden="false" customHeight="false" outlineLevel="0" collapsed="false">
      <c r="A31" s="0" t="s">
        <v>359</v>
      </c>
      <c r="B31" s="0" t="n">
        <f aca="false">GAMMADIST(C29,D29,E29,F29)</f>
        <v>0.384940011063304</v>
      </c>
    </row>
    <row r="32" customFormat="false" ht="15" hidden="false" customHeight="false" outlineLevel="0" collapsed="false">
      <c r="A32" s="0" t="s">
        <v>360</v>
      </c>
      <c r="B32" s="0" t="n">
        <f aca="false">GAMMAINV(B31,D29,E29)</f>
        <v>4</v>
      </c>
    </row>
    <row r="33" customFormat="false" ht="15" hidden="false" customHeight="false" outlineLevel="0" collapsed="false">
      <c r="A33" s="0" t="s">
        <v>361</v>
      </c>
      <c r="B33" s="0" t="n">
        <f aca="false">_xlfn.HYPGEOM.DIST(C33,D33,E33,F33,G33)</f>
        <v>0.416666666666667</v>
      </c>
      <c r="C33" s="0" t="n">
        <v>1</v>
      </c>
      <c r="D33" s="0" t="n">
        <v>2</v>
      </c>
      <c r="E33" s="0" t="n">
        <v>7</v>
      </c>
      <c r="F33" s="0" t="n">
        <v>9</v>
      </c>
      <c r="G33" s="0" t="n">
        <v>5</v>
      </c>
    </row>
    <row r="34" customFormat="false" ht="15" hidden="false" customHeight="false" outlineLevel="0" collapsed="false">
      <c r="A34" s="0" t="s">
        <v>362</v>
      </c>
      <c r="B34" s="0" t="n">
        <f aca="false">_xlfn.HYPGEOM.DIST(C34,D34,E34,F34,0)</f>
        <v>0.535714285714286</v>
      </c>
      <c r="C34" s="0" t="n">
        <v>2</v>
      </c>
      <c r="D34" s="0" t="n">
        <v>3</v>
      </c>
      <c r="E34" s="0" t="n">
        <v>6</v>
      </c>
      <c r="F34" s="0" t="n">
        <v>8</v>
      </c>
    </row>
    <row r="35" customFormat="false" ht="15" hidden="false" customHeight="false" outlineLevel="0" collapsed="false">
      <c r="A35" s="0" t="s">
        <v>363</v>
      </c>
      <c r="B35" s="0" t="n">
        <f aca="false">LOGINV(C35,D35,E35)</f>
        <v>148.413159102577</v>
      </c>
      <c r="C35" s="0" t="n">
        <v>0.5</v>
      </c>
      <c r="D35" s="0" t="n">
        <v>5</v>
      </c>
      <c r="E35" s="0" t="n">
        <v>5</v>
      </c>
    </row>
    <row r="36" customFormat="false" ht="15" hidden="false" customHeight="false" outlineLevel="0" collapsed="false">
      <c r="A36" s="0" t="s">
        <v>364</v>
      </c>
      <c r="B36" s="0" t="n">
        <f aca="false">_xlfn.LOGNORM.DIST(C36,D36,E36,F36)</f>
        <v>0.344578258389676</v>
      </c>
      <c r="C36" s="0" t="n">
        <v>1</v>
      </c>
      <c r="D36" s="0" t="n">
        <v>2</v>
      </c>
      <c r="E36" s="0" t="n">
        <v>5</v>
      </c>
      <c r="F36" s="0" t="n">
        <f aca="false">TRUE()</f>
        <v>1</v>
      </c>
    </row>
    <row r="37" customFormat="false" ht="15" hidden="false" customHeight="false" outlineLevel="0" collapsed="false">
      <c r="A37" s="0" t="s">
        <v>365</v>
      </c>
      <c r="B37" s="0" t="n">
        <f aca="false">_xlfn.LOGNORM.INV(B36,D36,E36)</f>
        <v>1</v>
      </c>
    </row>
    <row r="38" customFormat="false" ht="15" hidden="false" customHeight="false" outlineLevel="0" collapsed="false">
      <c r="A38" s="0" t="s">
        <v>366</v>
      </c>
      <c r="B38" s="0" t="n">
        <f aca="false">LOGNORMDIST(C36,D36,E36)</f>
        <v>0.344578258389676</v>
      </c>
    </row>
    <row r="39" customFormat="false" ht="15" hidden="false" customHeight="false" outlineLevel="0" collapsed="false">
      <c r="A39" s="0" t="s">
        <v>367</v>
      </c>
      <c r="B39" s="0" t="n">
        <f aca="false">_xlfn.NEGBINOM.DIST(C39,D39,E39,F39)</f>
        <v>0.038600843058</v>
      </c>
      <c r="C39" s="0" t="n">
        <v>5</v>
      </c>
      <c r="D39" s="0" t="n">
        <v>7</v>
      </c>
      <c r="E39" s="0" t="n">
        <v>0.3</v>
      </c>
      <c r="F39" s="0" t="n">
        <f aca="false">TRUE()</f>
        <v>1</v>
      </c>
    </row>
    <row r="40" customFormat="false" ht="15" hidden="false" customHeight="false" outlineLevel="0" collapsed="false">
      <c r="A40" s="0" t="s">
        <v>368</v>
      </c>
      <c r="B40" s="0" t="n">
        <f aca="false">NEGBINOMDIST(C39,D39,E39)</f>
        <v>0.016981691958</v>
      </c>
      <c r="C40" s="0" t="n">
        <v>5</v>
      </c>
      <c r="D40" s="0" t="n">
        <v>7</v>
      </c>
      <c r="E40" s="0" t="n">
        <v>0.3</v>
      </c>
    </row>
    <row r="41" customFormat="false" ht="15" hidden="false" customHeight="false" outlineLevel="0" collapsed="false">
      <c r="A41" s="0" t="s">
        <v>369</v>
      </c>
      <c r="B41" s="0" t="n">
        <f aca="false">_xlfn.NORM.DIST(C41,D41,E41,F41)</f>
        <v>0.630558659818236</v>
      </c>
      <c r="C41" s="0" t="n">
        <v>0</v>
      </c>
      <c r="D41" s="0" t="n">
        <v>-1</v>
      </c>
      <c r="E41" s="0" t="n">
        <v>3</v>
      </c>
      <c r="F41" s="0" t="n">
        <f aca="false">TRUE()</f>
        <v>1</v>
      </c>
    </row>
    <row r="42" customFormat="false" ht="15" hidden="false" customHeight="false" outlineLevel="0" collapsed="false">
      <c r="A42" s="0" t="s">
        <v>370</v>
      </c>
      <c r="B42" s="0" t="n">
        <f aca="false">_xlfn.NORM.INV(B41,D41,E41)</f>
        <v>-2.22044604925031E-016</v>
      </c>
    </row>
    <row r="43" customFormat="false" ht="15" hidden="false" customHeight="false" outlineLevel="0" collapsed="false">
      <c r="A43" s="0" t="s">
        <v>371</v>
      </c>
      <c r="B43" s="0" t="n">
        <f aca="false">_xlfn.NORM.S.DIST(C43,D43)</f>
        <v>0.99865010196837</v>
      </c>
      <c r="C43" s="0" t="n">
        <v>3</v>
      </c>
      <c r="D43" s="0" t="n">
        <f aca="false">TRUE()</f>
        <v>1</v>
      </c>
    </row>
    <row r="44" customFormat="false" ht="15" hidden="false" customHeight="false" outlineLevel="0" collapsed="false">
      <c r="A44" s="0" t="s">
        <v>372</v>
      </c>
      <c r="B44" s="0" t="n">
        <f aca="false">_xlfn.NORM.S.INV(B43)</f>
        <v>3</v>
      </c>
    </row>
    <row r="45" customFormat="false" ht="15" hidden="false" customHeight="false" outlineLevel="0" collapsed="false">
      <c r="A45" s="0" t="s">
        <v>373</v>
      </c>
      <c r="B45" s="0" t="n">
        <f aca="false">NORMDIST(C41,D41,E41,F41)</f>
        <v>0.630558659818236</v>
      </c>
    </row>
    <row r="46" customFormat="false" ht="15" hidden="false" customHeight="false" outlineLevel="0" collapsed="false">
      <c r="A46" s="0" t="s">
        <v>374</v>
      </c>
      <c r="B46" s="0" t="n">
        <f aca="false">NORMINV(B45,D41,E41)</f>
        <v>-2.22044604925031E-016</v>
      </c>
    </row>
    <row r="47" customFormat="false" ht="15" hidden="false" customHeight="false" outlineLevel="0" collapsed="false">
      <c r="A47" s="0" t="s">
        <v>375</v>
      </c>
      <c r="B47" s="0" t="n">
        <f aca="false">NORMSDIST(C47)</f>
        <v>0.977249868051821</v>
      </c>
      <c r="C47" s="0" t="n">
        <v>2</v>
      </c>
    </row>
    <row r="48" customFormat="false" ht="15" hidden="false" customHeight="false" outlineLevel="0" collapsed="false">
      <c r="A48" s="0" t="s">
        <v>376</v>
      </c>
      <c r="B48" s="0" t="n">
        <f aca="false">NORMSINV(B47)</f>
        <v>2</v>
      </c>
    </row>
    <row r="49" customFormat="false" ht="15" hidden="false" customHeight="false" outlineLevel="0" collapsed="false">
      <c r="A49" s="0" t="s">
        <v>377</v>
      </c>
      <c r="B49" s="0" t="n">
        <f aca="false">POISSON(C49,D49,E49)</f>
        <v>0.406005849709838</v>
      </c>
      <c r="C49" s="0" t="n">
        <v>1</v>
      </c>
      <c r="D49" s="0" t="n">
        <v>2</v>
      </c>
      <c r="E49" s="0" t="n">
        <f aca="false">TRUE()</f>
        <v>1</v>
      </c>
    </row>
    <row r="50" customFormat="false" ht="15" hidden="false" customHeight="false" outlineLevel="0" collapsed="false">
      <c r="A50" s="0" t="s">
        <v>378</v>
      </c>
      <c r="B50" s="0" t="n">
        <f aca="false">_xlfn.POISSON.DIST(C50,D50,E50)</f>
        <v>0.270670566473225</v>
      </c>
      <c r="C50" s="0" t="n">
        <v>1</v>
      </c>
      <c r="D50" s="0" t="n">
        <v>2</v>
      </c>
      <c r="E50" s="0" t="n">
        <f aca="false">FALSE()</f>
        <v>0</v>
      </c>
    </row>
    <row r="51" customFormat="false" ht="15" hidden="false" customHeight="false" outlineLevel="0" collapsed="false">
      <c r="A51" s="0" t="s">
        <v>379</v>
      </c>
      <c r="B51" s="0" t="n">
        <f aca="false">_xlfn.T.DIST(C51,D51,E51)</f>
        <v>0.990028936934004</v>
      </c>
      <c r="C51" s="0" t="n">
        <v>3</v>
      </c>
      <c r="D51" s="0" t="n">
        <v>7</v>
      </c>
      <c r="E51" s="0" t="n">
        <f aca="false">TRUE()</f>
        <v>1</v>
      </c>
    </row>
    <row r="52" customFormat="false" ht="15" hidden="false" customHeight="false" outlineLevel="0" collapsed="false">
      <c r="A52" s="0" t="s">
        <v>380</v>
      </c>
      <c r="B52" s="0" t="n">
        <f aca="false">_xlfn.T.DIST.2T(C51,D51)</f>
        <v>0.0199421261319926</v>
      </c>
    </row>
    <row r="53" customFormat="false" ht="15" hidden="false" customHeight="false" outlineLevel="0" collapsed="false">
      <c r="A53" s="0" t="s">
        <v>381</v>
      </c>
      <c r="B53" s="0" t="n">
        <f aca="false">_xlfn.T.DIST.RT(C51,D51)</f>
        <v>0.00997106306599629</v>
      </c>
    </row>
    <row r="54" customFormat="false" ht="15" hidden="false" customHeight="false" outlineLevel="0" collapsed="false">
      <c r="A54" s="0" t="s">
        <v>382</v>
      </c>
      <c r="B54" s="0" t="n">
        <f aca="false">_xlfn.T.INV(B51,D51)</f>
        <v>3</v>
      </c>
    </row>
    <row r="55" customFormat="false" ht="15" hidden="false" customHeight="false" outlineLevel="0" collapsed="false">
      <c r="A55" s="0" t="s">
        <v>383</v>
      </c>
      <c r="B55" s="0" t="n">
        <f aca="false">_xlfn.T.INV.2T(B52,D51)</f>
        <v>3</v>
      </c>
    </row>
    <row r="56" customFormat="false" ht="15" hidden="false" customHeight="false" outlineLevel="0" collapsed="false">
      <c r="A56" s="0" t="s">
        <v>384</v>
      </c>
      <c r="B56" s="0" t="n">
        <f aca="false">TDIST(C56,D56,E56)</f>
        <v>0.0199421261319926</v>
      </c>
      <c r="C56" s="0" t="n">
        <v>3</v>
      </c>
      <c r="D56" s="0" t="n">
        <v>7</v>
      </c>
      <c r="E56" s="0" t="n">
        <v>2</v>
      </c>
    </row>
    <row r="57" customFormat="false" ht="15" hidden="false" customHeight="false" outlineLevel="0" collapsed="false">
      <c r="A57" s="0" t="s">
        <v>385</v>
      </c>
      <c r="B57" s="0" t="n">
        <f aca="false">TINV(B56,D56)</f>
        <v>3</v>
      </c>
    </row>
    <row r="58" customFormat="false" ht="15" hidden="false" customHeight="false" outlineLevel="0" collapsed="false">
      <c r="A58" s="0" t="s">
        <v>386</v>
      </c>
      <c r="B58" s="0" t="n">
        <f aca="false">WEIBULL(C58,D58,E58,F58)</f>
        <v>0.221199216928595</v>
      </c>
      <c r="C58" s="0" t="n">
        <v>0.5</v>
      </c>
      <c r="D58" s="0" t="n">
        <v>2</v>
      </c>
      <c r="E58" s="0" t="n">
        <v>1</v>
      </c>
      <c r="F58" s="0" t="n">
        <f aca="false">TRUE()</f>
        <v>1</v>
      </c>
    </row>
    <row r="59" customFormat="false" ht="15" hidden="false" customHeight="false" outlineLevel="0" collapsed="false">
      <c r="A59" s="0" t="s">
        <v>387</v>
      </c>
      <c r="B59" s="0" t="n">
        <f aca="false">_xlfn.WEIBULL.DIST(C59,D59,E59,F59)</f>
        <v>0.778800783071405</v>
      </c>
      <c r="C59" s="0" t="n">
        <v>0.5</v>
      </c>
      <c r="D59" s="0" t="n">
        <v>2</v>
      </c>
      <c r="E59" s="0" t="n">
        <v>1</v>
      </c>
      <c r="F59" s="0" t="n">
        <f aca="false">FALSE()</f>
        <v>0</v>
      </c>
    </row>
    <row r="61" customFormat="false" ht="15" hidden="false" customHeight="false" outlineLevel="0" collapsed="false">
      <c r="A61" s="0" t="s">
        <v>388</v>
      </c>
    </row>
    <row r="62" customFormat="false" ht="15" hidden="false" customHeight="false" outlineLevel="0" collapsed="false">
      <c r="A62" s="0" t="s">
        <v>389</v>
      </c>
      <c r="B62" s="0" t="n">
        <f aca="false">AVEDEV(C62:I62,J62,ROW(B62))</f>
        <v>30.5185185185185</v>
      </c>
      <c r="C62" s="0" t="n">
        <v>1</v>
      </c>
      <c r="D62" s="0" t="n">
        <v>2</v>
      </c>
      <c r="E62" s="0" t="n">
        <v>4</v>
      </c>
      <c r="F62" s="0" t="n">
        <v>8</v>
      </c>
      <c r="G62" s="0" t="n">
        <v>16</v>
      </c>
      <c r="H62" s="0" t="n">
        <v>32</v>
      </c>
      <c r="I62" s="0" t="n">
        <f aca="false">TRUE()</f>
        <v>1</v>
      </c>
      <c r="J62" s="0" t="n">
        <v>128</v>
      </c>
    </row>
    <row r="63" customFormat="false" ht="15" hidden="false" customHeight="false" outlineLevel="0" collapsed="false">
      <c r="A63" s="0" t="s">
        <v>390</v>
      </c>
      <c r="B63" s="0" t="n">
        <f aca="false">AVERAGE(C63:I63,J63,ROW(B63))</f>
        <v>28.3333333333333</v>
      </c>
      <c r="C63" s="0" t="n">
        <v>1</v>
      </c>
      <c r="D63" s="0" t="n">
        <v>2</v>
      </c>
      <c r="E63" s="0" t="n">
        <v>4</v>
      </c>
      <c r="F63" s="0" t="n">
        <v>8</v>
      </c>
      <c r="G63" s="0" t="n">
        <v>16</v>
      </c>
      <c r="H63" s="0" t="n">
        <v>32</v>
      </c>
      <c r="I63" s="0" t="n">
        <f aca="false">TRUE()</f>
        <v>1</v>
      </c>
      <c r="J63" s="0" t="n">
        <v>128</v>
      </c>
    </row>
    <row r="64" customFormat="false" ht="15" hidden="false" customHeight="false" outlineLevel="0" collapsed="false">
      <c r="A64" s="0" t="s">
        <v>391</v>
      </c>
      <c r="B64" s="0" t="n">
        <f aca="false">AVERAGEA(C64:I64,J64,ROW(B64))</f>
        <v>28.4444444444444</v>
      </c>
      <c r="C64" s="0" t="n">
        <v>1</v>
      </c>
      <c r="D64" s="0" t="n">
        <v>2</v>
      </c>
      <c r="E64" s="0" t="n">
        <v>4</v>
      </c>
      <c r="F64" s="0" t="n">
        <v>8</v>
      </c>
      <c r="G64" s="0" t="n">
        <v>16</v>
      </c>
      <c r="H64" s="0" t="n">
        <v>32</v>
      </c>
      <c r="I64" s="0" t="n">
        <f aca="false">TRUE()</f>
        <v>1</v>
      </c>
      <c r="J64" s="0" t="n">
        <v>128</v>
      </c>
    </row>
    <row r="65" customFormat="false" ht="15" hidden="false" customHeight="false" outlineLevel="0" collapsed="false">
      <c r="A65" s="0" t="s">
        <v>392</v>
      </c>
      <c r="B65" s="0" t="n">
        <f aca="false">AVERAGEIF(C65:I65,J65)</f>
        <v>3.2</v>
      </c>
      <c r="C65" s="0" t="n">
        <v>1</v>
      </c>
      <c r="D65" s="0" t="n">
        <v>2</v>
      </c>
      <c r="E65" s="0" t="n">
        <v>4</v>
      </c>
      <c r="F65" s="0" t="n">
        <v>8</v>
      </c>
      <c r="G65" s="0" t="n">
        <v>16</v>
      </c>
      <c r="H65" s="0" t="n">
        <v>32</v>
      </c>
      <c r="I65" s="0" t="n">
        <f aca="false">TRUE()</f>
        <v>1</v>
      </c>
      <c r="J65" s="0" t="s">
        <v>393</v>
      </c>
    </row>
    <row r="66" customFormat="false" ht="15" hidden="false" customHeight="false" outlineLevel="0" collapsed="false">
      <c r="A66" s="0" t="s">
        <v>394</v>
      </c>
      <c r="B66" s="0" t="n">
        <f aca="false">AVERAGEIFS(C66:I66,C66:I66,"&gt;3",C66:I66,"&lt;20")</f>
        <v>9.33333333333333</v>
      </c>
      <c r="C66" s="0" t="n">
        <v>1</v>
      </c>
      <c r="D66" s="0" t="n">
        <v>2</v>
      </c>
      <c r="E66" s="0" t="n">
        <v>4</v>
      </c>
      <c r="F66" s="0" t="n">
        <v>8</v>
      </c>
      <c r="G66" s="0" t="n">
        <v>16</v>
      </c>
      <c r="H66" s="0" t="n">
        <v>32</v>
      </c>
      <c r="I66" s="0" t="n">
        <f aca="false">TRUE()</f>
        <v>1</v>
      </c>
      <c r="J66" s="0" t="s">
        <v>393</v>
      </c>
    </row>
    <row r="67" customFormat="false" ht="15" hidden="false" customHeight="false" outlineLevel="0" collapsed="false">
      <c r="A67" s="0" t="s">
        <v>395</v>
      </c>
      <c r="B67" s="0" t="n">
        <f aca="false">CORREL({2,1,3,4,7,11},C67:H67)</f>
        <v>0.986241382612456</v>
      </c>
      <c r="C67" s="0" t="n">
        <v>1</v>
      </c>
      <c r="D67" s="0" t="n">
        <v>2</v>
      </c>
      <c r="E67" s="0" t="n">
        <v>3</v>
      </c>
      <c r="F67" s="0" t="n">
        <v>5</v>
      </c>
      <c r="G67" s="0" t="n">
        <v>8</v>
      </c>
      <c r="H67" s="0" t="n">
        <v>13</v>
      </c>
    </row>
    <row r="68" customFormat="false" ht="15" hidden="false" customHeight="false" outlineLevel="0" collapsed="false">
      <c r="A68" s="0" t="s">
        <v>396</v>
      </c>
      <c r="B68" s="0" t="n">
        <f aca="false">COUNT(C68:J68)</f>
        <v>7</v>
      </c>
      <c r="C68" s="0" t="n">
        <v>1</v>
      </c>
      <c r="D68" s="0" t="n">
        <v>2</v>
      </c>
      <c r="E68" s="0" t="n">
        <v>4</v>
      </c>
      <c r="F68" s="0" t="n">
        <v>8</v>
      </c>
      <c r="G68" s="0" t="n">
        <v>16</v>
      </c>
      <c r="H68" s="0" t="n">
        <v>32</v>
      </c>
      <c r="I68" s="0" t="n">
        <f aca="false">TRUE()</f>
        <v>1</v>
      </c>
    </row>
    <row r="69" customFormat="false" ht="15" hidden="false" customHeight="false" outlineLevel="0" collapsed="false">
      <c r="A69" s="0" t="s">
        <v>397</v>
      </c>
      <c r="B69" s="0" t="n">
        <f aca="false">COUNTA(C69:J69)</f>
        <v>7</v>
      </c>
      <c r="C69" s="0" t="n">
        <v>1</v>
      </c>
      <c r="D69" s="0" t="n">
        <v>2</v>
      </c>
      <c r="E69" s="0" t="n">
        <v>4</v>
      </c>
      <c r="F69" s="0" t="n">
        <v>8</v>
      </c>
      <c r="G69" s="0" t="n">
        <v>16</v>
      </c>
      <c r="H69" s="0" t="n">
        <v>32</v>
      </c>
      <c r="I69" s="0" t="n">
        <f aca="false">TRUE()</f>
        <v>1</v>
      </c>
    </row>
    <row r="70" customFormat="false" ht="15" hidden="false" customHeight="false" outlineLevel="0" collapsed="false">
      <c r="A70" s="0" t="s">
        <v>398</v>
      </c>
      <c r="B70" s="0" t="n">
        <f aca="false">COUNTBLANK(C70:J70)</f>
        <v>1</v>
      </c>
      <c r="C70" s="0" t="n">
        <v>1</v>
      </c>
      <c r="D70" s="0" t="n">
        <v>2</v>
      </c>
      <c r="E70" s="0" t="n">
        <v>4</v>
      </c>
      <c r="F70" s="0" t="n">
        <v>8</v>
      </c>
      <c r="G70" s="0" t="n">
        <v>16</v>
      </c>
      <c r="H70" s="0" t="n">
        <v>32</v>
      </c>
      <c r="I70" s="0" t="n">
        <f aca="false">TRUE()</f>
        <v>1</v>
      </c>
    </row>
    <row r="71" customFormat="false" ht="15" hidden="false" customHeight="false" outlineLevel="0" collapsed="false">
      <c r="A71" s="0" t="s">
        <v>399</v>
      </c>
      <c r="B71" s="0" t="n">
        <f aca="false">COUNTIF(C71:I71,J71)</f>
        <v>2</v>
      </c>
      <c r="C71" s="0" t="n">
        <v>1</v>
      </c>
      <c r="D71" s="0" t="n">
        <v>2</v>
      </c>
      <c r="E71" s="0" t="n">
        <v>4</v>
      </c>
      <c r="F71" s="0" t="n">
        <v>8</v>
      </c>
      <c r="G71" s="0" t="n">
        <v>16</v>
      </c>
      <c r="H71" s="0" t="n">
        <v>32</v>
      </c>
      <c r="I71" s="0" t="n">
        <f aca="false">TRUE()</f>
        <v>1</v>
      </c>
      <c r="J71" s="0" t="s">
        <v>35</v>
      </c>
    </row>
    <row r="72" customFormat="false" ht="15" hidden="false" customHeight="false" outlineLevel="0" collapsed="false">
      <c r="A72" s="0" t="s">
        <v>400</v>
      </c>
      <c r="B72" s="0" t="n">
        <f aca="false">COUNTIFS(C72:I72,J72,C72:I72,J71)</f>
        <v>1</v>
      </c>
      <c r="C72" s="0" t="n">
        <v>1</v>
      </c>
      <c r="D72" s="0" t="n">
        <v>2</v>
      </c>
      <c r="E72" s="0" t="n">
        <v>4</v>
      </c>
      <c r="F72" s="0" t="n">
        <v>8</v>
      </c>
      <c r="G72" s="0" t="n">
        <v>16</v>
      </c>
      <c r="H72" s="0" t="n">
        <v>32</v>
      </c>
      <c r="I72" s="0" t="n">
        <f aca="false">TRUE()</f>
        <v>1</v>
      </c>
      <c r="J72" s="0" t="s">
        <v>401</v>
      </c>
    </row>
    <row r="73" customFormat="false" ht="15" hidden="false" customHeight="false" outlineLevel="0" collapsed="false">
      <c r="A73" s="0" t="s">
        <v>402</v>
      </c>
      <c r="B73" s="0" t="n">
        <f aca="false">COVAR(C73:H73,C74:H74)</f>
        <v>36.3333333333333</v>
      </c>
      <c r="C73" s="0" t="n">
        <v>1</v>
      </c>
      <c r="D73" s="0" t="n">
        <v>2</v>
      </c>
      <c r="E73" s="0" t="n">
        <v>4</v>
      </c>
      <c r="F73" s="0" t="n">
        <v>8</v>
      </c>
      <c r="G73" s="0" t="n">
        <v>16</v>
      </c>
      <c r="H73" s="0" t="n">
        <v>32</v>
      </c>
      <c r="I73" s="0" t="n">
        <f aca="false">TRUE()</f>
        <v>1</v>
      </c>
    </row>
    <row r="74" customFormat="false" ht="15" hidden="false" customHeight="false" outlineLevel="0" collapsed="false">
      <c r="A74" s="0" t="s">
        <v>403</v>
      </c>
      <c r="B74" s="0" t="n">
        <f aca="false">_xlfn.COVARIANCE.P(C73:H73,C74:H74)</f>
        <v>36.3333333333333</v>
      </c>
      <c r="C74" s="0" t="n">
        <v>2</v>
      </c>
      <c r="D74" s="0" t="n">
        <v>1</v>
      </c>
      <c r="E74" s="0" t="n">
        <v>3</v>
      </c>
      <c r="F74" s="0" t="n">
        <v>4</v>
      </c>
      <c r="G74" s="0" t="n">
        <v>7</v>
      </c>
      <c r="H74" s="0" t="n">
        <v>11</v>
      </c>
      <c r="I74" s="0" t="n">
        <v>18</v>
      </c>
    </row>
    <row r="75" customFormat="false" ht="15" hidden="false" customHeight="false" outlineLevel="0" collapsed="false">
      <c r="A75" s="0" t="s">
        <v>404</v>
      </c>
      <c r="B75" s="0" t="n">
        <f aca="false">_xlfn.COVARIANCE.S(C73:H73,C74:H74)</f>
        <v>43.6</v>
      </c>
    </row>
    <row r="76" customFormat="false" ht="15" hidden="false" customHeight="false" outlineLevel="0" collapsed="false">
      <c r="A76" s="0" t="s">
        <v>405</v>
      </c>
      <c r="B76" s="0" t="n">
        <f aca="false">DEVSQ(C76:I76)</f>
        <v>780.857142857143</v>
      </c>
      <c r="C76" s="0" t="n">
        <v>1</v>
      </c>
      <c r="D76" s="0" t="n">
        <v>2</v>
      </c>
      <c r="E76" s="0" t="n">
        <v>4</v>
      </c>
      <c r="F76" s="0" t="n">
        <v>8</v>
      </c>
      <c r="G76" s="0" t="n">
        <v>16</v>
      </c>
      <c r="H76" s="0" t="n">
        <v>32</v>
      </c>
      <c r="I76" s="0" t="n">
        <f aca="false">TRUE()</f>
        <v>1</v>
      </c>
    </row>
    <row r="77" customFormat="false" ht="15" hidden="false" customHeight="false" outlineLevel="0" collapsed="false">
      <c r="A77" s="0" t="s">
        <v>406</v>
      </c>
      <c r="B77" s="0" t="n">
        <f aca="false">GEOMEAN(C77:I77)</f>
        <v>4.41635805469525</v>
      </c>
      <c r="C77" s="0" t="n">
        <v>1</v>
      </c>
      <c r="D77" s="0" t="n">
        <v>2</v>
      </c>
      <c r="E77" s="0" t="n">
        <v>4</v>
      </c>
      <c r="F77" s="0" t="n">
        <v>8</v>
      </c>
      <c r="G77" s="0" t="n">
        <v>16</v>
      </c>
      <c r="H77" s="0" t="n">
        <v>32</v>
      </c>
      <c r="I77" s="0" t="n">
        <f aca="false">TRUE()</f>
        <v>1</v>
      </c>
    </row>
    <row r="78" customFormat="false" ht="15" hidden="false" customHeight="false" outlineLevel="0" collapsed="false">
      <c r="A78" s="0" t="s">
        <v>407</v>
      </c>
      <c r="B78" s="0" t="n">
        <f aca="false">HARMEAN(C78:I78)</f>
        <v>2.3578947368421</v>
      </c>
      <c r="C78" s="0" t="n">
        <v>1</v>
      </c>
      <c r="D78" s="0" t="n">
        <v>2</v>
      </c>
      <c r="E78" s="0" t="n">
        <v>4</v>
      </c>
      <c r="F78" s="0" t="n">
        <v>8</v>
      </c>
      <c r="G78" s="0" t="n">
        <v>16</v>
      </c>
      <c r="H78" s="0" t="n">
        <v>32</v>
      </c>
      <c r="I78" s="0" t="n">
        <f aca="false">TRUE()</f>
        <v>1</v>
      </c>
    </row>
    <row r="79" customFormat="false" ht="15" hidden="false" customHeight="false" outlineLevel="0" collapsed="false">
      <c r="A79" s="0" t="s">
        <v>408</v>
      </c>
      <c r="B79" s="0" t="n">
        <f aca="false">KURT(C79:I79)</f>
        <v>2.51485695626451</v>
      </c>
      <c r="C79" s="0" t="n">
        <v>1</v>
      </c>
      <c r="D79" s="0" t="n">
        <v>2</v>
      </c>
      <c r="E79" s="0" t="n">
        <v>4</v>
      </c>
      <c r="F79" s="0" t="n">
        <v>8</v>
      </c>
      <c r="G79" s="0" t="n">
        <v>16</v>
      </c>
      <c r="H79" s="0" t="n">
        <v>32</v>
      </c>
      <c r="I79" s="0" t="n">
        <f aca="false">TRUE()</f>
        <v>1</v>
      </c>
    </row>
    <row r="80" customFormat="false" ht="15" hidden="false" customHeight="false" outlineLevel="0" collapsed="false">
      <c r="A80" s="0" t="s">
        <v>409</v>
      </c>
      <c r="B80" s="0" t="n">
        <f aca="false">LARGE(C80:H80,I80)</f>
        <v>8</v>
      </c>
      <c r="C80" s="0" t="n">
        <v>1</v>
      </c>
      <c r="D80" s="0" t="n">
        <v>2</v>
      </c>
      <c r="E80" s="0" t="n">
        <v>4</v>
      </c>
      <c r="F80" s="0" t="n">
        <v>8</v>
      </c>
      <c r="G80" s="0" t="n">
        <v>16</v>
      </c>
      <c r="H80" s="0" t="n">
        <v>32</v>
      </c>
      <c r="I80" s="0" t="n">
        <v>3</v>
      </c>
    </row>
    <row r="81" customFormat="false" ht="15" hidden="false" customHeight="false" outlineLevel="0" collapsed="false">
      <c r="A81" s="0" t="s">
        <v>410</v>
      </c>
      <c r="B81" s="0" t="n">
        <f aca="false">MAX(C81:H81,I81)</f>
        <v>32</v>
      </c>
      <c r="C81" s="0" t="n">
        <v>1</v>
      </c>
      <c r="D81" s="0" t="n">
        <v>2</v>
      </c>
      <c r="E81" s="0" t="n">
        <v>4</v>
      </c>
      <c r="F81" s="0" t="n">
        <v>8</v>
      </c>
      <c r="G81" s="0" t="n">
        <v>16</v>
      </c>
      <c r="H81" s="0" t="n">
        <v>32</v>
      </c>
      <c r="I81" s="0" t="n">
        <v>3</v>
      </c>
    </row>
    <row r="82" customFormat="false" ht="15" hidden="false" customHeight="false" outlineLevel="0" collapsed="false">
      <c r="A82" s="0" t="s">
        <v>411</v>
      </c>
      <c r="B82" s="0" t="n">
        <f aca="false">MAXA(C82:H82,I82)</f>
        <v>32</v>
      </c>
      <c r="C82" s="0" t="n">
        <v>1</v>
      </c>
      <c r="D82" s="0" t="n">
        <v>2</v>
      </c>
      <c r="E82" s="0" t="n">
        <v>4</v>
      </c>
      <c r="F82" s="0" t="n">
        <v>8</v>
      </c>
      <c r="G82" s="0" t="n">
        <v>16</v>
      </c>
      <c r="H82" s="0" t="n">
        <v>32</v>
      </c>
      <c r="I82" s="0" t="n">
        <v>3</v>
      </c>
    </row>
    <row r="83" customFormat="false" ht="15" hidden="false" customHeight="false" outlineLevel="0" collapsed="false">
      <c r="A83" s="0" t="s">
        <v>412</v>
      </c>
      <c r="B83" s="2" t="n">
        <f aca="false">MEDIAN(C83:I83)</f>
        <v>4</v>
      </c>
      <c r="C83" s="2" t="n">
        <v>1</v>
      </c>
      <c r="D83" s="2" t="n">
        <v>2</v>
      </c>
      <c r="E83" s="2" t="n">
        <v>4</v>
      </c>
      <c r="F83" s="2" t="n">
        <v>8</v>
      </c>
      <c r="G83" s="2" t="n">
        <v>16</v>
      </c>
      <c r="H83" s="2" t="n">
        <v>32</v>
      </c>
      <c r="I83" s="2" t="n">
        <v>3</v>
      </c>
    </row>
    <row r="84" customFormat="false" ht="15" hidden="false" customHeight="false" outlineLevel="0" collapsed="false">
      <c r="A84" s="0" t="s">
        <v>413</v>
      </c>
      <c r="B84" s="0" t="n">
        <f aca="false">MIN(C84:I84)</f>
        <v>1</v>
      </c>
      <c r="C84" s="2" t="n">
        <v>1</v>
      </c>
      <c r="D84" s="2" t="n">
        <v>2</v>
      </c>
      <c r="E84" s="2" t="n">
        <v>4</v>
      </c>
      <c r="F84" s="2" t="n">
        <v>8</v>
      </c>
      <c r="G84" s="2" t="n">
        <v>16</v>
      </c>
      <c r="H84" s="2" t="n">
        <v>32</v>
      </c>
      <c r="I84" s="2" t="n">
        <v>3</v>
      </c>
    </row>
    <row r="85" customFormat="false" ht="15" hidden="false" customHeight="false" outlineLevel="0" collapsed="false">
      <c r="A85" s="0" t="s">
        <v>414</v>
      </c>
      <c r="B85" s="0" t="n">
        <f aca="false">MINA(C85:I85)</f>
        <v>1</v>
      </c>
      <c r="C85" s="2" t="n">
        <v>1</v>
      </c>
      <c r="D85" s="2" t="n">
        <v>2</v>
      </c>
      <c r="E85" s="2" t="n">
        <v>4</v>
      </c>
      <c r="F85" s="2" t="n">
        <v>8</v>
      </c>
      <c r="G85" s="2" t="n">
        <v>16</v>
      </c>
      <c r="H85" s="2" t="n">
        <v>32</v>
      </c>
      <c r="I85" s="2" t="n">
        <v>3</v>
      </c>
    </row>
    <row r="86" customFormat="false" ht="15" hidden="false" customHeight="false" outlineLevel="0" collapsed="false">
      <c r="A86" s="0" t="s">
        <v>415</v>
      </c>
      <c r="B86" s="0" t="n">
        <f aca="false">MODE(C86:I86)</f>
        <v>16</v>
      </c>
      <c r="C86" s="2" t="n">
        <v>1</v>
      </c>
      <c r="D86" s="2" t="n">
        <v>2</v>
      </c>
      <c r="E86" s="2" t="n">
        <v>4</v>
      </c>
      <c r="F86" s="2" t="n">
        <v>8</v>
      </c>
      <c r="G86" s="2" t="n">
        <v>16</v>
      </c>
      <c r="H86" s="2" t="n">
        <v>16</v>
      </c>
      <c r="I86" s="2" t="n">
        <v>3</v>
      </c>
    </row>
    <row r="87" customFormat="false" ht="15" hidden="false" customHeight="false" outlineLevel="0" collapsed="false">
      <c r="A87" s="0" t="s">
        <v>416</v>
      </c>
      <c r="B87" s="0" t="n">
        <f aca="false">_xlfn.MODE.MULT(C87:I87)</f>
        <v>8</v>
      </c>
      <c r="C87" s="2" t="n">
        <v>1</v>
      </c>
      <c r="D87" s="2" t="n">
        <v>2</v>
      </c>
      <c r="E87" s="2" t="n">
        <v>4</v>
      </c>
      <c r="F87" s="2" t="n">
        <v>8</v>
      </c>
      <c r="G87" s="2" t="n">
        <v>8</v>
      </c>
      <c r="H87" s="2" t="n">
        <v>32</v>
      </c>
      <c r="I87" s="2" t="n">
        <v>3</v>
      </c>
    </row>
    <row r="88" customFormat="false" ht="15" hidden="false" customHeight="false" outlineLevel="0" collapsed="false">
      <c r="A88" s="0" t="s">
        <v>417</v>
      </c>
      <c r="B88" s="0" t="n">
        <f aca="false">_xlfn.MODE.SNGL(1,2,3,4,3,2,1,2,1,2,2)</f>
        <v>2</v>
      </c>
    </row>
    <row r="89" customFormat="false" ht="15" hidden="false" customHeight="false" outlineLevel="0" collapsed="false">
      <c r="A89" s="0" t="s">
        <v>418</v>
      </c>
      <c r="B89" s="0" t="n">
        <f aca="false">PERCENTILE(C89:H89,I89)</f>
        <v>3</v>
      </c>
      <c r="C89" s="0" t="n">
        <v>1</v>
      </c>
      <c r="D89" s="0" t="n">
        <v>2</v>
      </c>
      <c r="E89" s="0" t="n">
        <v>4</v>
      </c>
      <c r="F89" s="0" t="n">
        <v>8</v>
      </c>
      <c r="G89" s="0" t="n">
        <v>16</v>
      </c>
      <c r="H89" s="0" t="n">
        <v>32</v>
      </c>
      <c r="I89" s="0" t="n">
        <v>0.3</v>
      </c>
    </row>
    <row r="90" customFormat="false" ht="15" hidden="false" customHeight="false" outlineLevel="0" collapsed="false">
      <c r="A90" s="0" t="s">
        <v>419</v>
      </c>
      <c r="B90" s="0" t="n">
        <f aca="false">_xlfn.PERCENTILE.EXC(C90:H90,I90)</f>
        <v>6</v>
      </c>
      <c r="C90" s="0" t="n">
        <v>1</v>
      </c>
      <c r="D90" s="0" t="n">
        <v>2</v>
      </c>
      <c r="E90" s="0" t="n">
        <v>4</v>
      </c>
      <c r="F90" s="0" t="n">
        <v>8</v>
      </c>
      <c r="G90" s="0" t="n">
        <v>16</v>
      </c>
      <c r="H90" s="0" t="n">
        <v>32</v>
      </c>
      <c r="I90" s="0" t="n">
        <v>0.5</v>
      </c>
    </row>
    <row r="91" customFormat="false" ht="15" hidden="false" customHeight="false" outlineLevel="0" collapsed="false">
      <c r="A91" s="0" t="s">
        <v>420</v>
      </c>
      <c r="B91" s="0" t="n">
        <f aca="false">_xlfn.PERCENTILE.INC(C91:H91,I91)</f>
        <v>12</v>
      </c>
      <c r="C91" s="0" t="n">
        <v>1</v>
      </c>
      <c r="D91" s="0" t="n">
        <v>2</v>
      </c>
      <c r="E91" s="0" t="n">
        <v>4</v>
      </c>
      <c r="F91" s="0" t="n">
        <v>8</v>
      </c>
      <c r="G91" s="0" t="n">
        <v>16</v>
      </c>
      <c r="H91" s="0" t="n">
        <v>32</v>
      </c>
      <c r="I91" s="0" t="n">
        <v>0.7</v>
      </c>
    </row>
    <row r="92" customFormat="false" ht="15" hidden="false" customHeight="false" outlineLevel="0" collapsed="false">
      <c r="A92" s="0" t="s">
        <v>421</v>
      </c>
      <c r="B92" s="0" t="n">
        <f aca="false">PERCENTRANK(C92:H92,I92)</f>
        <v>0.65</v>
      </c>
      <c r="C92" s="0" t="n">
        <v>1</v>
      </c>
      <c r="D92" s="0" t="n">
        <v>2</v>
      </c>
      <c r="E92" s="0" t="n">
        <v>4</v>
      </c>
      <c r="F92" s="0" t="n">
        <v>8</v>
      </c>
      <c r="G92" s="0" t="n">
        <v>16</v>
      </c>
      <c r="H92" s="0" t="n">
        <v>32</v>
      </c>
      <c r="I92" s="0" t="n">
        <v>10</v>
      </c>
    </row>
    <row r="93" customFormat="false" ht="15" hidden="false" customHeight="false" outlineLevel="0" collapsed="false">
      <c r="A93" s="0" t="s">
        <v>422</v>
      </c>
      <c r="B93" s="0" t="n">
        <f aca="false">_xlfn.PERCENTRANK.EXC(C93:H93,I93)</f>
        <v>0.75</v>
      </c>
      <c r="C93" s="0" t="n">
        <v>1</v>
      </c>
      <c r="D93" s="0" t="n">
        <v>2</v>
      </c>
      <c r="E93" s="0" t="n">
        <v>4</v>
      </c>
      <c r="F93" s="0" t="n">
        <v>8</v>
      </c>
      <c r="G93" s="0" t="n">
        <v>16</v>
      </c>
      <c r="H93" s="0" t="n">
        <v>32</v>
      </c>
      <c r="I93" s="0" t="n">
        <v>20</v>
      </c>
    </row>
    <row r="94" customFormat="false" ht="15" hidden="false" customHeight="false" outlineLevel="0" collapsed="false">
      <c r="A94" s="0" t="s">
        <v>423</v>
      </c>
      <c r="B94" s="0" t="n">
        <f aca="false">_xlfn.PERCENTRANK.INC(C94:H94,I94)</f>
        <v>0.975</v>
      </c>
      <c r="C94" s="0" t="n">
        <v>1</v>
      </c>
      <c r="D94" s="0" t="n">
        <v>2</v>
      </c>
      <c r="E94" s="0" t="n">
        <v>4</v>
      </c>
      <c r="F94" s="0" t="n">
        <v>8</v>
      </c>
      <c r="G94" s="0" t="n">
        <v>16</v>
      </c>
      <c r="H94" s="0" t="n">
        <v>32</v>
      </c>
      <c r="I94" s="0" t="n">
        <v>30</v>
      </c>
    </row>
    <row r="95" customFormat="false" ht="15" hidden="false" customHeight="false" outlineLevel="0" collapsed="false">
      <c r="A95" s="0" t="s">
        <v>424</v>
      </c>
      <c r="B95" s="0" t="n">
        <f aca="false">QUARTILE(C95:H95,I95)</f>
        <v>14</v>
      </c>
      <c r="C95" s="0" t="n">
        <v>1</v>
      </c>
      <c r="D95" s="0" t="n">
        <v>2</v>
      </c>
      <c r="E95" s="0" t="n">
        <v>4</v>
      </c>
      <c r="F95" s="0" t="n">
        <v>8</v>
      </c>
      <c r="G95" s="0" t="n">
        <v>16</v>
      </c>
      <c r="H95" s="0" t="n">
        <v>32</v>
      </c>
      <c r="I95" s="0" t="n">
        <v>3</v>
      </c>
    </row>
    <row r="96" customFormat="false" ht="15" hidden="false" customHeight="false" outlineLevel="0" collapsed="false">
      <c r="A96" s="0" t="s">
        <v>425</v>
      </c>
      <c r="B96" s="0" t="n">
        <f aca="false">_xlfn.QUARTILE.EXC(C96:H96,I96)</f>
        <v>6</v>
      </c>
      <c r="C96" s="0" t="n">
        <v>1</v>
      </c>
      <c r="D96" s="0" t="n">
        <v>2</v>
      </c>
      <c r="E96" s="0" t="n">
        <v>4</v>
      </c>
      <c r="F96" s="0" t="n">
        <v>8</v>
      </c>
      <c r="G96" s="0" t="n">
        <v>16</v>
      </c>
      <c r="H96" s="0" t="n">
        <v>32</v>
      </c>
      <c r="I96" s="0" t="n">
        <v>2</v>
      </c>
    </row>
    <row r="97" customFormat="false" ht="15" hidden="false" customHeight="false" outlineLevel="0" collapsed="false">
      <c r="A97" s="0" t="s">
        <v>426</v>
      </c>
      <c r="B97" s="0" t="n">
        <f aca="false">_xlfn.QUARTILE.INC(C97:H97,I97)</f>
        <v>2.5</v>
      </c>
      <c r="C97" s="0" t="n">
        <v>1</v>
      </c>
      <c r="D97" s="0" t="n">
        <v>2</v>
      </c>
      <c r="E97" s="0" t="n">
        <v>4</v>
      </c>
      <c r="F97" s="0" t="n">
        <v>8</v>
      </c>
      <c r="G97" s="0" t="n">
        <v>16</v>
      </c>
      <c r="H97" s="0" t="n">
        <v>32</v>
      </c>
      <c r="I97" s="0" t="n">
        <v>1</v>
      </c>
    </row>
    <row r="98" customFormat="false" ht="15" hidden="false" customHeight="false" outlineLevel="0" collapsed="false">
      <c r="A98" s="0" t="s">
        <v>427</v>
      </c>
      <c r="B98" s="0" t="n">
        <f aca="false">RANK(4,C98:H98)</f>
        <v>4</v>
      </c>
      <c r="C98" s="0" t="n">
        <v>1</v>
      </c>
      <c r="D98" s="0" t="n">
        <v>2</v>
      </c>
      <c r="E98" s="0" t="n">
        <v>4</v>
      </c>
      <c r="F98" s="0" t="n">
        <v>8</v>
      </c>
      <c r="G98" s="0" t="n">
        <v>16</v>
      </c>
      <c r="H98" s="0" t="n">
        <v>32</v>
      </c>
      <c r="I98" s="2" t="s">
        <v>428</v>
      </c>
    </row>
    <row r="99" customFormat="false" ht="15" hidden="false" customHeight="false" outlineLevel="0" collapsed="false">
      <c r="A99" s="0" t="s">
        <v>429</v>
      </c>
      <c r="B99" s="0" t="n">
        <f aca="false">_xlfn.RANK.AVG(4,C99:H99)</f>
        <v>4</v>
      </c>
      <c r="C99" s="0" t="n">
        <v>1</v>
      </c>
      <c r="D99" s="0" t="n">
        <v>2</v>
      </c>
      <c r="E99" s="0" t="n">
        <v>4</v>
      </c>
      <c r="F99" s="0" t="n">
        <v>8</v>
      </c>
      <c r="G99" s="0" t="n">
        <v>16</v>
      </c>
      <c r="H99" s="0" t="n">
        <v>32</v>
      </c>
      <c r="I99" s="0" t="s">
        <v>430</v>
      </c>
    </row>
    <row r="100" customFormat="false" ht="15" hidden="false" customHeight="false" outlineLevel="0" collapsed="false">
      <c r="A100" s="0" t="s">
        <v>431</v>
      </c>
      <c r="B100" s="0" t="n">
        <f aca="false">_xlfn.RANK.EQ(4,C100:H100)</f>
        <v>4</v>
      </c>
      <c r="C100" s="0" t="n">
        <v>1</v>
      </c>
      <c r="D100" s="0" t="n">
        <v>2</v>
      </c>
      <c r="E100" s="0" t="n">
        <v>4</v>
      </c>
      <c r="F100" s="0" t="n">
        <v>8</v>
      </c>
      <c r="G100" s="0" t="n">
        <v>16</v>
      </c>
      <c r="H100" s="0" t="n">
        <v>32</v>
      </c>
      <c r="I100" s="0" t="s">
        <v>432</v>
      </c>
    </row>
    <row r="101" customFormat="false" ht="15" hidden="false" customHeight="false" outlineLevel="0" collapsed="false">
      <c r="A101" s="0" t="s">
        <v>433</v>
      </c>
      <c r="B101" s="0" t="n">
        <f aca="false">SKEW(C101:H101)</f>
        <v>1.49969295786044</v>
      </c>
      <c r="C101" s="0" t="n">
        <v>1</v>
      </c>
      <c r="D101" s="0" t="n">
        <v>2</v>
      </c>
      <c r="E101" s="0" t="n">
        <v>4</v>
      </c>
      <c r="F101" s="0" t="n">
        <v>8</v>
      </c>
      <c r="G101" s="0" t="n">
        <v>16</v>
      </c>
      <c r="H101" s="0" t="n">
        <v>32</v>
      </c>
    </row>
    <row r="102" customFormat="false" ht="15" hidden="false" customHeight="false" outlineLevel="0" collapsed="false">
      <c r="A102" s="0" t="s">
        <v>434</v>
      </c>
      <c r="B102" s="0" t="n">
        <f aca="false">SMALL(C102:H102,I102)</f>
        <v>4</v>
      </c>
      <c r="C102" s="0" t="n">
        <v>1</v>
      </c>
      <c r="D102" s="0" t="n">
        <v>2</v>
      </c>
      <c r="E102" s="0" t="n">
        <v>4</v>
      </c>
      <c r="F102" s="0" t="n">
        <v>8</v>
      </c>
      <c r="G102" s="0" t="n">
        <v>16</v>
      </c>
      <c r="H102" s="0" t="n">
        <v>32</v>
      </c>
      <c r="I102" s="0" t="n">
        <v>3</v>
      </c>
    </row>
    <row r="103" customFormat="false" ht="15" hidden="false" customHeight="false" outlineLevel="0" collapsed="false">
      <c r="A103" s="0" t="s">
        <v>435</v>
      </c>
      <c r="B103" s="0" t="n">
        <f aca="false">STDEV(C103:H103,I103)</f>
        <v>13.0985277253372</v>
      </c>
      <c r="C103" s="0" t="n">
        <v>1</v>
      </c>
      <c r="D103" s="0" t="n">
        <v>2</v>
      </c>
      <c r="E103" s="0" t="n">
        <v>4</v>
      </c>
      <c r="F103" s="0" t="n">
        <v>8</v>
      </c>
      <c r="G103" s="0" t="n">
        <v>16</v>
      </c>
      <c r="H103" s="0" t="n">
        <v>32</v>
      </c>
      <c r="I103" s="0" t="n">
        <v>30</v>
      </c>
    </row>
    <row r="104" customFormat="false" ht="15" hidden="false" customHeight="false" outlineLevel="0" collapsed="false">
      <c r="A104" s="0" t="s">
        <v>436</v>
      </c>
      <c r="B104" s="0" t="n">
        <f aca="false">_xlfn.STDEV.P(C104:H104,I104)</f>
        <v>12.1268802455453</v>
      </c>
      <c r="C104" s="0" t="n">
        <v>1</v>
      </c>
      <c r="D104" s="0" t="n">
        <v>2</v>
      </c>
      <c r="E104" s="0" t="n">
        <v>4</v>
      </c>
      <c r="F104" s="0" t="n">
        <v>8</v>
      </c>
      <c r="G104" s="0" t="n">
        <v>16</v>
      </c>
      <c r="H104" s="0" t="n">
        <v>32</v>
      </c>
      <c r="I104" s="0" t="n">
        <v>30</v>
      </c>
    </row>
    <row r="105" customFormat="false" ht="15" hidden="false" customHeight="false" outlineLevel="0" collapsed="false">
      <c r="A105" s="0" t="s">
        <v>437</v>
      </c>
      <c r="B105" s="0" t="n">
        <f aca="false">_xlfn.STDEV.S(C105:H105,I105)</f>
        <v>13.0985277253372</v>
      </c>
      <c r="C105" s="0" t="n">
        <v>1</v>
      </c>
      <c r="D105" s="0" t="n">
        <v>2</v>
      </c>
      <c r="E105" s="0" t="n">
        <v>4</v>
      </c>
      <c r="F105" s="0" t="n">
        <v>8</v>
      </c>
      <c r="G105" s="0" t="n">
        <v>16</v>
      </c>
      <c r="H105" s="0" t="n">
        <v>32</v>
      </c>
      <c r="I105" s="0" t="n">
        <v>30</v>
      </c>
    </row>
    <row r="106" customFormat="false" ht="15" hidden="false" customHeight="false" outlineLevel="0" collapsed="false">
      <c r="A106" s="0" t="s">
        <v>438</v>
      </c>
      <c r="B106" s="0" t="n">
        <f aca="false">STDEVA(C106:H106,I106)</f>
        <v>13.0985277253372</v>
      </c>
      <c r="C106" s="0" t="n">
        <v>1</v>
      </c>
      <c r="D106" s="0" t="n">
        <v>2</v>
      </c>
      <c r="E106" s="0" t="n">
        <v>4</v>
      </c>
      <c r="F106" s="0" t="n">
        <v>8</v>
      </c>
      <c r="G106" s="0" t="n">
        <v>16</v>
      </c>
      <c r="H106" s="0" t="n">
        <v>32</v>
      </c>
      <c r="I106" s="0" t="n">
        <v>30</v>
      </c>
    </row>
    <row r="107" customFormat="false" ht="15" hidden="false" customHeight="false" outlineLevel="0" collapsed="false">
      <c r="A107" s="0" t="s">
        <v>439</v>
      </c>
      <c r="B107" s="0" t="n">
        <f aca="false">STDEVP(C107:H107,I107)</f>
        <v>12.1268802455453</v>
      </c>
      <c r="C107" s="0" t="n">
        <v>1</v>
      </c>
      <c r="D107" s="0" t="n">
        <v>2</v>
      </c>
      <c r="E107" s="0" t="n">
        <v>4</v>
      </c>
      <c r="F107" s="0" t="n">
        <v>8</v>
      </c>
      <c r="G107" s="0" t="n">
        <v>16</v>
      </c>
      <c r="H107" s="0" t="n">
        <v>32</v>
      </c>
      <c r="I107" s="0" t="n">
        <v>30</v>
      </c>
    </row>
    <row r="108" customFormat="false" ht="15" hidden="false" customHeight="false" outlineLevel="0" collapsed="false">
      <c r="A108" s="0" t="s">
        <v>440</v>
      </c>
      <c r="B108" s="0" t="n">
        <f aca="false">STDEVPA(C108:H108,I108)</f>
        <v>12.1268802455453</v>
      </c>
      <c r="C108" s="0" t="n">
        <v>1</v>
      </c>
      <c r="D108" s="0" t="n">
        <v>2</v>
      </c>
      <c r="E108" s="0" t="n">
        <v>4</v>
      </c>
      <c r="F108" s="0" t="n">
        <v>8</v>
      </c>
      <c r="G108" s="0" t="n">
        <v>16</v>
      </c>
      <c r="H108" s="0" t="n">
        <v>32</v>
      </c>
      <c r="I108" s="0" t="n">
        <v>30</v>
      </c>
    </row>
    <row r="109" customFormat="false" ht="15" hidden="false" customHeight="false" outlineLevel="0" collapsed="false">
      <c r="A109" s="0" t="s">
        <v>441</v>
      </c>
    </row>
    <row r="110" customFormat="false" ht="15" hidden="false" customHeight="false" outlineLevel="0" collapsed="false">
      <c r="A110" s="0" t="s">
        <v>442</v>
      </c>
      <c r="B110" s="0" t="n">
        <f aca="false">VAR(C110:H110,I110)</f>
        <v>171.571428571429</v>
      </c>
      <c r="C110" s="0" t="n">
        <v>1</v>
      </c>
      <c r="D110" s="0" t="n">
        <v>2</v>
      </c>
      <c r="E110" s="0" t="n">
        <v>4</v>
      </c>
      <c r="F110" s="0" t="n">
        <v>8</v>
      </c>
      <c r="G110" s="0" t="n">
        <v>16</v>
      </c>
      <c r="H110" s="0" t="n">
        <v>32</v>
      </c>
      <c r="I110" s="0" t="n">
        <v>30</v>
      </c>
    </row>
    <row r="111" customFormat="false" ht="15" hidden="false" customHeight="false" outlineLevel="0" collapsed="false">
      <c r="A111" s="0" t="s">
        <v>443</v>
      </c>
      <c r="B111" s="0" t="n">
        <f aca="false">_xlfn.VAR.P(C111:H111,I111)</f>
        <v>147.061224489796</v>
      </c>
      <c r="C111" s="0" t="n">
        <v>1</v>
      </c>
      <c r="D111" s="0" t="n">
        <v>2</v>
      </c>
      <c r="E111" s="0" t="n">
        <v>4</v>
      </c>
      <c r="F111" s="0" t="n">
        <v>8</v>
      </c>
      <c r="G111" s="0" t="n">
        <v>16</v>
      </c>
      <c r="H111" s="0" t="n">
        <v>32</v>
      </c>
      <c r="I111" s="0" t="n">
        <v>30</v>
      </c>
    </row>
    <row r="112" customFormat="false" ht="15" hidden="false" customHeight="false" outlineLevel="0" collapsed="false">
      <c r="A112" s="0" t="s">
        <v>444</v>
      </c>
      <c r="B112" s="0" t="n">
        <f aca="false">_xlfn.VAR.S(C112:H112,I112)</f>
        <v>171.571428571429</v>
      </c>
      <c r="C112" s="0" t="n">
        <v>1</v>
      </c>
      <c r="D112" s="0" t="n">
        <v>2</v>
      </c>
      <c r="E112" s="0" t="n">
        <v>4</v>
      </c>
      <c r="F112" s="0" t="n">
        <v>8</v>
      </c>
      <c r="G112" s="0" t="n">
        <v>16</v>
      </c>
      <c r="H112" s="0" t="n">
        <v>32</v>
      </c>
      <c r="I112" s="0" t="n">
        <v>30</v>
      </c>
    </row>
    <row r="113" customFormat="false" ht="15" hidden="false" customHeight="false" outlineLevel="0" collapsed="false">
      <c r="A113" s="0" t="s">
        <v>445</v>
      </c>
      <c r="B113" s="0" t="n">
        <f aca="false">VARA(C113:H113,I113)</f>
        <v>171.571428571429</v>
      </c>
      <c r="C113" s="0" t="n">
        <v>1</v>
      </c>
      <c r="D113" s="0" t="n">
        <v>2</v>
      </c>
      <c r="E113" s="0" t="n">
        <v>4</v>
      </c>
      <c r="F113" s="0" t="n">
        <v>8</v>
      </c>
      <c r="G113" s="0" t="n">
        <v>16</v>
      </c>
      <c r="H113" s="0" t="n">
        <v>32</v>
      </c>
      <c r="I113" s="0" t="n">
        <v>30</v>
      </c>
    </row>
    <row r="114" customFormat="false" ht="15" hidden="false" customHeight="false" outlineLevel="0" collapsed="false">
      <c r="A114" s="0" t="s">
        <v>446</v>
      </c>
      <c r="B114" s="0" t="n">
        <f aca="false">VARP(C114:H114,I114)</f>
        <v>147.061224489796</v>
      </c>
      <c r="C114" s="0" t="n">
        <v>1</v>
      </c>
      <c r="D114" s="0" t="n">
        <v>2</v>
      </c>
      <c r="E114" s="0" t="n">
        <v>4</v>
      </c>
      <c r="F114" s="0" t="n">
        <v>8</v>
      </c>
      <c r="G114" s="0" t="n">
        <v>16</v>
      </c>
      <c r="H114" s="0" t="n">
        <v>32</v>
      </c>
      <c r="I114" s="0" t="n">
        <v>30</v>
      </c>
    </row>
    <row r="115" customFormat="false" ht="15" hidden="false" customHeight="false" outlineLevel="0" collapsed="false">
      <c r="A115" s="0" t="s">
        <v>447</v>
      </c>
      <c r="B115" s="0" t="n">
        <f aca="false">VARPA(C115:H115,I115)</f>
        <v>147.061224489796</v>
      </c>
      <c r="C115" s="0" t="n">
        <v>1</v>
      </c>
      <c r="D115" s="0" t="n">
        <v>2</v>
      </c>
      <c r="E115" s="0" t="n">
        <v>4</v>
      </c>
      <c r="F115" s="0" t="n">
        <v>8</v>
      </c>
      <c r="G115" s="0" t="n">
        <v>16</v>
      </c>
      <c r="H115" s="0" t="n">
        <v>32</v>
      </c>
      <c r="I115" s="0" t="n">
        <v>30</v>
      </c>
    </row>
    <row r="117" customFormat="false" ht="15" hidden="false" customHeight="false" outlineLevel="0" collapsed="false">
      <c r="A117" s="0" t="s">
        <v>448</v>
      </c>
    </row>
    <row r="118" customFormat="false" ht="15" hidden="false" customHeight="false" outlineLevel="0" collapsed="false">
      <c r="A118" s="0" t="s">
        <v>449</v>
      </c>
      <c r="B118" s="0" t="n">
        <f aca="false">_xlfn.CHISQ.TEST(D118:I118,D119:I119)</f>
        <v>0.766491936746514</v>
      </c>
      <c r="D118" s="0" t="n">
        <v>1</v>
      </c>
      <c r="E118" s="0" t="n">
        <v>2</v>
      </c>
      <c r="F118" s="0" t="n">
        <v>3</v>
      </c>
      <c r="G118" s="0" t="n">
        <v>4</v>
      </c>
      <c r="H118" s="0" t="n">
        <v>5</v>
      </c>
      <c r="I118" s="0" t="n">
        <v>6</v>
      </c>
    </row>
    <row r="119" customFormat="false" ht="15" hidden="false" customHeight="false" outlineLevel="0" collapsed="false">
      <c r="A119" s="0" t="s">
        <v>450</v>
      </c>
      <c r="B119" s="0" t="n">
        <f aca="false">CHITEST(D119:I119,D118:I118)</f>
        <v>0.551818040730027</v>
      </c>
      <c r="D119" s="0" t="n">
        <v>1.1</v>
      </c>
      <c r="E119" s="0" t="n">
        <v>2.2</v>
      </c>
      <c r="F119" s="0" t="n">
        <v>3.1</v>
      </c>
      <c r="G119" s="0" t="n">
        <v>7</v>
      </c>
      <c r="H119" s="0" t="n">
        <v>4</v>
      </c>
      <c r="I119" s="0" t="n">
        <v>9</v>
      </c>
    </row>
    <row r="120" customFormat="false" ht="15" hidden="false" customHeight="false" outlineLevel="0" collapsed="false">
      <c r="A120" s="0" t="s">
        <v>451</v>
      </c>
      <c r="B120" s="0" t="n">
        <f aca="false">_xlfn.F.TEST(D118:I118,D119:I119)</f>
        <v>0.317744238748168</v>
      </c>
    </row>
    <row r="121" customFormat="false" ht="15" hidden="false" customHeight="false" outlineLevel="0" collapsed="false">
      <c r="A121" s="0" t="s">
        <v>452</v>
      </c>
      <c r="B121" s="0" t="n">
        <f aca="false">FTEST(D119:I119,D118:I118)</f>
        <v>0.317744238748168</v>
      </c>
    </row>
    <row r="122" customFormat="false" ht="15" hidden="false" customHeight="false" outlineLevel="0" collapsed="false">
      <c r="A122" s="0" t="s">
        <v>453</v>
      </c>
      <c r="B122" s="0" t="n">
        <f aca="false">_xlfn.T.TEST(D118:I118,D119:I119,C122,D122)</f>
        <v>0.551133456944575</v>
      </c>
      <c r="C122" s="0" t="n">
        <v>2</v>
      </c>
      <c r="D122" s="0" t="n">
        <v>3</v>
      </c>
    </row>
    <row r="123" customFormat="false" ht="15" hidden="false" customHeight="false" outlineLevel="0" collapsed="false">
      <c r="A123" s="0" t="s">
        <v>454</v>
      </c>
      <c r="B123" s="0" t="n">
        <f aca="false">TTEST(D118:I118,D119:I119,C122,D122)</f>
        <v>0.551133456944575</v>
      </c>
    </row>
    <row r="124" customFormat="false" ht="15" hidden="false" customHeight="false" outlineLevel="0" collapsed="false">
      <c r="A124" s="0" t="s">
        <v>455</v>
      </c>
      <c r="B124" s="0" t="n">
        <f aca="false">_xlfn.Z.TEST(D124:I124,C124)</f>
        <v>0.390755647499357</v>
      </c>
      <c r="C124" s="0" t="n">
        <v>3</v>
      </c>
      <c r="D124" s="0" t="n">
        <v>1</v>
      </c>
      <c r="E124" s="0" t="n">
        <v>2</v>
      </c>
      <c r="F124" s="0" t="n">
        <v>3</v>
      </c>
      <c r="G124" s="0" t="n">
        <v>4</v>
      </c>
      <c r="H124" s="0" t="n">
        <v>5</v>
      </c>
      <c r="I124" s="0" t="n">
        <v>4</v>
      </c>
    </row>
    <row r="125" customFormat="false" ht="15" hidden="false" customHeight="false" outlineLevel="0" collapsed="false">
      <c r="A125" s="0" t="s">
        <v>456</v>
      </c>
      <c r="B125" s="0" t="n">
        <f aca="false">ZTEST(D124:I124,C124,C125)</f>
        <v>0.467462655821059</v>
      </c>
      <c r="C125" s="0" t="n">
        <v>5</v>
      </c>
    </row>
    <row r="127" customFormat="false" ht="15" hidden="false" customHeight="false" outlineLevel="0" collapsed="false">
      <c r="A127" s="0" t="s">
        <v>457</v>
      </c>
    </row>
    <row r="128" customFormat="false" ht="15" hidden="false" customHeight="false" outlineLevel="0" collapsed="false">
      <c r="A128" s="0" t="s">
        <v>458</v>
      </c>
      <c r="B128" s="0" t="n">
        <f aca="false">FORECAST(C128,D129:I129,D128:I128)</f>
        <v>19.6285714285714</v>
      </c>
      <c r="C128" s="0" t="n">
        <v>10</v>
      </c>
      <c r="D128" s="0" t="n">
        <v>1</v>
      </c>
      <c r="E128" s="0" t="n">
        <v>2</v>
      </c>
      <c r="F128" s="0" t="n">
        <v>3</v>
      </c>
      <c r="G128" s="0" t="n">
        <v>4</v>
      </c>
      <c r="H128" s="0" t="n">
        <v>5</v>
      </c>
      <c r="I128" s="0" t="n">
        <v>6</v>
      </c>
    </row>
    <row r="129" customFormat="false" ht="15" hidden="false" customHeight="false" outlineLevel="0" collapsed="false">
      <c r="A129" s="0" t="s">
        <v>459</v>
      </c>
      <c r="B129" s="0" t="n">
        <f aca="false">FREQUENCY(D128:I128,D129:I129)</f>
        <v>2</v>
      </c>
      <c r="D129" s="0" t="n">
        <v>2</v>
      </c>
      <c r="E129" s="0" t="n">
        <v>4</v>
      </c>
      <c r="F129" s="0" t="n">
        <v>6</v>
      </c>
      <c r="G129" s="0" t="n">
        <v>8</v>
      </c>
      <c r="H129" s="0" t="n">
        <v>11</v>
      </c>
      <c r="I129" s="0" t="n">
        <v>11</v>
      </c>
    </row>
    <row r="130" customFormat="false" ht="15" hidden="false" customHeight="false" outlineLevel="0" collapsed="false">
      <c r="A130" s="0" t="s">
        <v>460</v>
      </c>
      <c r="B130" s="0" t="n">
        <f aca="false">GROWTH(D129:I129,D128:I128)</f>
        <v>2.57259015880882</v>
      </c>
      <c r="D130" s="0" t="n">
        <v>0.1</v>
      </c>
      <c r="E130" s="0" t="n">
        <v>0.1</v>
      </c>
      <c r="F130" s="0" t="n">
        <v>0.2</v>
      </c>
      <c r="G130" s="0" t="n">
        <v>0.2</v>
      </c>
      <c r="H130" s="0" t="n">
        <v>0.2</v>
      </c>
      <c r="I130" s="0" t="n">
        <v>0.2</v>
      </c>
    </row>
    <row r="131" customFormat="false" ht="15" hidden="false" customHeight="false" outlineLevel="0" collapsed="false">
      <c r="A131" s="0" t="s">
        <v>461</v>
      </c>
      <c r="B131" s="0" t="n">
        <f aca="false">INTERCEPT(D129:I129,D128:I128)</f>
        <v>0.2</v>
      </c>
    </row>
    <row r="132" customFormat="false" ht="15" hidden="false" customHeight="false" outlineLevel="0" collapsed="false">
      <c r="A132" s="0" t="s">
        <v>462</v>
      </c>
      <c r="B132" s="0" t="n">
        <f aca="false">PROB(D128:I128,D130:I130,C132,D132)</f>
        <v>0.4</v>
      </c>
      <c r="C132" s="0" t="n">
        <v>2.1</v>
      </c>
      <c r="D132" s="0" t="n">
        <v>4.5</v>
      </c>
    </row>
    <row r="133" customFormat="false" ht="15" hidden="false" customHeight="false" outlineLevel="0" collapsed="false">
      <c r="A133" s="0" t="s">
        <v>463</v>
      </c>
      <c r="B133" s="0" t="n">
        <f aca="false">PEARSON(D118:I118,D119:I119)</f>
        <v>0.864699292564767</v>
      </c>
    </row>
    <row r="134" customFormat="false" ht="15" hidden="false" customHeight="false" outlineLevel="0" collapsed="false">
      <c r="A134" s="0" t="s">
        <v>464</v>
      </c>
      <c r="B134" s="0" t="n">
        <f aca="false">RSQ(D129:I129,D128:I128)</f>
        <v>0.971428571428571</v>
      </c>
    </row>
    <row r="135" customFormat="false" ht="15" hidden="false" customHeight="false" outlineLevel="0" collapsed="false">
      <c r="A135" s="0" t="s">
        <v>465</v>
      </c>
      <c r="B135" s="0" t="n">
        <f aca="false">SLOPE(D129:I129,D128:I128)</f>
        <v>1.94285714285714</v>
      </c>
    </row>
    <row r="136" customFormat="false" ht="15" hidden="false" customHeight="false" outlineLevel="0" collapsed="false">
      <c r="A136" s="0" t="s">
        <v>466</v>
      </c>
      <c r="B136" s="0" t="n">
        <f aca="false">STEYX(D129:I129,D128:I128)</f>
        <v>0.696932052437168</v>
      </c>
    </row>
    <row r="137" customFormat="false" ht="15" hidden="false" customHeight="false" outlineLevel="0" collapsed="false">
      <c r="D137" s="0" t="s">
        <v>467</v>
      </c>
      <c r="H137" s="0" t="s">
        <v>468</v>
      </c>
    </row>
    <row r="138" customFormat="false" ht="15" hidden="false" customHeight="false" outlineLevel="0" collapsed="false">
      <c r="A138" s="0" t="s">
        <v>469</v>
      </c>
      <c r="B138" s="0" t="n">
        <f aca="false">LINEST(D129:I129,D128:I128)</f>
        <v>1.94285714285714</v>
      </c>
      <c r="D138" s="0" t="n">
        <f aca="false" t="array" ref="D138:E142">LINEST(D129:I129,D128:I128,1,1)</f>
        <v>1.94285714285714</v>
      </c>
      <c r="E138" s="0" t="n">
        <v>0.2</v>
      </c>
      <c r="H138" s="0" t="n">
        <f aca="false" t="array" ref="H138:I142">LOGEST(D129:I129,D128:I128,1,1)</f>
        <v>1.40279065713235</v>
      </c>
      <c r="I138" s="0" t="n">
        <v>1.83390882005718</v>
      </c>
    </row>
    <row r="139" customFormat="false" ht="15" hidden="false" customHeight="false" outlineLevel="0" collapsed="false">
      <c r="A139" s="0" t="s">
        <v>470</v>
      </c>
      <c r="B139" s="0" t="n">
        <f aca="false">LOGEST(D129:I129,D128:I128)</f>
        <v>1.40279065713235</v>
      </c>
      <c r="D139" s="0" t="n">
        <v>0.166598625567009</v>
      </c>
      <c r="E139" s="0" t="n">
        <v>0.648808431628613</v>
      </c>
      <c r="H139" s="0" t="n">
        <v>0.0512908204569471</v>
      </c>
      <c r="I139" s="0" t="n">
        <v>0.199749047534799</v>
      </c>
    </row>
    <row r="140" customFormat="false" ht="15" hidden="false" customHeight="false" outlineLevel="0" collapsed="false">
      <c r="A140" s="0" t="s">
        <v>471</v>
      </c>
      <c r="B140" s="0" t="n">
        <f aca="false">TREND(D129:I129,D128:I128)</f>
        <v>2.14285714285714</v>
      </c>
      <c r="D140" s="0" t="n">
        <v>0.971428571428572</v>
      </c>
      <c r="E140" s="0" t="n">
        <v>0.69693205243717</v>
      </c>
      <c r="H140" s="0" t="n">
        <v>0.915870293955856</v>
      </c>
      <c r="I140" s="0" t="n">
        <v>0.214564896022319</v>
      </c>
    </row>
    <row r="141" customFormat="false" ht="15" hidden="false" customHeight="false" outlineLevel="0" collapsed="false">
      <c r="D141" s="0" t="n">
        <v>136</v>
      </c>
      <c r="E141" s="0" t="n">
        <v>4</v>
      </c>
      <c r="H141" s="0" t="n">
        <v>43.5456314788638</v>
      </c>
      <c r="I141" s="0" t="n">
        <v>4</v>
      </c>
    </row>
    <row r="142" customFormat="false" ht="15" hidden="false" customHeight="false" outlineLevel="0" collapsed="false">
      <c r="D142" s="0" t="n">
        <v>66.0571428571429</v>
      </c>
      <c r="E142" s="0" t="n">
        <v>1.94285714285714</v>
      </c>
      <c r="H142" s="0" t="n">
        <v>2.00475790166139</v>
      </c>
      <c r="I142" s="0" t="n">
        <v>0.184152378420275</v>
      </c>
    </row>
    <row r="144" customFormat="false" ht="15" hidden="false" customHeight="false" outlineLevel="0" collapsed="false">
      <c r="A144" s="0" t="s">
        <v>471</v>
      </c>
      <c r="D144" s="0" t="n">
        <f aca="false" t="array" ref="D144:I144">TREND(D129:I129,D128:I128)</f>
        <v>2.14285714285714</v>
      </c>
      <c r="E144" s="0" t="n">
        <v>4.08571428571429</v>
      </c>
      <c r="F144" s="0" t="n">
        <v>6.02857142857143</v>
      </c>
      <c r="G144" s="0" t="n">
        <v>7.97142857142857</v>
      </c>
      <c r="H144" s="0" t="n">
        <v>9.91428571428571</v>
      </c>
      <c r="I144" s="0" t="n">
        <v>11.8571428571429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226</v>
      </c>
    </row>
    <row r="2" customFormat="false" ht="15" hidden="false" customHeight="false" outlineLevel="0" collapsed="false">
      <c r="A2" s="0" t="s">
        <v>472</v>
      </c>
      <c r="B2" s="0" t="str">
        <f aca="false">CONCATENATE(C2,D2,E2,F2)</f>
        <v>Foobarbazqux</v>
      </c>
      <c r="C2" s="0" t="s">
        <v>32</v>
      </c>
      <c r="D2" s="0" t="s">
        <v>473</v>
      </c>
      <c r="E2" s="0" t="s">
        <v>474</v>
      </c>
      <c r="F2" s="0" t="s">
        <v>475</v>
      </c>
    </row>
    <row r="3" customFormat="false" ht="15" hidden="false" customHeight="false" outlineLevel="0" collapsed="false">
      <c r="A3" s="0" t="s">
        <v>476</v>
      </c>
      <c r="B3" s="0" t="n">
        <f aca="false">EXACT(C3,D3)</f>
        <v>0</v>
      </c>
      <c r="C3" s="0" t="s">
        <v>477</v>
      </c>
      <c r="D3" s="0" t="s">
        <v>32</v>
      </c>
    </row>
    <row r="4" customFormat="false" ht="15" hidden="false" customHeight="false" outlineLevel="0" collapsed="false">
      <c r="A4" s="0" t="s">
        <v>478</v>
      </c>
      <c r="B4" s="0" t="n">
        <f aca="false">LEN(C4)</f>
        <v>15</v>
      </c>
      <c r="C4" s="0" t="s">
        <v>479</v>
      </c>
    </row>
    <row r="5" customFormat="false" ht="15" hidden="false" customHeight="false" outlineLevel="0" collapsed="false">
      <c r="A5" s="0" t="s">
        <v>480</v>
      </c>
      <c r="B5" s="0" t="n">
        <f aca="false">LENB(C4)</f>
        <v>15</v>
      </c>
    </row>
    <row r="7" customFormat="false" ht="15" hidden="false" customHeight="false" outlineLevel="0" collapsed="false">
      <c r="A7" s="0" t="s">
        <v>481</v>
      </c>
    </row>
    <row r="8" customFormat="false" ht="15" hidden="false" customHeight="false" outlineLevel="0" collapsed="false">
      <c r="A8" s="0" t="s">
        <v>482</v>
      </c>
      <c r="B8" s="0" t="str">
        <f aca="false">LOWER(C8)</f>
        <v>foo bar baz qux</v>
      </c>
      <c r="C8" s="0" t="s">
        <v>483</v>
      </c>
    </row>
    <row r="9" customFormat="false" ht="15" hidden="false" customHeight="false" outlineLevel="0" collapsed="false">
      <c r="A9" s="0" t="s">
        <v>484</v>
      </c>
      <c r="B9" s="0" t="str">
        <f aca="false">PROPER(C9)</f>
        <v>Foo Bar Baz Qux</v>
      </c>
      <c r="C9" s="0" t="s">
        <v>483</v>
      </c>
    </row>
    <row r="10" customFormat="false" ht="15" hidden="false" customHeight="false" outlineLevel="0" collapsed="false">
      <c r="A10" s="0" t="s">
        <v>485</v>
      </c>
      <c r="B10" s="0" t="str">
        <f aca="false">UPPER(C10)</f>
        <v>FOO BAR BAZ QUX</v>
      </c>
      <c r="C10" s="0" t="s">
        <v>483</v>
      </c>
    </row>
    <row r="12" customFormat="false" ht="15" hidden="false" customHeight="false" outlineLevel="0" collapsed="false">
      <c r="A12" s="0" t="s">
        <v>486</v>
      </c>
    </row>
    <row r="13" customFormat="false" ht="15" hidden="false" customHeight="false" outlineLevel="0" collapsed="false">
      <c r="A13" s="0" t="s">
        <v>487</v>
      </c>
      <c r="B13" s="0" t="str">
        <f aca="false">DOLLAR(C13)</f>
        <v>$4.57</v>
      </c>
      <c r="C13" s="0" t="n">
        <v>4.567</v>
      </c>
    </row>
    <row r="14" customFormat="false" ht="15" hidden="false" customHeight="false" outlineLevel="0" collapsed="false">
      <c r="A14" s="0" t="s">
        <v>488</v>
      </c>
      <c r="B14" s="0" t="str">
        <f aca="false">FIXED(C14,5)</f>
        <v>0.12346</v>
      </c>
      <c r="C14" s="0" t="n">
        <v>0.12345679</v>
      </c>
    </row>
    <row r="15" customFormat="false" ht="15" hidden="false" customHeight="false" outlineLevel="0" collapsed="false">
      <c r="A15" s="0" t="s">
        <v>489</v>
      </c>
      <c r="B15" s="0" t="str">
        <f aca="false">TEXT(C15,D15)</f>
        <v>5737-04-21</v>
      </c>
      <c r="C15" s="43" t="n">
        <v>28313</v>
      </c>
      <c r="D15" s="0" t="s">
        <v>490</v>
      </c>
    </row>
    <row r="16" customFormat="false" ht="15" hidden="false" customHeight="false" outlineLevel="0" collapsed="false">
      <c r="A16" s="0" t="s">
        <v>491</v>
      </c>
      <c r="B16" s="0" t="str">
        <f aca="false">T(C16)</f>
        <v/>
      </c>
      <c r="C16" s="0" t="n">
        <f aca="false">FALSE()</f>
        <v>0</v>
      </c>
    </row>
    <row r="17" customFormat="false" ht="15" hidden="false" customHeight="false" outlineLevel="0" collapsed="false">
      <c r="A17" s="0" t="s">
        <v>492</v>
      </c>
      <c r="B17" s="0" t="n">
        <f aca="false">VALUE(C17)</f>
        <v>12</v>
      </c>
      <c r="C17" s="2" t="s">
        <v>493</v>
      </c>
    </row>
    <row r="19" customFormat="false" ht="15" hidden="false" customHeight="false" outlineLevel="0" collapsed="false">
      <c r="A19" s="0" t="s">
        <v>494</v>
      </c>
    </row>
    <row r="20" customFormat="false" ht="15" hidden="false" customHeight="false" outlineLevel="0" collapsed="false">
      <c r="A20" s="0" t="s">
        <v>495</v>
      </c>
      <c r="B20" s="0" t="str">
        <f aca="false">CHAR(C20)</f>
        <v>�</v>
      </c>
      <c r="C20" s="0" t="n">
        <v>240</v>
      </c>
    </row>
    <row r="21" customFormat="false" ht="16" hidden="false" customHeight="false" outlineLevel="0" collapsed="false">
      <c r="A21" s="0" t="s">
        <v>496</v>
      </c>
      <c r="B21" s="0" t="n">
        <f aca="false">CODE(C21)</f>
        <v>239</v>
      </c>
      <c r="C21" s="53" t="s">
        <v>497</v>
      </c>
    </row>
    <row r="22" customFormat="false" ht="16" hidden="false" customHeight="false" outlineLevel="0" collapsed="false">
      <c r="C22" s="53"/>
    </row>
    <row r="23" customFormat="false" ht="16" hidden="false" customHeight="false" outlineLevel="0" collapsed="false">
      <c r="A23" s="0" t="s">
        <v>498</v>
      </c>
      <c r="C23" s="53"/>
    </row>
    <row r="24" customFormat="false" ht="15" hidden="false" customHeight="false" outlineLevel="0" collapsed="false">
      <c r="A24" s="0" t="s">
        <v>499</v>
      </c>
      <c r="B24" s="0" t="str">
        <f aca="false">LEFT(C24,D24)</f>
        <v>foo</v>
      </c>
      <c r="C24" s="0" t="s">
        <v>479</v>
      </c>
      <c r="D24" s="0" t="n">
        <v>3</v>
      </c>
    </row>
    <row r="25" customFormat="false" ht="15" hidden="false" customHeight="false" outlineLevel="0" collapsed="false">
      <c r="A25" s="0" t="s">
        <v>500</v>
      </c>
      <c r="B25" s="0" t="str">
        <f aca="false">LEFTB(C24,D24)</f>
        <v>foo</v>
      </c>
    </row>
    <row r="26" customFormat="false" ht="15" hidden="false" customHeight="false" outlineLevel="0" collapsed="false">
      <c r="A26" s="0" t="s">
        <v>501</v>
      </c>
      <c r="B26" s="0" t="str">
        <f aca="false">MID(C26,D26,E26)</f>
        <v>bar</v>
      </c>
      <c r="C26" s="0" t="s">
        <v>479</v>
      </c>
      <c r="D26" s="0" t="n">
        <v>5</v>
      </c>
      <c r="E26" s="0" t="n">
        <v>3</v>
      </c>
    </row>
    <row r="27" customFormat="false" ht="15" hidden="false" customHeight="false" outlineLevel="0" collapsed="false">
      <c r="A27" s="0" t="s">
        <v>502</v>
      </c>
      <c r="B27" s="0" t="str">
        <f aca="false">MIDB(C27,D27,E27)</f>
        <v>baz</v>
      </c>
      <c r="C27" s="0" t="s">
        <v>479</v>
      </c>
      <c r="D27" s="0" t="n">
        <v>9</v>
      </c>
      <c r="E27" s="0" t="n">
        <v>3</v>
      </c>
    </row>
    <row r="28" customFormat="false" ht="15" hidden="false" customHeight="false" outlineLevel="0" collapsed="false">
      <c r="A28" s="0" t="s">
        <v>503</v>
      </c>
      <c r="B28" s="0" t="str">
        <f aca="false">RIGHT(C24,D24)</f>
        <v>qux</v>
      </c>
    </row>
    <row r="29" customFormat="false" ht="15" hidden="false" customHeight="false" outlineLevel="0" collapsed="false">
      <c r="A29" s="0" t="s">
        <v>504</v>
      </c>
      <c r="B29" s="0" t="str">
        <f aca="false">RIGHT(C24,D24)</f>
        <v>qux</v>
      </c>
    </row>
    <row r="30" customFormat="false" ht="16" hidden="false" customHeight="false" outlineLevel="0" collapsed="false">
      <c r="C30" s="53"/>
    </row>
    <row r="31" customFormat="false" ht="16" hidden="false" customHeight="false" outlineLevel="0" collapsed="false">
      <c r="A31" s="0" t="s">
        <v>505</v>
      </c>
      <c r="C31" s="53"/>
    </row>
    <row r="32" customFormat="false" ht="15" hidden="false" customHeight="false" outlineLevel="0" collapsed="false">
      <c r="A32" s="0" t="s">
        <v>506</v>
      </c>
      <c r="B32" s="0" t="n">
        <f aca="false">FIND(C32,D32)</f>
        <v>9</v>
      </c>
      <c r="C32" s="0" t="s">
        <v>507</v>
      </c>
      <c r="D32" s="0" t="s">
        <v>508</v>
      </c>
    </row>
    <row r="33" customFormat="false" ht="15" hidden="false" customHeight="false" outlineLevel="0" collapsed="false">
      <c r="A33" s="0" t="s">
        <v>509</v>
      </c>
      <c r="B33" s="0" t="n">
        <f aca="false">FINDB(C32,D32)</f>
        <v>9</v>
      </c>
    </row>
    <row r="34" customFormat="false" ht="15" hidden="false" customHeight="false" outlineLevel="0" collapsed="false">
      <c r="A34" s="0" t="s">
        <v>510</v>
      </c>
      <c r="B34" s="0" t="n">
        <f aca="false">SEARCH(C32,D32)</f>
        <v>5</v>
      </c>
    </row>
    <row r="35" customFormat="false" ht="15" hidden="false" customHeight="false" outlineLevel="0" collapsed="false">
      <c r="A35" s="0" t="s">
        <v>511</v>
      </c>
      <c r="B35" s="0" t="n">
        <f aca="false">SEARCHB(C32,D32)</f>
        <v>5</v>
      </c>
    </row>
    <row r="37" customFormat="false" ht="15" hidden="false" customHeight="false" outlineLevel="0" collapsed="false">
      <c r="A37" s="0" t="s">
        <v>512</v>
      </c>
      <c r="B37" s="0" t="str">
        <f aca="false">REPT("badger ",12)&amp;REPT("MUSHROOM! ",2)</f>
        <v>badger badger badger badger badger badger badger badger badger badger badger badger MUSHROOM! MUSHROOM!</v>
      </c>
    </row>
    <row r="38" customFormat="false" ht="15" hidden="false" customHeight="false" outlineLevel="0" collapsed="false">
      <c r="A38" s="0" t="s">
        <v>513</v>
      </c>
      <c r="B38" s="0" t="str">
        <f aca="false">CLEAN(C38)</f>
        <v>7</v>
      </c>
      <c r="C38" s="0" t="str">
        <f aca="false">CHAR(7)&amp;"7"&amp;CHAR(7)</f>
        <v>_x005F_x005F_x005F_x005F_x005F_x005F_x005F_x005F_x005F_x005F_x005F_x0007_7_x005F_x005F_x005F_x005F_x005F_x005F_x005F_x005F_x005F_x005F_x005F_x0007_</v>
      </c>
    </row>
    <row r="39" customFormat="false" ht="15" hidden="false" customHeight="false" outlineLevel="0" collapsed="false">
      <c r="A39" s="0" t="s">
        <v>514</v>
      </c>
      <c r="B39" s="0" t="str">
        <f aca="false">REPT(C39,D39)</f>
        <v>badgerbadgerbadger</v>
      </c>
      <c r="C39" s="0" t="s">
        <v>515</v>
      </c>
      <c r="D39" s="0" t="n">
        <v>3</v>
      </c>
    </row>
    <row r="40" customFormat="false" ht="15" hidden="false" customHeight="false" outlineLevel="0" collapsed="false">
      <c r="A40" s="0" t="s">
        <v>516</v>
      </c>
      <c r="B40" s="0" t="str">
        <f aca="false">REPLACE(C40,D40,E40,F40)</f>
        <v>foo FOO baz qux</v>
      </c>
      <c r="C40" s="0" t="s">
        <v>479</v>
      </c>
      <c r="D40" s="0" t="n">
        <v>4</v>
      </c>
      <c r="E40" s="0" t="n">
        <v>4</v>
      </c>
      <c r="F40" s="2" t="s">
        <v>517</v>
      </c>
    </row>
    <row r="41" customFormat="false" ht="15" hidden="false" customHeight="false" outlineLevel="0" collapsed="false">
      <c r="A41" s="0" t="s">
        <v>518</v>
      </c>
      <c r="B41" s="0" t="str">
        <f aca="false">REPLACEB(C40,D40,E40,F40)</f>
        <v>foo FOO baz qux</v>
      </c>
    </row>
    <row r="42" customFormat="false" ht="15" hidden="false" customHeight="false" outlineLevel="0" collapsed="false">
      <c r="A42" s="0" t="s">
        <v>519</v>
      </c>
      <c r="B42" s="0" t="str">
        <f aca="false">SUBSTITUTE(C42,D42,E42,F42)</f>
        <v>foo bor baz qux</v>
      </c>
      <c r="C42" s="0" t="s">
        <v>479</v>
      </c>
      <c r="D42" s="0" t="s">
        <v>520</v>
      </c>
      <c r="E42" s="0" t="s">
        <v>521</v>
      </c>
      <c r="F42" s="0" t="n">
        <v>1</v>
      </c>
    </row>
    <row r="43" customFormat="false" ht="15" hidden="false" customHeight="false" outlineLevel="0" collapsed="false">
      <c r="A43" s="0" t="s">
        <v>522</v>
      </c>
      <c r="B43" s="0" t="str">
        <f aca="false">TRIM(C43)</f>
        <v>there are two spaces here</v>
      </c>
      <c r="C43" s="2" t="s">
        <v>523</v>
      </c>
    </row>
    <row r="45" customFormat="false" ht="15" hidden="false" customHeight="false" outlineLevel="0" collapsed="false">
      <c r="A45" s="0" t="s">
        <v>524</v>
      </c>
    </row>
    <row r="46" customFormat="false" ht="15" hidden="false" customHeight="false" outlineLevel="0" collapsed="false">
      <c r="A46" s="0" t="s">
        <v>525</v>
      </c>
      <c r="B46" s="0" t="str">
        <f aca="false">ASC(C46)</f>
        <v/>
      </c>
    </row>
    <row r="47" customFormat="false" ht="15" hidden="false" customHeight="false" outlineLevel="0" collapsed="false">
      <c r="A47" s="0" t="s">
        <v>526</v>
      </c>
      <c r="B47" s="0" t="e">
        <f aca="false">phonetic(C47)</f>
        <v>#NAME?</v>
      </c>
      <c r="C47" s="0" t="s">
        <v>479</v>
      </c>
    </row>
    <row r="48" customFormat="false" ht="15" hidden="false" customHeight="false" outlineLevel="0" collapsed="false">
      <c r="A48" s="0" t="s">
        <v>527</v>
      </c>
      <c r="B48" s="0" t="str">
        <f aca="false">JIS(C48)</f>
        <v/>
      </c>
    </row>
    <row r="49" customFormat="false" ht="15" hidden="false" customHeight="false" outlineLevel="0" collapsed="false">
      <c r="A49" s="0" t="s">
        <v>528</v>
      </c>
      <c r="B49" s="0" t="e">
        <f aca="false">yen(C49)</f>
        <v>#NAME?</v>
      </c>
      <c r="C49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2013-04-24T14:55:11Z</dcterms:created>
  <dc:creator/>
  <dc:description/>
  <dc:language>en-US</dc:language>
  <cp:lastModifiedBy/>
  <dcterms:modified xsi:type="dcterms:W3CDTF">2019-12-07T22:08:26Z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