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jenne\Downloads\"/>
    </mc:Choice>
  </mc:AlternateContent>
  <xr:revisionPtr revIDLastSave="0" documentId="8_{B90ACC88-06D6-4AAD-8A0E-B3D6CCBE24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irship Calculations" sheetId="5" r:id="rId1"/>
    <sheet name="Power and Electronics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C4" i="5"/>
  <c r="G54" i="5"/>
  <c r="G52" i="5"/>
  <c r="G48" i="5"/>
  <c r="G46" i="5"/>
  <c r="G44" i="5"/>
  <c r="G38" i="5"/>
  <c r="W6" i="5"/>
  <c r="W8" i="5"/>
  <c r="W5" i="5"/>
  <c r="X5" i="5" s="1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7" i="5"/>
  <c r="O8" i="5"/>
  <c r="O12" i="5"/>
  <c r="K4" i="5"/>
  <c r="C72" i="5"/>
  <c r="P8" i="6"/>
  <c r="O8" i="6" s="1"/>
  <c r="K4" i="6"/>
  <c r="G6" i="6"/>
  <c r="G16" i="6"/>
  <c r="C9" i="5"/>
  <c r="G19" i="5"/>
  <c r="G17" i="5"/>
  <c r="G7" i="5"/>
  <c r="G8" i="5" s="1"/>
  <c r="G4" i="5"/>
  <c r="O34" i="5" s="1"/>
  <c r="C26" i="5"/>
  <c r="G5" i="5" l="1"/>
  <c r="G21" i="5"/>
  <c r="G23" i="5"/>
  <c r="G25" i="5" s="1"/>
  <c r="G10" i="5"/>
  <c r="S11" i="5" s="1"/>
  <c r="K8" i="6" l="1"/>
  <c r="K12" i="6" s="1"/>
  <c r="P12" i="6" s="1"/>
  <c r="O4" i="5"/>
  <c r="O6" i="5" s="1"/>
  <c r="O26" i="5"/>
  <c r="O30" i="5"/>
  <c r="O32" i="5"/>
  <c r="K32" i="5"/>
  <c r="S15" i="5" s="1"/>
  <c r="G27" i="5"/>
  <c r="G29" i="5" s="1"/>
  <c r="O40" i="5" s="1"/>
  <c r="O42" i="5" s="1"/>
  <c r="K22" i="5"/>
  <c r="K24" i="5" s="1"/>
  <c r="K26" i="5" s="1"/>
  <c r="G15" i="5"/>
  <c r="G11" i="5"/>
  <c r="K6" i="5"/>
  <c r="G13" i="5"/>
  <c r="O38" i="5" s="1"/>
  <c r="O10" i="5" l="1"/>
  <c r="O24" i="5" s="1"/>
  <c r="K10" i="6"/>
  <c r="O12" i="6" s="1"/>
  <c r="K30" i="5"/>
  <c r="S13" i="5" s="1"/>
  <c r="G31" i="5"/>
  <c r="K9" i="5"/>
  <c r="K7" i="5"/>
  <c r="K10" i="5" s="1"/>
  <c r="O28" i="5" l="1"/>
  <c r="K34" i="5"/>
  <c r="K36" i="5"/>
  <c r="O14" i="5"/>
  <c r="O16" i="5"/>
  <c r="O18" i="5" s="1"/>
  <c r="O20" i="5" s="1"/>
  <c r="O22" i="5" s="1"/>
  <c r="G33" i="5"/>
  <c r="S17" i="5"/>
  <c r="S19" i="5" s="1"/>
  <c r="S21" i="5" s="1"/>
  <c r="S25" i="5" s="1"/>
  <c r="K13" i="5"/>
  <c r="K12" i="5" s="1"/>
  <c r="K15" i="5" s="1"/>
  <c r="K18" i="5"/>
  <c r="K17" i="5" s="1"/>
  <c r="K20" i="5" s="1"/>
  <c r="G42" i="5" l="1"/>
  <c r="O36" i="5"/>
  <c r="X6" i="5" s="1"/>
  <c r="K40" i="5"/>
  <c r="C6" i="5"/>
  <c r="K42" i="5"/>
  <c r="K38" i="5"/>
  <c r="G50" i="5" s="1"/>
  <c r="S23" i="5"/>
  <c r="X8" i="5" l="1"/>
  <c r="Y5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X22" i="5"/>
  <c r="X20" i="5"/>
  <c r="X12" i="5"/>
  <c r="O44" i="5"/>
  <c r="X10" i="5"/>
  <c r="X17" i="5"/>
  <c r="X14" i="5"/>
  <c r="X19" i="5"/>
  <c r="X11" i="5"/>
  <c r="X18" i="5"/>
  <c r="X25" i="5"/>
  <c r="X9" i="5"/>
  <c r="X24" i="5"/>
  <c r="X16" i="5"/>
  <c r="X7" i="5"/>
  <c r="X23" i="5"/>
  <c r="X15" i="5"/>
  <c r="X21" i="5"/>
  <c r="X13" i="5"/>
  <c r="S4" i="5" l="1"/>
  <c r="S6" i="5" s="1"/>
  <c r="S7" i="5" s="1"/>
  <c r="S9" i="5" s="1"/>
  <c r="G56" i="5" s="1"/>
  <c r="G8" i="6" l="1"/>
  <c r="G10" i="6" s="1"/>
  <c r="G12" i="6" s="1"/>
  <c r="G14" i="6" s="1"/>
  <c r="G18" i="6" s="1"/>
  <c r="P6" i="6" l="1"/>
  <c r="O6" i="6" s="1"/>
  <c r="O10" i="6" s="1"/>
  <c r="O14" i="6" s="1"/>
  <c r="K44" i="5" l="1"/>
  <c r="K46" i="5" s="1"/>
  <c r="C11" i="5" s="1"/>
  <c r="G40" i="5"/>
  <c r="G58" i="5" s="1"/>
  <c r="P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tc={1633D30B-78B9-476A-AFB4-21D71E55B9A2}</author>
  </authors>
  <commentList>
    <comment ref="C11" authorId="0" shapeId="0" xr:uid="{1633D30B-78B9-476A-AFB4-21D71E55B9A2}">
      <text>
        <t>[Threaded comment]
Your version of Excel allows you to read this threaded comment; however, any edits to it will get removed if the file is opened in a newer version of Excel. Learn more: https://go.microsoft.com/fwlink/?linkid=870924
Comment:
    Goal seek this to 0 by changing volume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tc={F66AF581-11A3-4A36-860E-F4BEE4A33B6E}</author>
    <author>tc={696C784C-F13F-4D7E-B6A7-C17B75D0BFCD}</author>
    <author>tc={243DF3DB-E9F3-4CD1-BA9A-CD1884351F7C}</author>
    <author>tc={835330E9-EE1C-4A5D-AF66-06DEDA9BBDE3}</author>
    <author>tc={0C74CE16-6F3F-4437-9AB0-3CEA4B854B16}</author>
    <author>tc={9BDD9BAD-905B-457F-97E5-0049E8E06502}</author>
  </authors>
  <commentList>
    <comment ref="B6" authorId="0" shapeId="0" xr:uid="{F66AF581-11A3-4A36-860E-F4BEE4A33B6E}">
      <text>
        <t>[Threaded comment]
Your version of Excel allows you to read this threaded comment; however, any edits to it will get removed if the file is opened in a newer version of Excel. Learn more: https://go.microsoft.com/fwlink/?linkid=870924
Comment:
    Location dependent</t>
      </text>
    </comment>
    <comment ref="F6" authorId="1" shapeId="0" xr:uid="{696C784C-F13F-4D7E-B6A7-C17B75D0BFCD}">
      <text>
        <t>[Threaded comment]
Your version of Excel allows you to read this threaded comment; however, any edits to it will get removed if the file is opened in a newer version of Excel. Learn more: https://go.microsoft.com/fwlink/?linkid=870924
Comment:
    JoLiDAR-L22</t>
      </text>
    </comment>
    <comment ref="F10" authorId="2" shapeId="0" xr:uid="{243DF3DB-E9F3-4CD1-BA9A-CD1884351F7C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approach, 40-50% of power budget</t>
      </text>
    </comment>
    <comment ref="F12" authorId="3" shapeId="0" xr:uid="{835330E9-EE1C-4A5D-AF66-06DEDA9B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FOS, 10% of total power requirements</t>
      </text>
    </comment>
    <comment ref="P12" authorId="4" shapeId="0" xr:uid="{0C74CE16-6F3F-4437-9AB0-3CEA4B854B16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because energy is generated</t>
      </text>
    </comment>
    <comment ref="B14" authorId="5" shapeId="0" xr:uid="{9BDD9BAD-905B-457F-97E5-0049E8E06502}">
      <text>
        <t>[Threaded comment]
Your version of Excel allows you to read this threaded comment; however, any edits to it will get removed if the file is opened in a newer version of Excel. Learn more: https://go.microsoft.com/fwlink/?linkid=870924
Comment:
    PV - Photovoltaic</t>
      </text>
    </comment>
  </commentList>
</comments>
</file>

<file path=xl/sharedStrings.xml><?xml version="1.0" encoding="utf-8"?>
<sst xmlns="http://schemas.openxmlformats.org/spreadsheetml/2006/main" count="271" uniqueCount="189">
  <si>
    <t>Outputs</t>
  </si>
  <si>
    <t>Mission Parameters Weight Estimate</t>
  </si>
  <si>
    <t>Component Based Weight Estimate</t>
  </si>
  <si>
    <t>Force Estimates</t>
  </si>
  <si>
    <t>Dynamics and Controls</t>
  </si>
  <si>
    <t>IWP Thrust vs Drag</t>
  </si>
  <si>
    <t>Weight</t>
  </si>
  <si>
    <t>N</t>
  </si>
  <si>
    <t>Vol^2/3</t>
  </si>
  <si>
    <t>m^2</t>
  </si>
  <si>
    <t>Dynamic Pressure (q)</t>
  </si>
  <si>
    <t>Pa</t>
  </si>
  <si>
    <t>Reynolds Number (Re)</t>
  </si>
  <si>
    <t>Thrust Required (T_R)</t>
  </si>
  <si>
    <t>Velocity (m/s)</t>
  </si>
  <si>
    <t>Dynamic Pressure (Pa)</t>
  </si>
  <si>
    <t>Total Drag (N)</t>
  </si>
  <si>
    <t>IWP Thrust (N)</t>
  </si>
  <si>
    <t>ft^2</t>
  </si>
  <si>
    <t>Mass</t>
  </si>
  <si>
    <t>kg</t>
  </si>
  <si>
    <t>Internal Pressure (p_int)</t>
  </si>
  <si>
    <t>Skin Friction Coefficient (C_f)</t>
  </si>
  <si>
    <t>Power Required (P_R)</t>
  </si>
  <si>
    <t>W</t>
  </si>
  <si>
    <t>Diameter (d)</t>
  </si>
  <si>
    <t>m</t>
  </si>
  <si>
    <t>lb/in^2</t>
  </si>
  <si>
    <t>kW</t>
  </si>
  <si>
    <t>Volume</t>
  </si>
  <si>
    <t>m^3</t>
  </si>
  <si>
    <t>ft</t>
  </si>
  <si>
    <t>Form Factor (FF_3D_body)</t>
  </si>
  <si>
    <t>ft^3</t>
  </si>
  <si>
    <t>Hull Fabric Load (HFL)</t>
  </si>
  <si>
    <t>N/m</t>
  </si>
  <si>
    <t>Engine Weight (W_engine)</t>
  </si>
  <si>
    <t>Length (l)</t>
  </si>
  <si>
    <t>lb/in</t>
  </si>
  <si>
    <t>Zero Lift Body Drag Coeff. (C_D0_body)</t>
  </si>
  <si>
    <t>Weight Differential</t>
  </si>
  <si>
    <t>Radius at Tail Arm (r_tail arm)</t>
  </si>
  <si>
    <t>Fabric Density (FD)</t>
  </si>
  <si>
    <t>kg/m^2</t>
  </si>
  <si>
    <t>Tail Form Factor (FF_tails)</t>
  </si>
  <si>
    <t>Aspect Ratio (AR)</t>
  </si>
  <si>
    <t>oz/yd^2</t>
  </si>
  <si>
    <t>Horizontal Tail Span (b_HT)</t>
  </si>
  <si>
    <t>Inputs</t>
  </si>
  <si>
    <t>Wetted Tail Area (S_wet_tails)</t>
  </si>
  <si>
    <t>Surface Area (S_wet_body)</t>
  </si>
  <si>
    <t>Envelope Weight (W_env)</t>
  </si>
  <si>
    <t>Vertical Tail Span (b_VT)</t>
  </si>
  <si>
    <t>Constants</t>
  </si>
  <si>
    <t>Average Tail Chord Length (c_tail_avg)</t>
  </si>
  <si>
    <t>Pressure at Cruise Altitude (p)</t>
  </si>
  <si>
    <t>Septum Density</t>
  </si>
  <si>
    <t>Length Between Tail Tips (l_to tips)</t>
  </si>
  <si>
    <t>Acceleration due to Gravity</t>
  </si>
  <si>
    <t>m/s^2</t>
  </si>
  <si>
    <t>Tail Reynolds Number (Re_tail)</t>
  </si>
  <si>
    <t>Temperature at Cruise Altitude</t>
  </si>
  <si>
    <t>K</t>
  </si>
  <si>
    <t>IWP Length Per Row (l_IWP_row)</t>
  </si>
  <si>
    <t>Density of Air at Sea Level</t>
  </si>
  <si>
    <t>kg/m^3</t>
  </si>
  <si>
    <t>Septum Weight (W_sep)</t>
  </si>
  <si>
    <t>Tail Drag Coefficient (C_f_tail)</t>
  </si>
  <si>
    <t>Air Density at Cruise Altitude</t>
  </si>
  <si>
    <t>Total IWP Length (l_IWP)</t>
  </si>
  <si>
    <t>Density of Helium at Sea Level</t>
  </si>
  <si>
    <t>Ballonet Volume (V_ball)</t>
  </si>
  <si>
    <t>Tail Zero Lift Drag Coeff. (C_D0_tails)</t>
  </si>
  <si>
    <t>Helium Density at Cruise Altitude</t>
  </si>
  <si>
    <t>IWP Thrust (T_IWP)</t>
  </si>
  <si>
    <t>Prolate Ellipsoid Const. (p)</t>
  </si>
  <si>
    <t>Ballonet Surface Area (S_ball)</t>
  </si>
  <si>
    <t>Gondola Zero Lift Drag Coeff. (C_D0_gond)</t>
  </si>
  <si>
    <t>Helium Density Ratio</t>
  </si>
  <si>
    <t>IWP Weight (W_IWP)</t>
  </si>
  <si>
    <r>
      <t>Kinematic Visc. of Air (</t>
    </r>
    <r>
      <rPr>
        <sz val="11"/>
        <color theme="1"/>
        <rFont val="Aptos Narrow"/>
        <family val="2"/>
      </rPr>
      <t>μ)</t>
    </r>
  </si>
  <si>
    <t>Pa-s</t>
  </si>
  <si>
    <t>Ballonet Weight (W_ball)</t>
  </si>
  <si>
    <t>Engine Zero Lift Drag Coeff. (C_D0_eng)</t>
  </si>
  <si>
    <t>Buoyant Lift (L_buoy)</t>
  </si>
  <si>
    <t xml:space="preserve">Gas Constant (R) </t>
  </si>
  <si>
    <t>J/kmol-K</t>
  </si>
  <si>
    <t>Tail Moment Arm (l_tail)</t>
  </si>
  <si>
    <t>Engine Mount Zero Lift Drag Coeff. (C_D0_mount)</t>
  </si>
  <si>
    <t>Zero Fuel Weight (W_ZF)</t>
  </si>
  <si>
    <t>Air Gas Constant</t>
  </si>
  <si>
    <t>J/kg-K</t>
  </si>
  <si>
    <t>Horizontal Tail Surface Area (S_HT)</t>
  </si>
  <si>
    <t>Cable Zero Lift Drag Coeff. (C_D0_cable)</t>
  </si>
  <si>
    <t>Gross Takeoff Weight (W_G_perf)</t>
  </si>
  <si>
    <t>Helium Gas Constant</t>
  </si>
  <si>
    <t>Vertical Tail Surface Area (S_VT)</t>
  </si>
  <si>
    <t>Landing Gear Zero Lift Drag Coeff. (C_D0_LG)</t>
  </si>
  <si>
    <t>Empty Operating Weight (W_EO)</t>
  </si>
  <si>
    <t>Air Molecular Mass</t>
  </si>
  <si>
    <t>kg/kmol</t>
  </si>
  <si>
    <t>W_SSF</t>
  </si>
  <si>
    <t>Interference Zero Lift Drag Coeff. (C_D0_int)</t>
  </si>
  <si>
    <t>Helium Molecular Mass</t>
  </si>
  <si>
    <t>Mass Breakdown</t>
  </si>
  <si>
    <t>Control Surface Weight (W_CS)</t>
  </si>
  <si>
    <t>Total Zero Lift Drag Coeff. (C_D0)</t>
  </si>
  <si>
    <t>Safety Factor</t>
  </si>
  <si>
    <t>Payload</t>
  </si>
  <si>
    <t>Tail Weight (W_tail)</t>
  </si>
  <si>
    <t>Drag Due to Lift Factor (K)</t>
  </si>
  <si>
    <t>Mission Data</t>
  </si>
  <si>
    <t>Power and Electronics</t>
  </si>
  <si>
    <t>Misc. Systems Weight (W_misc)</t>
  </si>
  <si>
    <t>Aerodynamic Lift (L_aero)</t>
  </si>
  <si>
    <t>Cruise Velocity</t>
  </si>
  <si>
    <t>m/s</t>
  </si>
  <si>
    <t>IWP System</t>
  </si>
  <si>
    <t>Weight Margin (W_margin)</t>
  </si>
  <si>
    <t>Aerodynamic Lift Coeff. (C_L_aero)</t>
  </si>
  <si>
    <t>Cruise Altitude</t>
  </si>
  <si>
    <t>Envelope</t>
  </si>
  <si>
    <t>Total Drag (F_drag)</t>
  </si>
  <si>
    <t>Payload Mass</t>
  </si>
  <si>
    <t>Septum</t>
  </si>
  <si>
    <t>Gross Takeoff Weight (W_G_comp)</t>
  </si>
  <si>
    <t>Average Windspeed</t>
  </si>
  <si>
    <t>Ballonets</t>
  </si>
  <si>
    <t>Mission Length</t>
  </si>
  <si>
    <t>hours</t>
  </si>
  <si>
    <t>Tails</t>
  </si>
  <si>
    <t>IWP Usage Duration</t>
  </si>
  <si>
    <t>Miscellaneous Systems</t>
  </si>
  <si>
    <t>Propeller Efficiency</t>
  </si>
  <si>
    <t>Safety Margin</t>
  </si>
  <si>
    <t>Engine Specific Power</t>
  </si>
  <si>
    <t>kW-hr/kg</t>
  </si>
  <si>
    <t>Engine</t>
  </si>
  <si>
    <t>IWP</t>
  </si>
  <si>
    <t>Total</t>
  </si>
  <si>
    <t>Rows of IWP</t>
  </si>
  <si>
    <t>IWP Thrust per Meter</t>
  </si>
  <si>
    <t>IWP Weight per Meter</t>
  </si>
  <si>
    <t>Airship Geometry</t>
  </si>
  <si>
    <t>Fineness Ratio</t>
  </si>
  <si>
    <t>Buoyancy Ratio</t>
  </si>
  <si>
    <t>Envelope Volume</t>
  </si>
  <si>
    <t>Lobe Constant</t>
  </si>
  <si>
    <t>Number of Engines</t>
  </si>
  <si>
    <t>Number of Horizontal Tails</t>
  </si>
  <si>
    <t>Number of Vertical Tails</t>
  </si>
  <si>
    <t>Horizontal Tail Volume Coefficient (C_HT)</t>
  </si>
  <si>
    <t>Vertical Tail Volume Coefficient (C_VT)</t>
  </si>
  <si>
    <t>Tail Aspect Ratio (AR_tail)</t>
  </si>
  <si>
    <t>Tail Thickness Ratio (t/c)</t>
  </si>
  <si>
    <t>Power Budget</t>
  </si>
  <si>
    <t>PV Power Generation</t>
  </si>
  <si>
    <t>Energy Generation and Storage</t>
  </si>
  <si>
    <t>Payload Power</t>
  </si>
  <si>
    <t>Subsystem</t>
  </si>
  <si>
    <t>Power Required</t>
  </si>
  <si>
    <t>Peak Sun Hours</t>
  </si>
  <si>
    <t>hrs</t>
  </si>
  <si>
    <t>Item</t>
  </si>
  <si>
    <t>Mass (kg)</t>
  </si>
  <si>
    <t>Energy Used (kWh)</t>
  </si>
  <si>
    <t>Daily Solar Irradiation</t>
  </si>
  <si>
    <t>Wh/m^2-day</t>
  </si>
  <si>
    <t>PV Power</t>
  </si>
  <si>
    <t>W/m^2</t>
  </si>
  <si>
    <t>Main Batteries</t>
  </si>
  <si>
    <t>Surface Irradiation</t>
  </si>
  <si>
    <t>Propulsion</t>
  </si>
  <si>
    <t>Available Area</t>
  </si>
  <si>
    <t>IWP Batteries</t>
  </si>
  <si>
    <t>IWP Power</t>
  </si>
  <si>
    <t>Vehicle</t>
  </si>
  <si>
    <t>Hourly Power Production</t>
  </si>
  <si>
    <t>Battery Subtotal</t>
  </si>
  <si>
    <t>Battery Specific Energy Density</t>
  </si>
  <si>
    <t>Wh/kg</t>
  </si>
  <si>
    <t>Margin</t>
  </si>
  <si>
    <t>Energy Generated (E_gen)</t>
  </si>
  <si>
    <t>Wh</t>
  </si>
  <si>
    <t>PV Cells</t>
  </si>
  <si>
    <t>PV Cells Power Density</t>
  </si>
  <si>
    <t>W/kg</t>
  </si>
  <si>
    <t>Subtotal</t>
  </si>
  <si>
    <t>PV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</si>
</sst>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4" fillId="0" borderId="0" xfId="0" applyFont="1"/>
    <xf numFmtId="165" fontId="0" fillId="0" borderId="0" xfId="0" applyNumberFormat="1"/>
    <xf numFmtId="0" fontId="0" fillId="2" borderId="0" xfId="0" applyFill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Drag vs IWP thrust</a:t>
            </a:r>
            <a:endParaRPr lang="en-US" baseline="0"/>
          </a:p>
        </c:rich>
      </c:tx>
      <c:layout>
        <c:manualLayout>
          <c:xMode val="edge"/>
          <c:yMode val="edge"/>
          <c:x val="0.21990982012944796"/>
          <c:y val="3.877792985963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Drag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297550306211726"/>
                  <c:y val="-0.1553674540682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'Airship Calculations'!$V$5:$V$25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3.3610974558387889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'Airship Calculations'!$X$5:$X$25</c:f>
              <c:numCache>
                <c:formatCode>General</c:formatCode>
                <c:ptCount val="21"/>
                <c:pt idx="0">
                  <c:v>0</c:v>
                </c:pt>
                <c:pt idx="1">
                  <c:v>7.7326643291662139E-2</c:v>
                </c:pt>
                <c:pt idx="2">
                  <c:v>0.30930657316664856</c:v>
                </c:pt>
                <c:pt idx="3">
                  <c:v>0.69593978962495895</c:v>
                </c:pt>
                <c:pt idx="4">
                  <c:v>1.2372262926665942</c:v>
                </c:pt>
                <c:pt idx="5">
                  <c:v>1.9331660822915531</c:v>
                </c:pt>
                <c:pt idx="6">
                  <c:v>2.7837591584998358</c:v>
                </c:pt>
                <c:pt idx="7">
                  <c:v>3.7890055212914437</c:v>
                </c:pt>
                <c:pt idx="8">
                  <c:v>4.9489051706663769</c:v>
                </c:pt>
                <c:pt idx="9">
                  <c:v>6.2634581066246326</c:v>
                </c:pt>
                <c:pt idx="10">
                  <c:v>7.7326643291662123</c:v>
                </c:pt>
                <c:pt idx="11">
                  <c:v>9.3565238382911176</c:v>
                </c:pt>
                <c:pt idx="12">
                  <c:v>11.135036633999343</c:v>
                </c:pt>
                <c:pt idx="13">
                  <c:v>13.0682027162909</c:v>
                </c:pt>
                <c:pt idx="14">
                  <c:v>15.156022085165775</c:v>
                </c:pt>
                <c:pt idx="15">
                  <c:v>17.398494740623978</c:v>
                </c:pt>
                <c:pt idx="16">
                  <c:v>19.795620682665508</c:v>
                </c:pt>
                <c:pt idx="17">
                  <c:v>21.83893104375926</c:v>
                </c:pt>
                <c:pt idx="18">
                  <c:v>25.053832426498531</c:v>
                </c:pt>
                <c:pt idx="19">
                  <c:v>27.914918228290027</c:v>
                </c:pt>
                <c:pt idx="20">
                  <c:v>30.930657316664849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95F-8767-87187A142A73}"/>
            </c:ext>
          </c:extLst>
        </c:ser>
        <c:ser>
          <c:idx val="1"/>
          <c:order val="1"/>
          <c:tx>
            <c:v>IWP Thrust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'Airship Calculations'!$V$5:$V$25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3.3610974558387889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'Airship Calculations'!$Y$5:$Y$25</c:f>
              <c:numCache>
                <c:formatCode>General</c:formatCode>
                <c:ptCount val="21"/>
                <c:pt idx="0">
                  <c:v>21.838921233968875</c:v>
                </c:pt>
                <c:pt idx="1">
                  <c:v>21.838921233968875</c:v>
                </c:pt>
                <c:pt idx="2">
                  <c:v>21.838921233968875</c:v>
                </c:pt>
                <c:pt idx="3">
                  <c:v>21.838921233968875</c:v>
                </c:pt>
                <c:pt idx="4">
                  <c:v>21.838921233968875</c:v>
                </c:pt>
                <c:pt idx="5">
                  <c:v>21.838921233968875</c:v>
                </c:pt>
                <c:pt idx="6">
                  <c:v>21.838921233968875</c:v>
                </c:pt>
                <c:pt idx="7">
                  <c:v>21.838921233968875</c:v>
                </c:pt>
                <c:pt idx="8">
                  <c:v>21.838921233968875</c:v>
                </c:pt>
                <c:pt idx="9">
                  <c:v>21.838921233968875</c:v>
                </c:pt>
                <c:pt idx="10">
                  <c:v>21.838921233968875</c:v>
                </c:pt>
                <c:pt idx="11">
                  <c:v>21.838921233968875</c:v>
                </c:pt>
                <c:pt idx="12">
                  <c:v>21.838921233968875</c:v>
                </c:pt>
                <c:pt idx="13">
                  <c:v>21.838921233968875</c:v>
                </c:pt>
                <c:pt idx="14">
                  <c:v>21.838921233968875</c:v>
                </c:pt>
                <c:pt idx="15">
                  <c:v>21.838921233968875</c:v>
                </c:pt>
                <c:pt idx="16">
                  <c:v>21.838921233968875</c:v>
                </c:pt>
                <c:pt idx="17">
                  <c:v>21.838921233968875</c:v>
                </c:pt>
                <c:pt idx="18">
                  <c:v>21.838921233968875</c:v>
                </c:pt>
                <c:pt idx="19">
                  <c:v>21.838921233968875</c:v>
                </c:pt>
                <c:pt idx="20">
                  <c:v>21.838921233968875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F4-495F-8767-87187A14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28416"/>
        <c:axId val="1655228896"/>
      </c:scatterChart>
      <c:valAx>
        <c:axId val="1655228416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28896"/>
        <c:crosses val="autoZero"/>
        <c:crossBetween val="midCat"/>
      </c:valAx>
      <c:valAx>
        <c:axId val="165522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Drag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257175</xdr:colOff>
      <xdr:row>4</xdr:row>
      <xdr:rowOff>155575</xdr:rowOff>
    </xdr:from>
    <xdr:to>
      <xdr:col>33</xdr:col>
      <xdr:colOff>561975</xdr:colOff>
      <xdr:row>19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EA89ECA-97C8-EF23-8992-DAD4214C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ner Johnson" id="{6FC9C8A3-0551-40B4-97EA-43B9C4489DD7}" userId="Jenner John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5-01-21T16:48:08.86" personId="{6FC9C8A3-0551-40B4-97EA-43B9C4489DD7}" id="{1633D30B-78B9-476A-AFB4-21D71E55B9A2}">
    <text>Goal seek this to 0 by changing volume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5-01-23T16:44:12.89" personId="{6FC9C8A3-0551-40B4-97EA-43B9C4489DD7}" id="{F66AF581-11A3-4A36-860E-F4BEE4A33B6E}">
    <text>Location dependent</text>
  </threadedComment>
  <threadedComment ref="F6" dT="2025-01-23T16:43:19.21" personId="{6FC9C8A3-0551-40B4-97EA-43B9C4489DD7}" id="{696C784C-F13F-4D7E-B6A7-C17B75D0BFCD}">
    <text>JoLiDAR-L22</text>
  </threadedComment>
  <threadedComment ref="F10" dT="2025-01-23T16:43:43.89" personId="{6FC9C8A3-0551-40B4-97EA-43B9C4489DD7}" id="{243DF3DB-E9F3-4CD1-BA9A-CD1884351F7C}">
    <text>Historical approach, 40-50% of power budget</text>
  </threadedComment>
  <threadedComment ref="F12" dT="2025-01-23T16:43:59.67" personId="{6FC9C8A3-0551-40B4-97EA-43B9C4489DD7}" id="{835330E9-EE1C-4A5D-AF66-06DEDA9BBDE3}">
    <text>FOS, 10% of total power requirements</text>
  </threadedComment>
  <threadedComment ref="P12" dT="2025-01-22T16:58:18.18" personId="{6FC9C8A3-0551-40B4-97EA-43B9C4489DD7}" id="{0C74CE16-6F3F-4437-9AB0-3CEA4B854B16}">
    <text>Negative because energy is generated</text>
  </threadedComment>
  <threadedComment ref="B14" dT="2025-01-23T16:37:22.08" personId="{6FC9C8A3-0551-40B4-97EA-43B9C4489DD7}" id="{9BDD9BAD-905B-457F-97E5-0049E8E06502}">
    <text>PV - Photovoltaic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2C25-8CC0-4B36-8BB0-628C3C9818D4}">
  <sheetPr>
    <tabColor theme="9"/>
  </sheetPr>
  <dimension ref="B1:Y89"/>
  <sheetViews>
    <sheetView tabSelected="1" zoomScaleNormal="100" workbookViewId="0">
      <selection activeCell="X22" sqref="X22"/>
    </sheetView>
  </sheetViews>
  <sheetFormatPr defaultRowHeight="15" x14ac:dyDescent="0.25"/>
  <cols>
    <col min="2" max="2" width="33.85546875" customWidth="1"/>
    <col min="3" max="3" width="11.7109375" bestFit="1" customWidth="1"/>
    <col min="6" max="6" width="27.5703125" customWidth="1"/>
    <col min="7" max="7" width="10.5703125" bestFit="1" customWidth="1"/>
    <col min="10" max="10" width="28.85546875" customWidth="1"/>
    <col min="14" max="14" width="40.42578125" customWidth="1"/>
    <col min="15" max="15" width="10.85546875" bestFit="1" customWidth="1"/>
    <col min="18" max="18" width="30.85546875" customWidth="1"/>
    <col min="22" max="22" width="28.5703125" customWidth="1"/>
    <col min="23" max="23" width="20" customWidth="1"/>
    <col min="24" max="24" width="12.7109375" customWidth="1"/>
    <col min="25" max="25" width="13.5703125" customWidth="1"/>
  </cols>
  <sheetData>
    <row r="1" spans="2:25" ht="15.75" thickBot="1" x14ac:dyDescent="0.3"/>
    <row r="2" spans="2:25" x14ac:dyDescent="0.25">
      <c r="B2" s="5" t="s">
        <v>0</v>
      </c>
      <c r="C2" s="4"/>
      <c r="D2" s="6"/>
      <c r="F2" s="5" t="s">
        <v>1</v>
      </c>
      <c r="G2" s="4"/>
      <c r="H2" s="6"/>
      <c r="J2" s="5" t="s">
        <v>2</v>
      </c>
      <c r="K2" s="4"/>
      <c r="L2" s="6"/>
      <c r="N2" s="5" t="s">
        <v>3</v>
      </c>
      <c r="O2" s="4"/>
      <c r="P2" s="6"/>
      <c r="R2" s="5" t="s">
        <v>4</v>
      </c>
      <c r="S2" s="4"/>
      <c r="T2" s="6"/>
      <c r="V2" s="5" t="s">
        <v>5</v>
      </c>
      <c r="W2" s="4"/>
      <c r="X2" s="4"/>
      <c r="Y2" s="6"/>
    </row>
    <row r="3" spans="2:25" x14ac:dyDescent="0.25">
      <c r="B3" s="7"/>
      <c r="D3" s="8"/>
      <c r="F3" s="7"/>
      <c r="H3" s="8"/>
      <c r="J3" s="7"/>
      <c r="L3" s="8"/>
      <c r="N3" s="7"/>
      <c r="P3" s="8"/>
      <c r="R3" s="7"/>
      <c r="T3" s="8"/>
      <c r="V3" s="7"/>
      <c r="Y3" s="8"/>
    </row>
    <row r="4" spans="2:25" x14ac:dyDescent="0.25">
      <c r="B4" s="7" t="s">
        <v>6</v>
      </c>
      <c r="C4">
        <f>G31</f>
        <v>272.74346360075236</v>
      </c>
      <c r="D4" s="8" t="s">
        <v>7</v>
      </c>
      <c r="F4" s="7" t="s">
        <v>8</v>
      </c>
      <c r="G4" s="18">
        <f>C8^(2/3)</f>
        <v>10.030983821273155</v>
      </c>
      <c r="H4" s="8" t="s">
        <v>9</v>
      </c>
      <c r="J4" s="7" t="s">
        <v>10</v>
      </c>
      <c r="K4">
        <f>0.5*C20*C42^2</f>
        <v>9.8000000000000007</v>
      </c>
      <c r="L4" s="8" t="s">
        <v>11</v>
      </c>
      <c r="N4" s="7" t="s">
        <v>12</v>
      </c>
      <c r="O4">
        <f>C20*C42*G10/C26</f>
        <v>3062565.9893402355</v>
      </c>
      <c r="P4" s="8"/>
      <c r="R4" s="7" t="s">
        <v>13</v>
      </c>
      <c r="S4">
        <f>O44</f>
        <v>30.930657316664849</v>
      </c>
      <c r="T4" s="8" t="s">
        <v>7</v>
      </c>
      <c r="V4" s="7" t="s">
        <v>14</v>
      </c>
      <c r="W4" t="s">
        <v>15</v>
      </c>
      <c r="X4" t="s">
        <v>16</v>
      </c>
      <c r="Y4" s="8" t="s">
        <v>17</v>
      </c>
    </row>
    <row r="5" spans="2:25" x14ac:dyDescent="0.25">
      <c r="B5" s="7"/>
      <c r="D5" s="8"/>
      <c r="F5" s="7"/>
      <c r="G5">
        <f>G4*10000/(2.54^2*12^2)</f>
        <v>107.97261124364881</v>
      </c>
      <c r="H5" s="8" t="s">
        <v>18</v>
      </c>
      <c r="J5" s="7"/>
      <c r="L5" s="8"/>
      <c r="N5" s="7"/>
      <c r="P5" s="8"/>
      <c r="R5" s="7"/>
      <c r="T5" s="8"/>
      <c r="V5" s="7">
        <v>0</v>
      </c>
      <c r="W5">
        <f>0.5*C20*V5^2</f>
        <v>0</v>
      </c>
      <c r="X5">
        <f>(O35+O37*O41^2)*W5*G3</f>
        <v>0</v>
      </c>
      <c r="Y5" s="8">
        <f>S23</f>
        <v>21.838921233968875</v>
      </c>
    </row>
    <row r="6" spans="2:25" x14ac:dyDescent="0.25">
      <c r="B6" s="7" t="s">
        <v>19</v>
      </c>
      <c r="C6">
        <f>C4/C18</f>
        <v>27.802595677956408</v>
      </c>
      <c r="D6" s="8" t="s">
        <v>20</v>
      </c>
      <c r="F6" s="7"/>
      <c r="H6" s="8"/>
      <c r="J6" s="7" t="s">
        <v>21</v>
      </c>
      <c r="K6">
        <f>1.2*K4+G7*(G21-G23)</f>
        <v>13.766043666231914</v>
      </c>
      <c r="L6" s="8" t="s">
        <v>11</v>
      </c>
      <c r="N6" s="7" t="s">
        <v>22</v>
      </c>
      <c r="O6">
        <f>0.455/(LOG10(O4)^2.58)</f>
        <v>3.6567571367811247E-3</v>
      </c>
      <c r="P6" s="8"/>
      <c r="R6" s="7" t="s">
        <v>23</v>
      </c>
      <c r="S6">
        <f>(C42+C48)*S4/C54</f>
        <v>347.96989481247954</v>
      </c>
      <c r="T6" s="8" t="s">
        <v>24</v>
      </c>
      <c r="V6" s="7">
        <v>0.2</v>
      </c>
      <c r="W6">
        <f>0.5*C20*V6^2</f>
        <v>2.4500000000000008E-2</v>
      </c>
      <c r="X6">
        <f>(O36+O38*O42^2)*W6*G4</f>
        <v>7.7326643291662139E-2</v>
      </c>
      <c r="Y6" s="8">
        <f>S23</f>
        <v>21.838921233968875</v>
      </c>
    </row>
    <row r="7" spans="2:25" x14ac:dyDescent="0.25">
      <c r="B7" s="7"/>
      <c r="D7" s="8"/>
      <c r="F7" s="7" t="s">
        <v>25</v>
      </c>
      <c r="G7" s="18">
        <f>(6*C8/(PI()*C68))^(1/3)</f>
        <v>2.3294772767558167</v>
      </c>
      <c r="H7" s="8" t="s">
        <v>26</v>
      </c>
      <c r="J7" s="7"/>
      <c r="K7">
        <f>K6*0.000145038</f>
        <v>1.9965994412629445E-3</v>
      </c>
      <c r="L7" s="8" t="s">
        <v>27</v>
      </c>
      <c r="N7" s="7"/>
      <c r="P7" s="8"/>
      <c r="R7" s="7"/>
      <c r="S7">
        <f>S6/1000</f>
        <v>0.34796989481247953</v>
      </c>
      <c r="T7" s="8" t="s">
        <v>28</v>
      </c>
      <c r="V7" s="7">
        <v>0.4</v>
      </c>
      <c r="W7">
        <f>0.5*C20*V7^2</f>
        <v>9.8000000000000032E-2</v>
      </c>
      <c r="X7">
        <f>(O36+O38*O42^2)*W7*G4</f>
        <v>0.30930657316664856</v>
      </c>
      <c r="Y7" s="8">
        <f>S23</f>
        <v>21.838921233968875</v>
      </c>
    </row>
    <row r="8" spans="2:25" x14ac:dyDescent="0.25">
      <c r="B8" s="7" t="s">
        <v>29</v>
      </c>
      <c r="C8" s="19">
        <v>31.769859553384062</v>
      </c>
      <c r="D8" s="8" t="s">
        <v>30</v>
      </c>
      <c r="F8" s="7"/>
      <c r="G8">
        <f>G7*100/2.54/12</f>
        <v>7.6426419841070095</v>
      </c>
      <c r="H8" s="8" t="s">
        <v>31</v>
      </c>
      <c r="J8" s="7"/>
      <c r="L8" s="8"/>
      <c r="N8" s="7" t="s">
        <v>32</v>
      </c>
      <c r="O8">
        <f>1+(1.5/C68^1.5)+(7/C68^3)</f>
        <v>1.2059318002762296</v>
      </c>
      <c r="P8" s="8"/>
      <c r="R8" s="7"/>
      <c r="T8" s="8"/>
      <c r="V8" s="7">
        <v>0.6</v>
      </c>
      <c r="W8">
        <f>0.5*C20*V8^2</f>
        <v>0.2205</v>
      </c>
      <c r="X8">
        <f>(O36+O38*O42^2)*W8*G4</f>
        <v>0.69593978962495895</v>
      </c>
      <c r="Y8" s="8">
        <f>S23</f>
        <v>21.838921233968875</v>
      </c>
    </row>
    <row r="9" spans="2:25" x14ac:dyDescent="0.25">
      <c r="B9" s="7"/>
      <c r="C9">
        <f>C8*1000000/(2.54^3*12^3)</f>
        <v>1121.9420019162585</v>
      </c>
      <c r="D9" s="8" t="s">
        <v>33</v>
      </c>
      <c r="F9" s="7"/>
      <c r="H9" s="8"/>
      <c r="J9" s="7" t="s">
        <v>34</v>
      </c>
      <c r="K9">
        <f>C38*G7*K6/2</f>
        <v>48.101528866973361</v>
      </c>
      <c r="L9" s="8" t="s">
        <v>35</v>
      </c>
      <c r="N9" s="7"/>
      <c r="P9" s="8"/>
      <c r="R9" s="7" t="s">
        <v>36</v>
      </c>
      <c r="S9">
        <f>S7*C18*C50/C56</f>
        <v>3.0967556024262004</v>
      </c>
      <c r="T9" s="8" t="s">
        <v>7</v>
      </c>
      <c r="V9" s="7">
        <v>0.8</v>
      </c>
      <c r="W9">
        <f>0.5*C20*V9^2</f>
        <v>0.39200000000000013</v>
      </c>
      <c r="X9">
        <f>(O36+O38*O42^2)*W9*G4</f>
        <v>1.2372262926665942</v>
      </c>
      <c r="Y9" s="8">
        <f>S23</f>
        <v>21.838921233968875</v>
      </c>
    </row>
    <row r="10" spans="2:25" x14ac:dyDescent="0.25">
      <c r="B10" s="7"/>
      <c r="D10" s="8"/>
      <c r="F10" s="7" t="s">
        <v>37</v>
      </c>
      <c r="G10" s="18">
        <f>C68*G7</f>
        <v>11.18149092842792</v>
      </c>
      <c r="H10" s="8" t="s">
        <v>26</v>
      </c>
      <c r="J10" s="7"/>
      <c r="K10">
        <f>C38*G8*K7*12/2</f>
        <v>0.274667304874334</v>
      </c>
      <c r="L10" s="8" t="s">
        <v>38</v>
      </c>
      <c r="N10" s="7" t="s">
        <v>39</v>
      </c>
      <c r="O10">
        <f>O8*O6*G15/G4</f>
        <v>2.8647024877549738E-2</v>
      </c>
      <c r="P10" s="8"/>
      <c r="R10" s="7"/>
      <c r="T10" s="8"/>
      <c r="V10" s="7">
        <v>1</v>
      </c>
      <c r="W10">
        <f>0.5*C20*V10^2</f>
        <v>0.61250000000000004</v>
      </c>
      <c r="X10">
        <f>(O36+O38*O42^2)*W10*G4</f>
        <v>1.9331660822915531</v>
      </c>
      <c r="Y10" s="8">
        <f>S23</f>
        <v>21.838921233968875</v>
      </c>
    </row>
    <row r="11" spans="2:25" x14ac:dyDescent="0.25">
      <c r="B11" s="7" t="s">
        <v>40</v>
      </c>
      <c r="C11" s="19">
        <f>G31-K46</f>
        <v>-4.1166047139995499E-6</v>
      </c>
      <c r="D11" s="8" t="s">
        <v>7</v>
      </c>
      <c r="F11" s="7"/>
      <c r="G11">
        <f>G10*100/12/2.54</f>
        <v>36.68468152371365</v>
      </c>
      <c r="H11" s="8" t="s">
        <v>31</v>
      </c>
      <c r="J11" s="7"/>
      <c r="L11" s="8"/>
      <c r="N11" s="7"/>
      <c r="P11" s="8"/>
      <c r="R11" s="7" t="s">
        <v>41</v>
      </c>
      <c r="S11">
        <f>SQRT((G7/2)^2*(1-(2*K28/G10)^2))</f>
        <v>0.75699051436364195</v>
      </c>
      <c r="T11" s="8" t="s">
        <v>26</v>
      </c>
      <c r="V11" s="7">
        <v>1.2</v>
      </c>
      <c r="W11">
        <f>0.5*C20*V11^2</f>
        <v>0.88200000000000001</v>
      </c>
      <c r="X11">
        <f>(O36+O38*O42^2)*W11*G4</f>
        <v>2.7837591584998358</v>
      </c>
      <c r="Y11" s="8">
        <f>S23</f>
        <v>21.838921233968875</v>
      </c>
    </row>
    <row r="12" spans="2:25" ht="15.75" thickBot="1" x14ac:dyDescent="0.3">
      <c r="B12" s="9"/>
      <c r="C12" s="10"/>
      <c r="D12" s="11"/>
      <c r="F12" s="7"/>
      <c r="H12" s="8"/>
      <c r="J12" s="7" t="s">
        <v>42</v>
      </c>
      <c r="K12">
        <f>0.0339057*K13</f>
        <v>6.6944852661921156E-2</v>
      </c>
      <c r="L12" s="8" t="s">
        <v>43</v>
      </c>
      <c r="N12" s="7" t="s">
        <v>44</v>
      </c>
      <c r="O12">
        <f>1+1.2*C88+100*C88^4</f>
        <v>1.2306249999999999</v>
      </c>
      <c r="P12" s="8"/>
      <c r="R12" s="7"/>
      <c r="T12" s="8"/>
      <c r="V12" s="7">
        <v>1.4</v>
      </c>
      <c r="W12">
        <f>0.5*C20*V12^2</f>
        <v>1.2004999999999999</v>
      </c>
      <c r="X12">
        <f>(O36+O38*O42^2)*W12*G4</f>
        <v>3.7890055212914437</v>
      </c>
      <c r="Y12" s="8">
        <f>S23</f>
        <v>21.838921233968875</v>
      </c>
    </row>
    <row r="13" spans="2:25" ht="15.75" thickBot="1" x14ac:dyDescent="0.3">
      <c r="F13" s="7" t="s">
        <v>45</v>
      </c>
      <c r="G13">
        <f>4*G7/(PI()*G10)</f>
        <v>0.26525823848649227</v>
      </c>
      <c r="H13" s="8"/>
      <c r="J13" s="7"/>
      <c r="K13">
        <f>0.0453*K10+1.962</f>
        <v>1.9744424289108073</v>
      </c>
      <c r="L13" s="8" t="s">
        <v>46</v>
      </c>
      <c r="N13" s="7"/>
      <c r="P13" s="8"/>
      <c r="R13" s="7" t="s">
        <v>47</v>
      </c>
      <c r="S13">
        <f>SQRT(C86*K30/2)</f>
        <v>0.88989874444437234</v>
      </c>
      <c r="T13" s="8" t="s">
        <v>26</v>
      </c>
      <c r="V13" s="7">
        <v>1.6</v>
      </c>
      <c r="W13">
        <f>0.5*C20*V13^2</f>
        <v>1.5680000000000005</v>
      </c>
      <c r="X13">
        <f>(O36+O38*O42^2)*W13*G4</f>
        <v>4.9489051706663769</v>
      </c>
      <c r="Y13" s="8">
        <f>S23</f>
        <v>21.838921233968875</v>
      </c>
    </row>
    <row r="14" spans="2:25" x14ac:dyDescent="0.25">
      <c r="B14" s="5" t="s">
        <v>48</v>
      </c>
      <c r="C14" s="4"/>
      <c r="D14" s="6"/>
      <c r="F14" s="7"/>
      <c r="H14" s="8"/>
      <c r="J14" s="7"/>
      <c r="L14" s="8"/>
      <c r="N14" s="7" t="s">
        <v>49</v>
      </c>
      <c r="O14">
        <f>2.2*(K30+K32)</f>
        <v>3.194076427300137</v>
      </c>
      <c r="P14" s="8" t="s">
        <v>9</v>
      </c>
      <c r="R14" s="7"/>
      <c r="T14" s="8"/>
      <c r="V14" s="7">
        <v>1.8</v>
      </c>
      <c r="W14">
        <f>0.5*C20*V14^2</f>
        <v>1.9845000000000004</v>
      </c>
      <c r="X14">
        <f>(O36+O38*O42^2)*W14*G4</f>
        <v>6.2634581066246326</v>
      </c>
      <c r="Y14" s="8">
        <f>S23</f>
        <v>21.838921233968875</v>
      </c>
    </row>
    <row r="15" spans="2:25" x14ac:dyDescent="0.25">
      <c r="B15" s="7"/>
      <c r="D15" s="8"/>
      <c r="F15" s="7" t="s">
        <v>50</v>
      </c>
      <c r="G15">
        <f>PI()*((G10^C24*G7^C24+G10^C24*G7^C24+G7^C24*G7^C24)/3)^(1/C24)</f>
        <v>65.163468072703793</v>
      </c>
      <c r="H15" s="8" t="s">
        <v>9</v>
      </c>
      <c r="J15" s="7" t="s">
        <v>51</v>
      </c>
      <c r="K15">
        <f>1.512*K12*G15*C18</f>
        <v>64.705646161114856</v>
      </c>
      <c r="L15" s="8" t="s">
        <v>7</v>
      </c>
      <c r="N15" s="7"/>
      <c r="P15" s="8"/>
      <c r="R15" s="7" t="s">
        <v>52</v>
      </c>
      <c r="S15">
        <f>SQRT(C86*K32/2)</f>
        <v>0.81236269371284642</v>
      </c>
      <c r="T15" s="8" t="s">
        <v>26</v>
      </c>
      <c r="V15" s="7">
        <v>2</v>
      </c>
      <c r="W15">
        <f>0.5*C20*V15^2</f>
        <v>2.4500000000000002</v>
      </c>
      <c r="X15">
        <f>(O36+O38*O42^2)*W15*G4</f>
        <v>7.7326643291662123</v>
      </c>
      <c r="Y15" s="8">
        <f>S23</f>
        <v>21.838921233968875</v>
      </c>
    </row>
    <row r="16" spans="2:25" x14ac:dyDescent="0.25">
      <c r="B16" s="16" t="s">
        <v>53</v>
      </c>
      <c r="C16" s="13"/>
      <c r="D16" s="14"/>
      <c r="F16" s="7"/>
      <c r="H16" s="8"/>
      <c r="J16" s="7"/>
      <c r="L16" s="8"/>
      <c r="N16" s="7" t="s">
        <v>54</v>
      </c>
      <c r="O16">
        <f>((C86*K30/2)^0.5+(C86*K32/2)^0.5)/2</f>
        <v>0.85113071907860938</v>
      </c>
      <c r="P16" s="8" t="s">
        <v>26</v>
      </c>
      <c r="R16" s="7"/>
      <c r="T16" s="8"/>
      <c r="V16" s="7">
        <v>2.2000000000000002</v>
      </c>
      <c r="W16">
        <f>0.5*C20*V16^2</f>
        <v>2.9645000000000006</v>
      </c>
      <c r="X16">
        <f>(O36+O38*O42^2)*W16*G4</f>
        <v>9.3565238382911176</v>
      </c>
      <c r="Y16" s="8">
        <f>S23</f>
        <v>21.838921233968875</v>
      </c>
    </row>
    <row r="17" spans="2:25" x14ac:dyDescent="0.25">
      <c r="B17" s="16"/>
      <c r="C17" s="13"/>
      <c r="D17" s="14"/>
      <c r="F17" s="7" t="s">
        <v>55</v>
      </c>
      <c r="G17">
        <f>101325*EXP(-C18*C44*C34/(288.15*C28))</f>
        <v>78663.562727648896</v>
      </c>
      <c r="H17" s="8" t="s">
        <v>11</v>
      </c>
      <c r="J17" s="7" t="s">
        <v>56</v>
      </c>
      <c r="K17">
        <f>0.0339057*K18</f>
        <v>6.7155787292881741E-2</v>
      </c>
      <c r="L17" s="8" t="s">
        <v>43</v>
      </c>
      <c r="N17" s="7"/>
      <c r="P17" s="8"/>
      <c r="R17" s="7" t="s">
        <v>57</v>
      </c>
      <c r="S17">
        <f>SQRT((S11+S13)^2+(S11+S15)^2)</f>
        <v>2.2748876285384245</v>
      </c>
      <c r="T17" s="8" t="s">
        <v>26</v>
      </c>
      <c r="V17" s="7">
        <v>2.4</v>
      </c>
      <c r="W17">
        <f>0.5*C20*V17^2</f>
        <v>3.528</v>
      </c>
      <c r="X17">
        <f>(O36+O38*O42^2)*W17*G4</f>
        <v>11.135036633999343</v>
      </c>
      <c r="Y17" s="8">
        <f>S23</f>
        <v>21.838921233968875</v>
      </c>
    </row>
    <row r="18" spans="2:25" x14ac:dyDescent="0.25">
      <c r="B18" s="7" t="s">
        <v>58</v>
      </c>
      <c r="C18" s="1">
        <v>9.81</v>
      </c>
      <c r="D18" s="8" t="s">
        <v>59</v>
      </c>
      <c r="F18" s="7"/>
      <c r="H18" s="8"/>
      <c r="J18" s="7"/>
      <c r="K18">
        <f>0.06795*K10+1.962</f>
        <v>1.980663643366211</v>
      </c>
      <c r="L18" s="8" t="s">
        <v>46</v>
      </c>
      <c r="N18" s="7" t="s">
        <v>60</v>
      </c>
      <c r="O18">
        <f>C20*C42*O16/C26</f>
        <v>233121.3260751921</v>
      </c>
      <c r="P18" s="8"/>
      <c r="R18" s="7"/>
      <c r="T18" s="8"/>
      <c r="V18" s="7">
        <v>2.6</v>
      </c>
      <c r="W18">
        <f>0.5*C20*V18^2</f>
        <v>4.1405000000000003</v>
      </c>
      <c r="X18">
        <f>(O36+O38*O42^2)*W18*G4</f>
        <v>13.0682027162909</v>
      </c>
      <c r="Y18" s="8">
        <f>S23</f>
        <v>21.838921233968875</v>
      </c>
    </row>
    <row r="19" spans="2:25" x14ac:dyDescent="0.25">
      <c r="B19" s="7"/>
      <c r="C19" s="1"/>
      <c r="D19" s="8"/>
      <c r="F19" s="7" t="s">
        <v>61</v>
      </c>
      <c r="G19">
        <f>288.15-0.00649*C44</f>
        <v>274.30034000000001</v>
      </c>
      <c r="H19" s="8" t="s">
        <v>62</v>
      </c>
      <c r="J19" s="7"/>
      <c r="L19" s="8"/>
      <c r="N19" s="7"/>
      <c r="P19" s="8"/>
      <c r="R19" s="7" t="s">
        <v>63</v>
      </c>
      <c r="S19">
        <f>4*S17</f>
        <v>9.0995505141536981</v>
      </c>
      <c r="T19" s="8" t="s">
        <v>26</v>
      </c>
      <c r="V19" s="7">
        <v>2.8</v>
      </c>
      <c r="W19">
        <f>0.5*C20*V19^2</f>
        <v>4.8019999999999996</v>
      </c>
      <c r="X19">
        <f>(O36+O38*O42^2)*W19*G4</f>
        <v>15.156022085165775</v>
      </c>
      <c r="Y19" s="8">
        <f>S23</f>
        <v>21.838921233968875</v>
      </c>
    </row>
    <row r="20" spans="2:25" x14ac:dyDescent="0.25">
      <c r="B20" s="7" t="s">
        <v>64</v>
      </c>
      <c r="C20" s="1">
        <v>1.2250000000000001</v>
      </c>
      <c r="D20" s="8" t="s">
        <v>65</v>
      </c>
      <c r="F20" s="7"/>
      <c r="H20" s="8"/>
      <c r="J20" s="7" t="s">
        <v>66</v>
      </c>
      <c r="K20">
        <f>0.2*K17*C18*PI()*G7^2</f>
        <v>2.2462044196534108</v>
      </c>
      <c r="L20" s="8" t="s">
        <v>7</v>
      </c>
      <c r="N20" s="7" t="s">
        <v>67</v>
      </c>
      <c r="O20">
        <f>0.455/(LOG10(O18)^2.58)</f>
        <v>5.9591234310532185E-3</v>
      </c>
      <c r="P20" s="8"/>
      <c r="R20" s="7"/>
      <c r="T20" s="8"/>
      <c r="V20" s="7">
        <v>3</v>
      </c>
      <c r="W20">
        <f>0.5*C20*V20^2</f>
        <v>5.5125000000000002</v>
      </c>
      <c r="X20">
        <f>(O36+O38*O42^2)*W20*G4</f>
        <v>17.398494740623978</v>
      </c>
      <c r="Y20" s="8">
        <f>S23</f>
        <v>21.838921233968875</v>
      </c>
    </row>
    <row r="21" spans="2:25" x14ac:dyDescent="0.25">
      <c r="B21" s="7"/>
      <c r="C21" s="1"/>
      <c r="D21" s="8"/>
      <c r="F21" s="7" t="s">
        <v>68</v>
      </c>
      <c r="G21">
        <f>G17/(G19*C30)</f>
        <v>0.99922978125893891</v>
      </c>
      <c r="H21" s="8" t="s">
        <v>65</v>
      </c>
      <c r="J21" s="7"/>
      <c r="L21" s="8"/>
      <c r="N21" s="7"/>
      <c r="P21" s="8"/>
      <c r="R21" s="7" t="s">
        <v>69</v>
      </c>
      <c r="S21">
        <f>S19*C60</f>
        <v>36.398202056614792</v>
      </c>
      <c r="T21" s="8" t="s">
        <v>26</v>
      </c>
      <c r="V21" s="7">
        <v>3.2</v>
      </c>
      <c r="W21">
        <f>0.5*C20*V21^2</f>
        <v>6.272000000000002</v>
      </c>
      <c r="X21">
        <f>(O36+O38*O42^2)*W21*G4</f>
        <v>19.795620682665508</v>
      </c>
      <c r="Y21" s="8">
        <f>S23</f>
        <v>21.838921233968875</v>
      </c>
    </row>
    <row r="22" spans="2:25" x14ac:dyDescent="0.25">
      <c r="B22" s="7" t="s">
        <v>70</v>
      </c>
      <c r="C22" s="1">
        <v>0.17849999999999999</v>
      </c>
      <c r="D22" s="8" t="s">
        <v>65</v>
      </c>
      <c r="F22" s="7"/>
      <c r="H22" s="8"/>
      <c r="J22" s="7" t="s">
        <v>71</v>
      </c>
      <c r="K22">
        <f>C8*((1/G25)-1)</f>
        <v>9.3018467532151821</v>
      </c>
      <c r="L22" s="8" t="s">
        <v>30</v>
      </c>
      <c r="N22" s="7" t="s">
        <v>72</v>
      </c>
      <c r="O22">
        <f>O12*O20*O14/G4</f>
        <v>2.3351236814555896E-3</v>
      </c>
      <c r="P22" s="8"/>
      <c r="R22" s="7"/>
      <c r="T22" s="8"/>
      <c r="V22" s="7">
        <v>3.3610974558387889</v>
      </c>
      <c r="W22">
        <f>0.5*C20*V22^2</f>
        <v>6.9193978659331634</v>
      </c>
      <c r="X22">
        <f>(O36+O38*O42^2)*W22*G4</f>
        <v>21.83893104375926</v>
      </c>
      <c r="Y22" s="8">
        <f>S23</f>
        <v>21.838921233968875</v>
      </c>
    </row>
    <row r="23" spans="2:25" x14ac:dyDescent="0.25">
      <c r="B23" s="7"/>
      <c r="C23" s="1"/>
      <c r="D23" s="8"/>
      <c r="F23" s="7" t="s">
        <v>73</v>
      </c>
      <c r="G23">
        <f>G17/(G19*C32)</f>
        <v>0.1380736385273546</v>
      </c>
      <c r="H23" s="8" t="s">
        <v>65</v>
      </c>
      <c r="J23" s="7"/>
      <c r="L23" s="8"/>
      <c r="N23" s="7"/>
      <c r="P23" s="8"/>
      <c r="R23" s="7" t="s">
        <v>74</v>
      </c>
      <c r="S23">
        <f>S21*C62</f>
        <v>21.838921233968875</v>
      </c>
      <c r="T23" s="8" t="s">
        <v>7</v>
      </c>
      <c r="V23" s="7">
        <v>3.6</v>
      </c>
      <c r="W23">
        <f>0.5*C20*V23^2</f>
        <v>7.9380000000000015</v>
      </c>
      <c r="X23">
        <f>(O36+O38*O42^2)*W23*G4</f>
        <v>25.053832426498531</v>
      </c>
      <c r="Y23" s="8">
        <f>S23</f>
        <v>21.838921233968875</v>
      </c>
    </row>
    <row r="24" spans="2:25" x14ac:dyDescent="0.25">
      <c r="B24" s="7" t="s">
        <v>75</v>
      </c>
      <c r="C24" s="1">
        <v>1.6074999999999999</v>
      </c>
      <c r="D24" s="8"/>
      <c r="F24" s="7"/>
      <c r="H24" s="8"/>
      <c r="J24" s="7" t="s">
        <v>76</v>
      </c>
      <c r="K24">
        <f>(4*PI())^(1/3)*(3*K22)^(2/3)</f>
        <v>21.389316722643077</v>
      </c>
      <c r="L24" s="8" t="s">
        <v>9</v>
      </c>
      <c r="N24" s="7" t="s">
        <v>77</v>
      </c>
      <c r="O24">
        <f>(0.108*O10*G5+7.7)/G5</f>
        <v>7.4408260281421959E-2</v>
      </c>
      <c r="P24" s="8"/>
      <c r="R24" s="7"/>
      <c r="T24" s="8"/>
      <c r="V24" s="7">
        <v>3.8</v>
      </c>
      <c r="W24">
        <f>0.5*C20*V24^2</f>
        <v>8.8445</v>
      </c>
      <c r="X24">
        <f>(O36+O38*O42^2)*W24*G4</f>
        <v>27.914918228290027</v>
      </c>
      <c r="Y24" s="8">
        <f>S23</f>
        <v>21.838921233968875</v>
      </c>
    </row>
    <row r="25" spans="2:25" x14ac:dyDescent="0.25">
      <c r="B25" s="7"/>
      <c r="C25" s="1"/>
      <c r="D25" s="8"/>
      <c r="F25" s="7" t="s">
        <v>78</v>
      </c>
      <c r="G25">
        <f>G23/C22</f>
        <v>0.77352178446697262</v>
      </c>
      <c r="H25" s="8"/>
      <c r="J25" s="7"/>
      <c r="L25" s="8"/>
      <c r="N25" s="7"/>
      <c r="P25" s="8"/>
      <c r="R25" s="7" t="s">
        <v>79</v>
      </c>
      <c r="S25">
        <f>S21*C64</f>
        <v>3.5706636217539112</v>
      </c>
      <c r="T25" s="8" t="s">
        <v>7</v>
      </c>
      <c r="V25" s="7">
        <v>4</v>
      </c>
      <c r="W25">
        <f>0.5*C20*V25^2</f>
        <v>9.8000000000000007</v>
      </c>
      <c r="X25">
        <f>(O36+O38*O42^2)*W25*G4</f>
        <v>30.930657316664849</v>
      </c>
      <c r="Y25" s="8">
        <f>S23</f>
        <v>21.838921233968875</v>
      </c>
    </row>
    <row r="26" spans="2:25" ht="15.75" thickBot="1" x14ac:dyDescent="0.3">
      <c r="B26" s="7" t="s">
        <v>80</v>
      </c>
      <c r="C26" s="1">
        <f>1.789*10^-5</f>
        <v>1.789E-5</v>
      </c>
      <c r="D26" s="8" t="s">
        <v>81</v>
      </c>
      <c r="F26" s="7"/>
      <c r="H26" s="8"/>
      <c r="J26" s="7" t="s">
        <v>82</v>
      </c>
      <c r="K26">
        <f>1.6758*K24</f>
        <v>35.844216963805266</v>
      </c>
      <c r="L26" s="8" t="s">
        <v>7</v>
      </c>
      <c r="N26" s="7" t="s">
        <v>83</v>
      </c>
      <c r="O26">
        <f>4.25*C76/G5</f>
        <v>3.9361833997045195E-2</v>
      </c>
      <c r="P26" s="8"/>
      <c r="R26" s="9"/>
      <c r="S26" s="10"/>
      <c r="T26" s="11"/>
      <c r="V26" s="9"/>
      <c r="W26" s="10"/>
      <c r="X26" s="10"/>
      <c r="Y26" s="11"/>
    </row>
    <row r="27" spans="2:25" x14ac:dyDescent="0.25">
      <c r="B27" s="7"/>
      <c r="C27" s="1"/>
      <c r="D27" s="8"/>
      <c r="F27" s="7" t="s">
        <v>84</v>
      </c>
      <c r="G27">
        <f>(C20-C22)*C18*G25*C8</f>
        <v>252.28770383069596</v>
      </c>
      <c r="H27" s="8" t="s">
        <v>7</v>
      </c>
      <c r="J27" s="7"/>
      <c r="L27" s="8"/>
      <c r="N27" s="7"/>
      <c r="P27" s="8"/>
    </row>
    <row r="28" spans="2:25" x14ac:dyDescent="0.25">
      <c r="B28" s="7" t="s">
        <v>85</v>
      </c>
      <c r="C28" s="1">
        <v>8314</v>
      </c>
      <c r="D28" s="8" t="s">
        <v>86</v>
      </c>
      <c r="F28" s="7"/>
      <c r="H28" s="8"/>
      <c r="J28" s="7" t="s">
        <v>87</v>
      </c>
      <c r="K28">
        <f>0.38*G10</f>
        <v>4.2489665528026093</v>
      </c>
      <c r="L28" s="8" t="s">
        <v>26</v>
      </c>
      <c r="N28" s="7" t="s">
        <v>88</v>
      </c>
      <c r="O28">
        <f>(0.044*O10*G5+0.92)/G5</f>
        <v>9.7811484539725609E-3</v>
      </c>
      <c r="P28" s="8"/>
    </row>
    <row r="29" spans="2:25" x14ac:dyDescent="0.25">
      <c r="B29" s="7"/>
      <c r="C29" s="1"/>
      <c r="D29" s="8"/>
      <c r="F29" s="7" t="s">
        <v>89</v>
      </c>
      <c r="G29">
        <f>G27/C70</f>
        <v>272.74346360075236</v>
      </c>
      <c r="H29" s="8" t="s">
        <v>7</v>
      </c>
      <c r="J29" s="7"/>
      <c r="L29" s="8"/>
      <c r="N29" s="7"/>
      <c r="P29" s="8"/>
    </row>
    <row r="30" spans="2:25" x14ac:dyDescent="0.25">
      <c r="B30" s="7" t="s">
        <v>90</v>
      </c>
      <c r="C30" s="1">
        <v>287</v>
      </c>
      <c r="D30" s="8" t="s">
        <v>91</v>
      </c>
      <c r="F30" s="7"/>
      <c r="H30" s="8"/>
      <c r="J30" s="7" t="s">
        <v>92</v>
      </c>
      <c r="K30">
        <f>G4*C82*G10/K28</f>
        <v>0.79191977536367031</v>
      </c>
      <c r="L30" s="8" t="s">
        <v>9</v>
      </c>
      <c r="N30" s="7" t="s">
        <v>93</v>
      </c>
      <c r="O30">
        <f>((9.7*(10^-6))*C9+10.22)/G5</f>
        <v>9.4754426326985691E-2</v>
      </c>
      <c r="P30" s="8"/>
    </row>
    <row r="31" spans="2:25" x14ac:dyDescent="0.25">
      <c r="B31" s="7"/>
      <c r="C31" s="1"/>
      <c r="D31" s="8"/>
      <c r="F31" s="7" t="s">
        <v>94</v>
      </c>
      <c r="G31">
        <f>G27/C70</f>
        <v>272.74346360075236</v>
      </c>
      <c r="H31" s="8" t="s">
        <v>7</v>
      </c>
      <c r="J31" s="7"/>
      <c r="L31" s="8"/>
      <c r="N31" s="7"/>
      <c r="P31" s="8"/>
    </row>
    <row r="32" spans="2:25" x14ac:dyDescent="0.25">
      <c r="B32" s="7" t="s">
        <v>95</v>
      </c>
      <c r="C32" s="1">
        <v>2077</v>
      </c>
      <c r="D32" s="8" t="s">
        <v>91</v>
      </c>
      <c r="F32" s="7"/>
      <c r="H32" s="8"/>
      <c r="J32" s="7" t="s">
        <v>96</v>
      </c>
      <c r="K32">
        <f>G4*C84*G10/K28</f>
        <v>0.65993314613639187</v>
      </c>
      <c r="L32" s="8" t="s">
        <v>9</v>
      </c>
      <c r="N32" s="7" t="s">
        <v>97</v>
      </c>
      <c r="O32">
        <f>((1.76*10^-6)*C9+0.92)/G5</f>
        <v>8.5389674965150493E-3</v>
      </c>
      <c r="P32" s="8"/>
    </row>
    <row r="33" spans="2:16" x14ac:dyDescent="0.25">
      <c r="B33" s="7"/>
      <c r="C33" s="1"/>
      <c r="D33" s="8"/>
      <c r="F33" s="7" t="s">
        <v>98</v>
      </c>
      <c r="G33">
        <f>G31-C46*C18</f>
        <v>218.78846360075235</v>
      </c>
      <c r="H33" s="8" t="s">
        <v>7</v>
      </c>
      <c r="J33" s="7"/>
      <c r="L33" s="8"/>
      <c r="N33" s="7"/>
      <c r="P33" s="8"/>
    </row>
    <row r="34" spans="2:16" ht="15.75" thickBot="1" x14ac:dyDescent="0.3">
      <c r="B34" s="7" t="s">
        <v>99</v>
      </c>
      <c r="C34" s="1">
        <v>28.97</v>
      </c>
      <c r="D34" s="8" t="s">
        <v>100</v>
      </c>
      <c r="F34" s="9"/>
      <c r="G34" s="10"/>
      <c r="H34" s="11"/>
      <c r="J34" s="7" t="s">
        <v>101</v>
      </c>
      <c r="K34">
        <f>4.88243*1.575*(K30+K32)</f>
        <v>11.164498158743289</v>
      </c>
      <c r="L34" s="8" t="s">
        <v>7</v>
      </c>
      <c r="N34" s="7" t="s">
        <v>102</v>
      </c>
      <c r="O34">
        <f>((4.78*10^-6)*C8)/G4</f>
        <v>1.5139086192435053E-5</v>
      </c>
      <c r="P34" s="8"/>
    </row>
    <row r="35" spans="2:16" ht="15.75" thickBot="1" x14ac:dyDescent="0.3">
      <c r="B35" s="7"/>
      <c r="C35" s="1"/>
      <c r="D35" s="8"/>
      <c r="J35" s="7"/>
      <c r="L35" s="8"/>
      <c r="N35" s="7"/>
      <c r="P35" s="8"/>
    </row>
    <row r="36" spans="2:16" x14ac:dyDescent="0.25">
      <c r="B36" s="7" t="s">
        <v>103</v>
      </c>
      <c r="C36" s="1">
        <v>4.0030000000000001</v>
      </c>
      <c r="D36" s="8" t="s">
        <v>100</v>
      </c>
      <c r="F36" s="5" t="s">
        <v>104</v>
      </c>
      <c r="G36" s="4"/>
      <c r="H36" s="6"/>
      <c r="J36" s="7" t="s">
        <v>105</v>
      </c>
      <c r="K36">
        <f>4.88243*0.2*(K30+K32)</f>
        <v>1.4177140519039098</v>
      </c>
      <c r="L36" s="8" t="s">
        <v>7</v>
      </c>
      <c r="N36" s="7" t="s">
        <v>106</v>
      </c>
      <c r="O36">
        <f>O10+SUM(O22:O34)</f>
        <v>0.25784192420113822</v>
      </c>
      <c r="P36" s="8"/>
    </row>
    <row r="37" spans="2:16" x14ac:dyDescent="0.25">
      <c r="B37" s="7"/>
      <c r="C37" s="1"/>
      <c r="D37" s="8"/>
      <c r="F37" s="7"/>
      <c r="H37" s="8"/>
      <c r="J37" s="7"/>
      <c r="L37" s="8"/>
      <c r="N37" s="7"/>
      <c r="P37" s="8"/>
    </row>
    <row r="38" spans="2:16" x14ac:dyDescent="0.25">
      <c r="B38" s="7" t="s">
        <v>107</v>
      </c>
      <c r="C38" s="1">
        <v>3</v>
      </c>
      <c r="D38" s="8"/>
      <c r="F38" s="7" t="s">
        <v>108</v>
      </c>
      <c r="G38">
        <f>C46</f>
        <v>5.5</v>
      </c>
      <c r="H38" s="8" t="s">
        <v>20</v>
      </c>
      <c r="J38" s="7" t="s">
        <v>109</v>
      </c>
      <c r="K38">
        <f>K34+K36</f>
        <v>12.582212210647199</v>
      </c>
      <c r="L38" s="8" t="s">
        <v>7</v>
      </c>
      <c r="N38" s="7" t="s">
        <v>110</v>
      </c>
      <c r="O38">
        <f>(-0.0145 * (1 / G13)^4 + 0.182 * (1 / G13)^3 - 0.514 * (1 / G13)^2 + 0.838 * (1 / G13) - 0.053) / C74</f>
        <v>1.3118152739248043</v>
      </c>
      <c r="P38" s="8"/>
    </row>
    <row r="39" spans="2:16" x14ac:dyDescent="0.25">
      <c r="B39" s="7"/>
      <c r="C39" s="1"/>
      <c r="D39" s="8"/>
      <c r="F39" s="7"/>
      <c r="H39" s="8"/>
      <c r="J39" s="7"/>
      <c r="L39" s="8"/>
      <c r="N39" s="7"/>
      <c r="P39" s="8"/>
    </row>
    <row r="40" spans="2:16" x14ac:dyDescent="0.25">
      <c r="B40" s="12" t="s">
        <v>111</v>
      </c>
      <c r="D40" s="8"/>
      <c r="F40" s="7" t="s">
        <v>112</v>
      </c>
      <c r="G40">
        <f>'Power and Electronics'!O14</f>
        <v>7.9659275567678218</v>
      </c>
      <c r="H40" s="8" t="s">
        <v>20</v>
      </c>
      <c r="J40" s="7" t="s">
        <v>113</v>
      </c>
      <c r="K40">
        <f>0.035*G33</f>
        <v>7.6575962260263326</v>
      </c>
      <c r="L40" s="8" t="s">
        <v>7</v>
      </c>
      <c r="N40" s="7" t="s">
        <v>114</v>
      </c>
      <c r="O40">
        <f>G29-G27</f>
        <v>20.455759770056403</v>
      </c>
      <c r="P40" s="8" t="s">
        <v>7</v>
      </c>
    </row>
    <row r="41" spans="2:16" x14ac:dyDescent="0.25">
      <c r="B41" s="7"/>
      <c r="D41" s="8"/>
      <c r="F41" s="7"/>
      <c r="H41" s="8"/>
      <c r="J41" s="7"/>
      <c r="L41" s="8"/>
      <c r="N41" s="7"/>
      <c r="P41" s="8"/>
    </row>
    <row r="42" spans="2:16" x14ac:dyDescent="0.25">
      <c r="B42" s="7" t="s">
        <v>115</v>
      </c>
      <c r="C42" s="2">
        <v>4</v>
      </c>
      <c r="D42" s="8" t="s">
        <v>116</v>
      </c>
      <c r="F42" s="7" t="s">
        <v>117</v>
      </c>
      <c r="G42">
        <f>S25/C18</f>
        <v>0.36398202056614792</v>
      </c>
      <c r="H42" s="8" t="s">
        <v>20</v>
      </c>
      <c r="J42" s="7" t="s">
        <v>118</v>
      </c>
      <c r="K42">
        <f>0.05*G33</f>
        <v>10.939423180037618</v>
      </c>
      <c r="L42" s="8" t="s">
        <v>7</v>
      </c>
      <c r="N42" s="7" t="s">
        <v>119</v>
      </c>
      <c r="O42">
        <f>O40/(K4*G4)</f>
        <v>0.20808750793608913</v>
      </c>
      <c r="P42" s="8"/>
    </row>
    <row r="43" spans="2:16" x14ac:dyDescent="0.25">
      <c r="B43" s="7"/>
      <c r="C43" s="2"/>
      <c r="D43" s="8"/>
      <c r="F43" s="7"/>
      <c r="H43" s="8"/>
      <c r="J43" s="7"/>
      <c r="L43" s="8"/>
      <c r="N43" s="7"/>
      <c r="P43" s="8"/>
    </row>
    <row r="44" spans="2:16" x14ac:dyDescent="0.25">
      <c r="B44" s="7" t="s">
        <v>120</v>
      </c>
      <c r="C44" s="2">
        <v>2134</v>
      </c>
      <c r="D44" s="8" t="s">
        <v>26</v>
      </c>
      <c r="F44" s="7" t="s">
        <v>121</v>
      </c>
      <c r="G44">
        <f>K15/C18</f>
        <v>6.5958864588292405</v>
      </c>
      <c r="H44" s="8" t="s">
        <v>20</v>
      </c>
      <c r="J44" s="7" t="s">
        <v>98</v>
      </c>
      <c r="K44">
        <f>K15+K20+S25+('Power and Electronics'!O14*C18)+K26+K38+K40+K42+S9</f>
        <v>218.78846771735709</v>
      </c>
      <c r="L44" s="8" t="s">
        <v>7</v>
      </c>
      <c r="N44" s="7" t="s">
        <v>122</v>
      </c>
      <c r="O44">
        <f>(O36+O38*O42^2)*K4*G4</f>
        <v>30.930657316664849</v>
      </c>
      <c r="P44" s="8" t="s">
        <v>7</v>
      </c>
    </row>
    <row r="45" spans="2:16" ht="15.75" thickBot="1" x14ac:dyDescent="0.3">
      <c r="B45" s="7"/>
      <c r="C45" s="2"/>
      <c r="D45" s="8"/>
      <c r="F45" s="7"/>
      <c r="H45" s="8"/>
      <c r="J45" s="7"/>
      <c r="L45" s="8"/>
      <c r="N45" s="9"/>
      <c r="O45" s="10"/>
      <c r="P45" s="11"/>
    </row>
    <row r="46" spans="2:16" x14ac:dyDescent="0.25">
      <c r="B46" s="7" t="s">
        <v>123</v>
      </c>
      <c r="C46" s="2">
        <v>5.5</v>
      </c>
      <c r="D46" s="8" t="s">
        <v>20</v>
      </c>
      <c r="F46" s="7" t="s">
        <v>124</v>
      </c>
      <c r="G46">
        <f>K20/C18</f>
        <v>0.22897088885355868</v>
      </c>
      <c r="H46" s="8" t="s">
        <v>20</v>
      </c>
      <c r="J46" s="7" t="s">
        <v>125</v>
      </c>
      <c r="K46">
        <f>K44+C46*C18</f>
        <v>272.74346771735708</v>
      </c>
      <c r="L46" s="8" t="s">
        <v>7</v>
      </c>
    </row>
    <row r="47" spans="2:16" ht="15.75" thickBot="1" x14ac:dyDescent="0.3">
      <c r="B47" s="7"/>
      <c r="C47" s="2"/>
      <c r="D47" s="8"/>
      <c r="F47" s="7"/>
      <c r="H47" s="8"/>
      <c r="J47" s="9"/>
      <c r="K47" s="10"/>
      <c r="L47" s="11"/>
    </row>
    <row r="48" spans="2:16" x14ac:dyDescent="0.25">
      <c r="B48" s="7" t="s">
        <v>126</v>
      </c>
      <c r="C48" s="2">
        <v>5</v>
      </c>
      <c r="D48" s="8" t="s">
        <v>116</v>
      </c>
      <c r="F48" s="7" t="s">
        <v>127</v>
      </c>
      <c r="G48">
        <f>K26/C18</f>
        <v>3.6538447465652664</v>
      </c>
      <c r="H48" s="8" t="s">
        <v>20</v>
      </c>
    </row>
    <row r="49" spans="2:10" x14ac:dyDescent="0.25">
      <c r="B49" s="7"/>
      <c r="C49" s="2"/>
      <c r="D49" s="8"/>
      <c r="F49" s="7"/>
      <c r="H49" s="8"/>
    </row>
    <row r="50" spans="2:10" x14ac:dyDescent="0.25">
      <c r="B50" s="7" t="s">
        <v>128</v>
      </c>
      <c r="C50" s="2">
        <v>2</v>
      </c>
      <c r="D50" s="8" t="s">
        <v>129</v>
      </c>
      <c r="F50" s="7" t="s">
        <v>130</v>
      </c>
      <c r="G50">
        <f>K38/C18</f>
        <v>1.2825904394135779</v>
      </c>
      <c r="H50" s="8" t="s">
        <v>20</v>
      </c>
    </row>
    <row r="51" spans="2:10" x14ac:dyDescent="0.25">
      <c r="B51" s="7"/>
      <c r="C51" s="2"/>
      <c r="D51" s="8"/>
      <c r="F51" s="7"/>
      <c r="H51" s="8"/>
    </row>
    <row r="52" spans="2:10" x14ac:dyDescent="0.25">
      <c r="B52" s="7" t="s">
        <v>131</v>
      </c>
      <c r="C52" s="2">
        <v>0.25</v>
      </c>
      <c r="D52" s="8" t="s">
        <v>129</v>
      </c>
      <c r="F52" s="7" t="s">
        <v>132</v>
      </c>
      <c r="G52">
        <f>K40/C18</f>
        <v>0.78059084872847428</v>
      </c>
      <c r="H52" s="8" t="s">
        <v>20</v>
      </c>
    </row>
    <row r="53" spans="2:10" x14ac:dyDescent="0.25">
      <c r="B53" s="7"/>
      <c r="C53" s="2"/>
      <c r="D53" s="8"/>
      <c r="F53" s="7"/>
      <c r="H53" s="8"/>
    </row>
    <row r="54" spans="2:10" x14ac:dyDescent="0.25">
      <c r="B54" s="7" t="s">
        <v>133</v>
      </c>
      <c r="C54" s="2">
        <v>0.8</v>
      </c>
      <c r="D54" s="8"/>
      <c r="F54" s="7" t="s">
        <v>134</v>
      </c>
      <c r="G54">
        <f>K42/C18</f>
        <v>1.1151297838978202</v>
      </c>
      <c r="H54" s="8" t="s">
        <v>20</v>
      </c>
      <c r="J54" s="20"/>
    </row>
    <row r="55" spans="2:10" x14ac:dyDescent="0.25">
      <c r="B55" s="7"/>
      <c r="C55" s="2"/>
      <c r="D55" s="8"/>
      <c r="F55" s="7"/>
      <c r="H55" s="8"/>
      <c r="J55" s="20"/>
    </row>
    <row r="56" spans="2:10" x14ac:dyDescent="0.25">
      <c r="B56" s="7" t="s">
        <v>135</v>
      </c>
      <c r="C56" s="2">
        <v>2.2046199999999998</v>
      </c>
      <c r="D56" s="8" t="s">
        <v>136</v>
      </c>
      <c r="F56" s="7" t="s">
        <v>137</v>
      </c>
      <c r="G56">
        <f>'Airship Calculations'!S9/'Airship Calculations'!C18</f>
        <v>0.31567335396801227</v>
      </c>
      <c r="H56" s="8" t="s">
        <v>20</v>
      </c>
      <c r="J56" s="20"/>
    </row>
    <row r="57" spans="2:10" x14ac:dyDescent="0.25">
      <c r="B57" s="7"/>
      <c r="D57" s="8"/>
      <c r="F57" s="7"/>
      <c r="H57" s="8"/>
      <c r="J57" s="20"/>
    </row>
    <row r="58" spans="2:10" x14ac:dyDescent="0.25">
      <c r="B58" s="12" t="s">
        <v>138</v>
      </c>
      <c r="D58" s="8"/>
      <c r="F58" s="7" t="s">
        <v>139</v>
      </c>
      <c r="G58">
        <f>SUM(G38:G56)</f>
        <v>27.802596097589923</v>
      </c>
      <c r="H58" s="8" t="s">
        <v>20</v>
      </c>
      <c r="J58" s="20"/>
    </row>
    <row r="59" spans="2:10" ht="15.75" thickBot="1" x14ac:dyDescent="0.3">
      <c r="B59" s="7"/>
      <c r="D59" s="8"/>
      <c r="F59" s="9"/>
      <c r="G59" s="10"/>
      <c r="H59" s="11"/>
      <c r="J59" s="20"/>
    </row>
    <row r="60" spans="2:10" x14ac:dyDescent="0.25">
      <c r="B60" s="7" t="s">
        <v>140</v>
      </c>
      <c r="C60" s="2">
        <v>4</v>
      </c>
      <c r="D60" s="8"/>
      <c r="J60" s="20"/>
    </row>
    <row r="61" spans="2:10" x14ac:dyDescent="0.25">
      <c r="B61" s="7"/>
      <c r="C61" s="2"/>
      <c r="D61" s="8"/>
      <c r="J61" s="20"/>
    </row>
    <row r="62" spans="2:10" x14ac:dyDescent="0.25">
      <c r="B62" s="7" t="s">
        <v>141</v>
      </c>
      <c r="C62" s="2">
        <v>0.6</v>
      </c>
      <c r="D62" s="8" t="s">
        <v>35</v>
      </c>
      <c r="J62" s="20"/>
    </row>
    <row r="63" spans="2:10" x14ac:dyDescent="0.25">
      <c r="B63" s="7"/>
      <c r="C63" s="2"/>
      <c r="D63" s="8"/>
      <c r="J63" s="20"/>
    </row>
    <row r="64" spans="2:10" x14ac:dyDescent="0.25">
      <c r="B64" s="7" t="s">
        <v>142</v>
      </c>
      <c r="C64" s="2">
        <v>9.8100000000000007E-2</v>
      </c>
      <c r="D64" s="8" t="s">
        <v>35</v>
      </c>
    </row>
    <row r="65" spans="2:4" x14ac:dyDescent="0.25">
      <c r="B65" s="7"/>
      <c r="C65" s="2"/>
      <c r="D65" s="8"/>
    </row>
    <row r="66" spans="2:4" x14ac:dyDescent="0.25">
      <c r="B66" s="12" t="s">
        <v>143</v>
      </c>
      <c r="C66" s="2"/>
      <c r="D66" s="8"/>
    </row>
    <row r="67" spans="2:4" x14ac:dyDescent="0.25">
      <c r="B67" s="7"/>
      <c r="C67" s="2"/>
      <c r="D67" s="8"/>
    </row>
    <row r="68" spans="2:4" x14ac:dyDescent="0.25">
      <c r="B68" s="7" t="s">
        <v>144</v>
      </c>
      <c r="C68" s="2">
        <v>4.8</v>
      </c>
      <c r="D68" s="8"/>
    </row>
    <row r="69" spans="2:4" x14ac:dyDescent="0.25">
      <c r="B69" s="7"/>
      <c r="C69" s="2"/>
      <c r="D69" s="8"/>
    </row>
    <row r="70" spans="2:4" x14ac:dyDescent="0.25">
      <c r="B70" s="7" t="s">
        <v>145</v>
      </c>
      <c r="C70" s="2">
        <v>0.92500000000000004</v>
      </c>
      <c r="D70" s="8"/>
    </row>
    <row r="71" spans="2:4" x14ac:dyDescent="0.25">
      <c r="B71" s="7"/>
      <c r="C71" s="2"/>
      <c r="D71" s="8"/>
    </row>
    <row r="72" spans="2:4" x14ac:dyDescent="0.25">
      <c r="B72" s="7" t="s">
        <v>146</v>
      </c>
      <c r="C72" s="2">
        <f>C8</f>
        <v>31.769859553384062</v>
      </c>
      <c r="D72" s="8" t="s">
        <v>30</v>
      </c>
    </row>
    <row r="73" spans="2:4" x14ac:dyDescent="0.25">
      <c r="B73" s="7"/>
      <c r="C73" s="2"/>
      <c r="D73" s="8"/>
    </row>
    <row r="74" spans="2:4" x14ac:dyDescent="0.25">
      <c r="B74" s="7" t="s">
        <v>147</v>
      </c>
      <c r="C74" s="2">
        <v>2</v>
      </c>
      <c r="D74" s="8"/>
    </row>
    <row r="75" spans="2:4" x14ac:dyDescent="0.25">
      <c r="B75" s="7"/>
      <c r="C75" s="2"/>
      <c r="D75" s="8"/>
    </row>
    <row r="76" spans="2:4" x14ac:dyDescent="0.25">
      <c r="B76" s="7" t="s">
        <v>148</v>
      </c>
      <c r="C76" s="2">
        <v>1</v>
      </c>
      <c r="D76" s="8"/>
    </row>
    <row r="77" spans="2:4" x14ac:dyDescent="0.25">
      <c r="B77" s="7"/>
      <c r="C77" s="2"/>
      <c r="D77" s="8"/>
    </row>
    <row r="78" spans="2:4" x14ac:dyDescent="0.25">
      <c r="B78" s="7" t="s">
        <v>149</v>
      </c>
      <c r="C78" s="2">
        <v>2</v>
      </c>
      <c r="D78" s="8"/>
    </row>
    <row r="79" spans="2:4" x14ac:dyDescent="0.25">
      <c r="B79" s="7"/>
      <c r="C79" s="2"/>
      <c r="D79" s="8"/>
    </row>
    <row r="80" spans="2:4" x14ac:dyDescent="0.25">
      <c r="B80" s="7" t="s">
        <v>150</v>
      </c>
      <c r="C80" s="2">
        <v>2</v>
      </c>
      <c r="D80" s="8"/>
    </row>
    <row r="81" spans="2:4" x14ac:dyDescent="0.25">
      <c r="B81" s="7"/>
      <c r="C81" s="2"/>
      <c r="D81" s="8"/>
    </row>
    <row r="82" spans="2:4" x14ac:dyDescent="0.25">
      <c r="B82" s="7" t="s">
        <v>151</v>
      </c>
      <c r="C82" s="2">
        <v>0.03</v>
      </c>
      <c r="D82" s="8"/>
    </row>
    <row r="83" spans="2:4" x14ac:dyDescent="0.25">
      <c r="B83" s="7"/>
      <c r="C83" s="2"/>
      <c r="D83" s="8"/>
    </row>
    <row r="84" spans="2:4" x14ac:dyDescent="0.25">
      <c r="B84" s="7" t="s">
        <v>152</v>
      </c>
      <c r="C84" s="2">
        <v>2.5000000000000001E-2</v>
      </c>
      <c r="D84" s="8"/>
    </row>
    <row r="85" spans="2:4" x14ac:dyDescent="0.25">
      <c r="B85" s="7"/>
      <c r="C85" s="2"/>
      <c r="D85" s="8"/>
    </row>
    <row r="86" spans="2:4" x14ac:dyDescent="0.25">
      <c r="B86" s="7" t="s">
        <v>153</v>
      </c>
      <c r="C86" s="2">
        <v>2</v>
      </c>
      <c r="D86" s="8"/>
    </row>
    <row r="87" spans="2:4" x14ac:dyDescent="0.25">
      <c r="B87" s="7"/>
      <c r="C87" s="2"/>
      <c r="D87" s="8"/>
    </row>
    <row r="88" spans="2:4" x14ac:dyDescent="0.25">
      <c r="B88" s="7" t="s">
        <v>154</v>
      </c>
      <c r="C88" s="2">
        <v>0.15</v>
      </c>
      <c r="D88" s="8"/>
    </row>
    <row r="89" spans="2:4" ht="15.75" thickBot="1" x14ac:dyDescent="0.3">
      <c r="B89" s="9"/>
      <c r="C89" s="10"/>
      <c r="D89" s="1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A198-AA13-4FCD-9F07-4705AEB527EC}">
  <sheetPr>
    <tabColor theme="9"/>
  </sheetPr>
  <dimension ref="B1:P19"/>
  <sheetViews>
    <sheetView workbookViewId="0">
      <selection activeCell="B6" sqref="B6"/>
    </sheetView>
  </sheetViews>
  <sheetFormatPr defaultRowHeight="15" x14ac:dyDescent="0.25"/>
  <cols>
    <col min="2" max="2" width="26.85546875" customWidth="1"/>
    <col min="4" max="4" width="11.5703125" customWidth="1"/>
    <col min="6" max="6" width="10.5703125" customWidth="1"/>
    <col min="7" max="7" width="13.5703125" customWidth="1"/>
    <col min="8" max="8" width="8.7109375" customWidth="1"/>
    <col min="10" max="10" width="22.85546875" customWidth="1"/>
    <col min="14" max="14" width="14.42578125" customWidth="1"/>
    <col min="16" max="16" width="16.42578125" customWidth="1"/>
  </cols>
  <sheetData>
    <row r="1" spans="2:16" ht="15.75" thickBot="1" x14ac:dyDescent="0.3"/>
    <row r="2" spans="2:16" x14ac:dyDescent="0.25">
      <c r="B2" s="5" t="s">
        <v>48</v>
      </c>
      <c r="C2" s="4"/>
      <c r="D2" s="6"/>
      <c r="F2" s="5" t="s">
        <v>155</v>
      </c>
      <c r="G2" s="4"/>
      <c r="H2" s="6"/>
      <c r="J2" s="5" t="s">
        <v>156</v>
      </c>
      <c r="K2" s="4"/>
      <c r="L2" s="6"/>
      <c r="N2" s="5" t="s">
        <v>157</v>
      </c>
      <c r="O2" s="4"/>
      <c r="P2" s="6"/>
    </row>
    <row r="3" spans="2:16" x14ac:dyDescent="0.25">
      <c r="B3" s="7"/>
      <c r="D3" s="8"/>
      <c r="F3" s="7"/>
      <c r="H3" s="8"/>
      <c r="J3" s="7"/>
      <c r="L3" s="8"/>
      <c r="N3" s="12"/>
      <c r="P3" s="8"/>
    </row>
    <row r="4" spans="2:16" x14ac:dyDescent="0.25">
      <c r="B4" s="7" t="s">
        <v>158</v>
      </c>
      <c r="C4" s="2">
        <v>1.6E-2</v>
      </c>
      <c r="D4" s="8" t="s">
        <v>28</v>
      </c>
      <c r="F4" s="12" t="s">
        <v>159</v>
      </c>
      <c r="G4" t="s">
        <v>160</v>
      </c>
      <c r="H4" s="8"/>
      <c r="J4" s="7" t="s">
        <v>161</v>
      </c>
      <c r="K4">
        <f>C6/C8</f>
        <v>4</v>
      </c>
      <c r="L4" s="8" t="s">
        <v>162</v>
      </c>
      <c r="N4" s="12" t="s">
        <v>163</v>
      </c>
      <c r="O4" s="3" t="s">
        <v>164</v>
      </c>
      <c r="P4" s="15" t="s">
        <v>165</v>
      </c>
    </row>
    <row r="5" spans="2:16" x14ac:dyDescent="0.25">
      <c r="B5" s="7"/>
      <c r="D5" s="8"/>
      <c r="F5" s="7"/>
      <c r="H5" s="8"/>
      <c r="J5" s="7"/>
      <c r="L5" s="8"/>
      <c r="N5" s="7"/>
      <c r="P5" s="8"/>
    </row>
    <row r="6" spans="2:16" x14ac:dyDescent="0.25">
      <c r="B6" s="7" t="s">
        <v>166</v>
      </c>
      <c r="C6" s="2">
        <v>4000</v>
      </c>
      <c r="D6" s="8" t="s">
        <v>167</v>
      </c>
      <c r="F6" s="7" t="s">
        <v>108</v>
      </c>
      <c r="G6" s="17">
        <f>C4</f>
        <v>1.6E-2</v>
      </c>
      <c r="H6" s="8" t="s">
        <v>28</v>
      </c>
      <c r="J6" s="7" t="s">
        <v>168</v>
      </c>
      <c r="K6">
        <v>250</v>
      </c>
      <c r="L6" s="8" t="s">
        <v>169</v>
      </c>
      <c r="N6" s="7" t="s">
        <v>170</v>
      </c>
      <c r="O6">
        <f>1000*P6/C12</f>
        <v>6.0432737251883406</v>
      </c>
      <c r="P6" s="8">
        <f>G14*'Airship Calculations'!C50</f>
        <v>1.6014675371749101</v>
      </c>
    </row>
    <row r="7" spans="2:16" x14ac:dyDescent="0.25">
      <c r="B7" s="7"/>
      <c r="D7" s="8"/>
      <c r="F7" s="7"/>
      <c r="H7" s="8"/>
      <c r="J7" s="7"/>
      <c r="L7" s="8"/>
      <c r="N7" s="7"/>
      <c r="P7" s="8"/>
    </row>
    <row r="8" spans="2:16" x14ac:dyDescent="0.25">
      <c r="B8" s="7" t="s">
        <v>171</v>
      </c>
      <c r="C8" s="2">
        <v>1000</v>
      </c>
      <c r="D8" s="8" t="s">
        <v>169</v>
      </c>
      <c r="F8" s="7" t="s">
        <v>172</v>
      </c>
      <c r="G8">
        <f>'Airship Calculations'!S7</f>
        <v>0.34796989481247953</v>
      </c>
      <c r="H8" s="8" t="s">
        <v>28</v>
      </c>
      <c r="J8" s="7" t="s">
        <v>173</v>
      </c>
      <c r="K8">
        <f>'Airship Calculations'!G7*'Airship Calculations'!G10/4</f>
        <v>6.5117572595060347</v>
      </c>
      <c r="L8" s="8" t="s">
        <v>9</v>
      </c>
      <c r="N8" s="7" t="s">
        <v>174</v>
      </c>
      <c r="O8">
        <f>1000*P8/C12</f>
        <v>0.56603773584905659</v>
      </c>
      <c r="P8" s="8">
        <f>C10*C16</f>
        <v>0.15</v>
      </c>
    </row>
    <row r="9" spans="2:16" x14ac:dyDescent="0.25">
      <c r="B9" s="7"/>
      <c r="D9" s="8"/>
      <c r="F9" s="7"/>
      <c r="H9" s="8"/>
      <c r="J9" s="7"/>
      <c r="L9" s="8"/>
      <c r="N9" s="7"/>
      <c r="P9" s="8"/>
    </row>
    <row r="10" spans="2:16" x14ac:dyDescent="0.25">
      <c r="B10" s="7" t="s">
        <v>175</v>
      </c>
      <c r="C10" s="2">
        <v>0.6</v>
      </c>
      <c r="D10" s="8" t="s">
        <v>28</v>
      </c>
      <c r="F10" s="7" t="s">
        <v>176</v>
      </c>
      <c r="G10">
        <f>G6+G8</f>
        <v>0.36396989481247954</v>
      </c>
      <c r="H10" s="8" t="s">
        <v>28</v>
      </c>
      <c r="J10" s="7" t="s">
        <v>177</v>
      </c>
      <c r="K10">
        <f>C16*K4*C8*K8/24</f>
        <v>271.3232191460848</v>
      </c>
      <c r="L10" s="8" t="s">
        <v>24</v>
      </c>
      <c r="N10" s="7" t="s">
        <v>178</v>
      </c>
      <c r="O10">
        <f>SUM(O6:O8)</f>
        <v>6.6093114610373975</v>
      </c>
      <c r="P10" s="8"/>
    </row>
    <row r="11" spans="2:16" x14ac:dyDescent="0.25">
      <c r="B11" s="7"/>
      <c r="D11" s="8"/>
      <c r="F11" s="7"/>
      <c r="H11" s="8"/>
      <c r="J11" s="7"/>
      <c r="L11" s="8"/>
      <c r="N11" s="7"/>
      <c r="P11" s="8"/>
    </row>
    <row r="12" spans="2:16" x14ac:dyDescent="0.25">
      <c r="B12" s="7" t="s">
        <v>179</v>
      </c>
      <c r="C12" s="2">
        <v>265</v>
      </c>
      <c r="D12" s="8" t="s">
        <v>180</v>
      </c>
      <c r="F12" s="7" t="s">
        <v>181</v>
      </c>
      <c r="G12">
        <f>0.1*SUM(G6:G10)</f>
        <v>7.2793978962495912E-2</v>
      </c>
      <c r="H12" s="8" t="s">
        <v>28</v>
      </c>
      <c r="J12" s="7" t="s">
        <v>182</v>
      </c>
      <c r="K12">
        <f>C16*'Airship Calculations'!C50*K4*C8*K8/24</f>
        <v>542.64643829216959</v>
      </c>
      <c r="L12" s="8" t="s">
        <v>183</v>
      </c>
      <c r="N12" s="7" t="s">
        <v>184</v>
      </c>
      <c r="O12">
        <f>K10/C14</f>
        <v>1.3566160957304241</v>
      </c>
      <c r="P12" s="8">
        <f>-K12/1000</f>
        <v>-0.54264643829216963</v>
      </c>
    </row>
    <row r="13" spans="2:16" ht="15.75" thickBot="1" x14ac:dyDescent="0.3">
      <c r="B13" s="7"/>
      <c r="D13" s="8"/>
      <c r="F13" s="7"/>
      <c r="H13" s="8"/>
      <c r="J13" s="9"/>
      <c r="K13" s="10"/>
      <c r="L13" s="11"/>
      <c r="N13" s="7"/>
      <c r="P13" s="8"/>
    </row>
    <row r="14" spans="2:16" x14ac:dyDescent="0.25">
      <c r="B14" s="7" t="s">
        <v>185</v>
      </c>
      <c r="C14" s="2">
        <v>200</v>
      </c>
      <c r="D14" s="8" t="s">
        <v>186</v>
      </c>
      <c r="F14" s="12" t="s">
        <v>187</v>
      </c>
      <c r="G14">
        <f>SUM(G6:G12)</f>
        <v>0.80073376858745504</v>
      </c>
      <c r="H14" s="8" t="s">
        <v>28</v>
      </c>
      <c r="N14" s="7" t="s">
        <v>139</v>
      </c>
      <c r="O14">
        <f>SUM(O10:O12)</f>
        <v>7.9659275567678218</v>
      </c>
      <c r="P14" s="8">
        <f>SUM(P6:P12)</f>
        <v>1.2088210988827404</v>
      </c>
    </row>
    <row r="15" spans="2:16" ht="15.75" thickBot="1" x14ac:dyDescent="0.3">
      <c r="B15" s="7"/>
      <c r="C15" s="2"/>
      <c r="D15" s="8"/>
      <c r="F15" s="7"/>
      <c r="H15" s="8"/>
      <c r="N15" s="9"/>
      <c r="O15" s="10"/>
      <c r="P15" s="11"/>
    </row>
    <row r="16" spans="2:16" x14ac:dyDescent="0.25">
      <c r="B16" s="7" t="s">
        <v>188</v>
      </c>
      <c r="C16" s="2">
        <v>0.25</v>
      </c>
      <c r="D16" s="8"/>
      <c r="F16" s="7" t="s">
        <v>138</v>
      </c>
      <c r="G16" s="17">
        <f>C10</f>
        <v>0.6</v>
      </c>
      <c r="H16" s="8" t="s">
        <v>28</v>
      </c>
    </row>
    <row r="17" spans="2:8" ht="15.75" thickBot="1" x14ac:dyDescent="0.3">
      <c r="B17" s="9"/>
      <c r="C17" s="10"/>
      <c r="D17" s="11"/>
      <c r="F17" s="7"/>
      <c r="H17" s="8"/>
    </row>
    <row r="18" spans="2:8" x14ac:dyDescent="0.25">
      <c r="F18" s="12" t="s">
        <v>139</v>
      </c>
      <c r="G18">
        <f>SUM(G14:G16)</f>
        <v>1.400733768587455</v>
      </c>
      <c r="H18" s="8" t="s">
        <v>28</v>
      </c>
    </row>
    <row r="19" spans="2:8" ht="15.75" thickBot="1" x14ac:dyDescent="0.3">
      <c r="F19" s="9"/>
      <c r="G19" s="10"/>
      <c r="H19" s="11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46a204-64bf-4a46-a5a9-60c316c3dad6" xsi:nil="true"/>
    <lcf76f155ced4ddcb4097134ff3c332f xmlns="af7df795-f7fd-4c93-a4e2-f028fc2ba97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DB7EE3A032544AB842FFD8AFE6738" ma:contentTypeVersion="11" ma:contentTypeDescription="Create a new document." ma:contentTypeScope="" ma:versionID="13805df2fdd97d6b0c59a939c1ccd1e8">
  <xsd:schema xmlns:xsd="http://www.w3.org/2001/XMLSchema" xmlns:xs="http://www.w3.org/2001/XMLSchema" xmlns:p="http://schemas.microsoft.com/office/2006/metadata/properties" xmlns:ns2="af7df795-f7fd-4c93-a4e2-f028fc2ba973" xmlns:ns3="ee46a204-64bf-4a46-a5a9-60c316c3dad6" targetNamespace="http://schemas.microsoft.com/office/2006/metadata/properties" ma:root="true" ma:fieldsID="b1894ede28fd8360423599e7ec09977b" ns2:_="" ns3:_="">
    <xsd:import namespace="af7df795-f7fd-4c93-a4e2-f028fc2ba973"/>
    <xsd:import namespace="ee46a204-64bf-4a46-a5a9-60c316c3d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f795-f7fd-4c93-a4e2-f028fc2ba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46a204-64bf-4a46-a5a9-60c316c3da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ce2ed5-9fc0-4326-a208-d46987d7c992}" ma:internalName="TaxCatchAll" ma:showField="CatchAllData" ma:web="ee46a204-64bf-4a46-a5a9-60c316c3d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2AD00-3C07-4A7E-BAF9-A12621ED83A5}">
  <ds:schemaRefs>
    <ds:schemaRef ds:uri="af7df795-f7fd-4c93-a4e2-f028fc2ba973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e46a204-64bf-4a46-a5a9-60c316c3dad6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A76B97-1A70-4D51-98A8-2AECE7EAF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f795-f7fd-4c93-a4e2-f028fc2ba973"/>
    <ds:schemaRef ds:uri="ee46a204-64bf-4a46-a5a9-60c316c3d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B662B5-4065-49E3-8B79-5B4783D5A7A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Airship Calculations</vt:lpstr>
      <vt:lpstr>Power and Electronics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Jenner Johnson</dc:creator>
  <cp:keywords/>
  <dc:description/>
  <cp:lastModifiedBy>Jenner Johnson</cp:lastModifiedBy>
  <cp:revision/>
  <dcterms:created xsi:type="dcterms:W3CDTF">2024-11-05T23:06:36Z</dcterms:created>
  <dcterms:modified xsi:type="dcterms:W3CDTF">2025-03-08T01:14:59Z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0x0101001BDDB7EE3A032544AB842FFD8AFE6738</vt:lpwstr>
  </property>
  <property fmtid="{D5CDD505-2E9C-101B-9397-08002B2CF9AE}" pid="3" name="MediaServiceImageTags">
    <vt:lpwstr/>
  </property>
</Properties>
</file>