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2" windowWidth="20112" windowHeight="7932" activeTab="6"/>
  </bookViews>
  <sheets>
    <sheet name="Sheet1" sheetId="1" r:id="rId1"/>
    <sheet name="Sheet2" sheetId="2" r:id="rId2"/>
    <sheet name="Sheet2 (2)" sheetId="4" r:id="rId3"/>
    <sheet name="2006.16" sheetId="5" r:id="rId4"/>
    <sheet name="2011.18" sheetId="6" r:id="rId5"/>
    <sheet name="2014.18" sheetId="7" r:id="rId6"/>
    <sheet name="2012.17" sheetId="8" r:id="rId7"/>
  </sheets>
  <definedNames>
    <definedName name="solver_adj" localSheetId="3" hidden="1">'2006.16'!$C$4</definedName>
    <definedName name="solver_adj" localSheetId="6" hidden="1">'2012.17'!$C$4</definedName>
    <definedName name="solver_cvg" localSheetId="3" hidden="1">0.0001</definedName>
    <definedName name="solver_cvg" localSheetId="6" hidden="1">0.0001</definedName>
    <definedName name="solver_drv" localSheetId="3" hidden="1">1</definedName>
    <definedName name="solver_drv" localSheetId="6" hidden="1">1</definedName>
    <definedName name="solver_eng" localSheetId="3" hidden="1">1</definedName>
    <definedName name="solver_eng" localSheetId="6" hidden="1">1</definedName>
    <definedName name="solver_est" localSheetId="3" hidden="1">1</definedName>
    <definedName name="solver_est" localSheetId="6" hidden="1">1</definedName>
    <definedName name="solver_itr" localSheetId="3" hidden="1">2147483647</definedName>
    <definedName name="solver_itr" localSheetId="6" hidden="1">2147483647</definedName>
    <definedName name="solver_mip" localSheetId="3" hidden="1">2147483647</definedName>
    <definedName name="solver_mip" localSheetId="6" hidden="1">2147483647</definedName>
    <definedName name="solver_mni" localSheetId="3" hidden="1">30</definedName>
    <definedName name="solver_mni" localSheetId="6" hidden="1">30</definedName>
    <definedName name="solver_mrt" localSheetId="3" hidden="1">0.075</definedName>
    <definedName name="solver_mrt" localSheetId="6" hidden="1">0.075</definedName>
    <definedName name="solver_msl" localSheetId="3" hidden="1">2</definedName>
    <definedName name="solver_msl" localSheetId="6" hidden="1">2</definedName>
    <definedName name="solver_neg" localSheetId="3" hidden="1">1</definedName>
    <definedName name="solver_neg" localSheetId="6" hidden="1">1</definedName>
    <definedName name="solver_nod" localSheetId="3" hidden="1">2147483647</definedName>
    <definedName name="solver_nod" localSheetId="6" hidden="1">2147483647</definedName>
    <definedName name="solver_num" localSheetId="3" hidden="1">0</definedName>
    <definedName name="solver_num" localSheetId="6" hidden="1">0</definedName>
    <definedName name="solver_nwt" localSheetId="3" hidden="1">1</definedName>
    <definedName name="solver_nwt" localSheetId="6" hidden="1">1</definedName>
    <definedName name="solver_opt" localSheetId="3" hidden="1">'2006.16'!$C$22</definedName>
    <definedName name="solver_opt" localSheetId="6" hidden="1">'2012.17'!$B$24</definedName>
    <definedName name="solver_pre" localSheetId="3" hidden="1">0.000001</definedName>
    <definedName name="solver_pre" localSheetId="6" hidden="1">0.000001</definedName>
    <definedName name="solver_rbv" localSheetId="3" hidden="1">1</definedName>
    <definedName name="solver_rbv" localSheetId="6" hidden="1">1</definedName>
    <definedName name="solver_rlx" localSheetId="3" hidden="1">2</definedName>
    <definedName name="solver_rlx" localSheetId="6" hidden="1">2</definedName>
    <definedName name="solver_rsd" localSheetId="3" hidden="1">0</definedName>
    <definedName name="solver_rsd" localSheetId="6" hidden="1">0</definedName>
    <definedName name="solver_scl" localSheetId="3" hidden="1">1</definedName>
    <definedName name="solver_scl" localSheetId="6" hidden="1">1</definedName>
    <definedName name="solver_sho" localSheetId="3" hidden="1">2</definedName>
    <definedName name="solver_sho" localSheetId="6" hidden="1">2</definedName>
    <definedName name="solver_ssz" localSheetId="3" hidden="1">100</definedName>
    <definedName name="solver_ssz" localSheetId="6" hidden="1">100</definedName>
    <definedName name="solver_tim" localSheetId="3" hidden="1">2147483647</definedName>
    <definedName name="solver_tim" localSheetId="6" hidden="1">2147483647</definedName>
    <definedName name="solver_tol" localSheetId="3" hidden="1">0.01</definedName>
    <definedName name="solver_tol" localSheetId="6" hidden="1">0.01</definedName>
    <definedName name="solver_typ" localSheetId="3" hidden="1">3</definedName>
    <definedName name="solver_typ" localSheetId="6" hidden="1">3</definedName>
    <definedName name="solver_val" localSheetId="3" hidden="1">0.12</definedName>
    <definedName name="solver_val" localSheetId="6" hidden="1">0</definedName>
    <definedName name="solver_ver" localSheetId="3" hidden="1">3</definedName>
    <definedName name="solver_ver" localSheetId="6" hidden="1">3</definedName>
  </definedNames>
  <calcPr calcId="145621"/>
</workbook>
</file>

<file path=xl/calcChain.xml><?xml version="1.0" encoding="utf-8"?>
<calcChain xmlns="http://schemas.openxmlformats.org/spreadsheetml/2006/main">
  <c r="G14" i="8" l="1"/>
  <c r="C41" i="8"/>
  <c r="D40" i="6"/>
  <c r="D33" i="6"/>
  <c r="D34" i="6"/>
  <c r="D30" i="6"/>
  <c r="C40" i="6"/>
  <c r="D7" i="6"/>
  <c r="D9" i="6"/>
  <c r="D32" i="6"/>
  <c r="D28" i="6"/>
  <c r="C29" i="6"/>
  <c r="C33" i="6"/>
  <c r="E32" i="6"/>
  <c r="C37" i="8"/>
  <c r="E28" i="6" l="1"/>
  <c r="E30" i="6" s="1"/>
  <c r="F28" i="6"/>
  <c r="F30" i="6" s="1"/>
  <c r="G5" i="8"/>
  <c r="K41" i="8"/>
  <c r="J41" i="8"/>
  <c r="I41" i="8"/>
  <c r="H41" i="8"/>
  <c r="G41" i="8"/>
  <c r="F41" i="8"/>
  <c r="H38" i="8"/>
  <c r="J37" i="8"/>
  <c r="J38" i="8" s="1"/>
  <c r="I37" i="8"/>
  <c r="I38" i="8" s="1"/>
  <c r="H37" i="8"/>
  <c r="F37" i="8"/>
  <c r="F38" i="8" s="1"/>
  <c r="C38" i="8"/>
  <c r="I34" i="8"/>
  <c r="E37" i="8"/>
  <c r="E38" i="8" s="1"/>
  <c r="K33" i="8"/>
  <c r="G33" i="8"/>
  <c r="G37" i="8" s="1"/>
  <c r="G38" i="8" s="1"/>
  <c r="K32" i="8"/>
  <c r="K37" i="8" s="1"/>
  <c r="K38" i="8" s="1"/>
  <c r="I31" i="8"/>
  <c r="D37" i="8"/>
  <c r="C9" i="8"/>
  <c r="D9" i="8" s="1"/>
  <c r="E41" i="8" l="1"/>
  <c r="D38" i="8"/>
  <c r="B38" i="8" s="1"/>
  <c r="D41" i="8"/>
  <c r="B37" i="8"/>
  <c r="C11" i="8"/>
  <c r="C12" i="8" s="1"/>
  <c r="K18" i="8"/>
  <c r="J18" i="8"/>
  <c r="I18" i="8"/>
  <c r="H18" i="8"/>
  <c r="G18" i="8"/>
  <c r="F18" i="8"/>
  <c r="E18" i="8"/>
  <c r="I8" i="8"/>
  <c r="E8" i="8"/>
  <c r="E9" i="8" s="1"/>
  <c r="F9" i="8" s="1"/>
  <c r="G9" i="8" s="1"/>
  <c r="H9" i="8" s="1"/>
  <c r="D6" i="8"/>
  <c r="D12" i="8" s="1"/>
  <c r="D3" i="8"/>
  <c r="E3" i="8" s="1"/>
  <c r="F3" i="8" s="1"/>
  <c r="G3" i="8" s="1"/>
  <c r="H3" i="8" s="1"/>
  <c r="I3" i="8" s="1"/>
  <c r="J3" i="8" s="1"/>
  <c r="K3" i="8" s="1"/>
  <c r="I9" i="8" l="1"/>
  <c r="J9" i="8" s="1"/>
  <c r="K9" i="8" s="1"/>
  <c r="D18" i="8"/>
  <c r="D11" i="8"/>
  <c r="E11" i="8" s="1"/>
  <c r="F11" i="8" s="1"/>
  <c r="G11" i="8" s="1"/>
  <c r="F15" i="6"/>
  <c r="E15" i="6"/>
  <c r="F13" i="6" s="1"/>
  <c r="E13" i="6"/>
  <c r="D13" i="6"/>
  <c r="D14" i="6"/>
  <c r="E13" i="7"/>
  <c r="E14" i="7" s="1"/>
  <c r="D13" i="7"/>
  <c r="D14" i="7" s="1"/>
  <c r="D15" i="6"/>
  <c r="D11" i="7"/>
  <c r="D15" i="7" s="1"/>
  <c r="E5" i="7" s="1"/>
  <c r="D5" i="7"/>
  <c r="C11" i="7"/>
  <c r="C15" i="7" s="1"/>
  <c r="C6" i="7"/>
  <c r="E18" i="7"/>
  <c r="D18" i="7"/>
  <c r="E15" i="7"/>
  <c r="C13" i="8" l="1"/>
  <c r="C15" i="8"/>
  <c r="D13" i="8" s="1"/>
  <c r="D15" i="8"/>
  <c r="E13" i="8" s="1"/>
  <c r="C18" i="8"/>
  <c r="H11" i="8"/>
  <c r="E19" i="7"/>
  <c r="E20" i="7" s="1"/>
  <c r="C12" i="7"/>
  <c r="C18" i="7" s="1"/>
  <c r="C13" i="7"/>
  <c r="C14" i="7" s="1"/>
  <c r="C19" i="7" s="1"/>
  <c r="D14" i="8" l="1"/>
  <c r="D19" i="8" s="1"/>
  <c r="D20" i="8" s="1"/>
  <c r="D24" i="8" s="1"/>
  <c r="C14" i="8"/>
  <c r="C19" i="8" s="1"/>
  <c r="C20" i="8" s="1"/>
  <c r="C24" i="8" s="1"/>
  <c r="E15" i="8"/>
  <c r="F13" i="8" s="1"/>
  <c r="I11" i="8"/>
  <c r="D19" i="7"/>
  <c r="D20" i="7" s="1"/>
  <c r="C20" i="7"/>
  <c r="E9" i="6"/>
  <c r="F13" i="2"/>
  <c r="E13" i="2"/>
  <c r="D13" i="2"/>
  <c r="D14" i="2"/>
  <c r="C6" i="6"/>
  <c r="F14" i="2"/>
  <c r="C13" i="2"/>
  <c r="E14" i="2"/>
  <c r="C14" i="2"/>
  <c r="C12" i="6"/>
  <c r="D5" i="6"/>
  <c r="C10" i="6"/>
  <c r="F18" i="6"/>
  <c r="E18" i="6"/>
  <c r="D18" i="6"/>
  <c r="C13" i="6"/>
  <c r="F15" i="8" l="1"/>
  <c r="G13" i="8" s="1"/>
  <c r="E14" i="8"/>
  <c r="E19" i="8" s="1"/>
  <c r="E20" i="8" s="1"/>
  <c r="E24" i="8" s="1"/>
  <c r="J11" i="8"/>
  <c r="C22" i="7"/>
  <c r="C15" i="6"/>
  <c r="F5" i="6"/>
  <c r="C18" i="6"/>
  <c r="E5" i="6"/>
  <c r="C11" i="5"/>
  <c r="C13" i="5" s="1"/>
  <c r="D18" i="5"/>
  <c r="D15" i="5"/>
  <c r="G5" i="5"/>
  <c r="F14" i="8" l="1"/>
  <c r="F19" i="8" s="1"/>
  <c r="F20" i="8" s="1"/>
  <c r="F24" i="8" s="1"/>
  <c r="K5" i="8"/>
  <c r="F7" i="6"/>
  <c r="F14" i="6" s="1"/>
  <c r="E7" i="6"/>
  <c r="E14" i="6" s="1"/>
  <c r="C14" i="6"/>
  <c r="C19" i="6" s="1"/>
  <c r="C20" i="6" s="1"/>
  <c r="D19" i="6"/>
  <c r="D20" i="6" s="1"/>
  <c r="C9" i="4"/>
  <c r="C11" i="4" s="1"/>
  <c r="C13" i="4" s="1"/>
  <c r="G5" i="4"/>
  <c r="C6" i="4"/>
  <c r="D18" i="4"/>
  <c r="D15" i="4"/>
  <c r="G15" i="8" l="1"/>
  <c r="H13" i="8" s="1"/>
  <c r="H15" i="8"/>
  <c r="I13" i="8" s="1"/>
  <c r="F19" i="6"/>
  <c r="F20" i="6" s="1"/>
  <c r="E19" i="6"/>
  <c r="E20" i="6" s="1"/>
  <c r="C15" i="5"/>
  <c r="C14" i="5" s="1"/>
  <c r="C19" i="5" s="1"/>
  <c r="C18" i="5"/>
  <c r="C12" i="4"/>
  <c r="C18" i="4" s="1"/>
  <c r="C15" i="4"/>
  <c r="G5" i="2"/>
  <c r="G13" i="2" s="1"/>
  <c r="G14" i="2" s="1"/>
  <c r="G18" i="2"/>
  <c r="F18" i="2"/>
  <c r="E18" i="2"/>
  <c r="F11" i="2"/>
  <c r="E11" i="2"/>
  <c r="E9" i="2"/>
  <c r="F9" i="2" s="1"/>
  <c r="D9" i="2"/>
  <c r="G15" i="2"/>
  <c r="E15" i="2"/>
  <c r="C12" i="2"/>
  <c r="D18" i="2"/>
  <c r="C18" i="2"/>
  <c r="D11" i="2"/>
  <c r="D15" i="2" s="1"/>
  <c r="C11" i="2"/>
  <c r="C15" i="2" s="1"/>
  <c r="C13" i="1"/>
  <c r="D20" i="1"/>
  <c r="E20" i="1"/>
  <c r="E19" i="1"/>
  <c r="D19" i="1"/>
  <c r="E18" i="1"/>
  <c r="D18" i="1"/>
  <c r="C18" i="1"/>
  <c r="E15" i="1"/>
  <c r="D15" i="1"/>
  <c r="C14" i="1"/>
  <c r="C19" i="1" s="1"/>
  <c r="C20" i="1" s="1"/>
  <c r="C15" i="1"/>
  <c r="D5" i="1" s="1"/>
  <c r="D11" i="1"/>
  <c r="C12" i="1"/>
  <c r="C11" i="1"/>
  <c r="G19" i="8" l="1"/>
  <c r="G20" i="8" s="1"/>
  <c r="G24" i="8" s="1"/>
  <c r="H14" i="8"/>
  <c r="H19" i="8" s="1"/>
  <c r="H20" i="8" s="1"/>
  <c r="H24" i="8" s="1"/>
  <c r="I15" i="8"/>
  <c r="J13" i="8" s="1"/>
  <c r="C22" i="6"/>
  <c r="C20" i="5"/>
  <c r="C14" i="4"/>
  <c r="C19" i="4" s="1"/>
  <c r="D5" i="4"/>
  <c r="D7" i="4" s="1"/>
  <c r="C20" i="4"/>
  <c r="F15" i="2"/>
  <c r="G19" i="2" s="1"/>
  <c r="G20" i="2" s="1"/>
  <c r="E19" i="2"/>
  <c r="E20" i="2" s="1"/>
  <c r="D19" i="2"/>
  <c r="D20" i="2" s="1"/>
  <c r="C19" i="2"/>
  <c r="C20" i="2" s="1"/>
  <c r="C22" i="1"/>
  <c r="D13" i="1"/>
  <c r="D14" i="1" s="1"/>
  <c r="K15" i="8" l="1"/>
  <c r="J15" i="8"/>
  <c r="K13" i="8" s="1"/>
  <c r="I14" i="8"/>
  <c r="I19" i="8" s="1"/>
  <c r="I20" i="8" s="1"/>
  <c r="I24" i="8" s="1"/>
  <c r="D13" i="5"/>
  <c r="D14" i="5" s="1"/>
  <c r="D19" i="5" s="1"/>
  <c r="D20" i="5" s="1"/>
  <c r="C22" i="5" s="1"/>
  <c r="D13" i="4"/>
  <c r="D14" i="4" s="1"/>
  <c r="D19" i="4" s="1"/>
  <c r="D20" i="4" s="1"/>
  <c r="C22" i="4" s="1"/>
  <c r="F19" i="2"/>
  <c r="F20" i="2" s="1"/>
  <c r="C22" i="2"/>
  <c r="E5" i="1"/>
  <c r="E13" i="1" s="1"/>
  <c r="E14" i="1" s="1"/>
  <c r="J14" i="8" l="1"/>
  <c r="J19" i="8" s="1"/>
  <c r="J20" i="8" s="1"/>
  <c r="J24" i="8" s="1"/>
  <c r="K14" i="8"/>
  <c r="K19" i="8" s="1"/>
  <c r="K20" i="8" s="1"/>
  <c r="K24" i="8" s="1"/>
  <c r="B24" i="8" l="1"/>
  <c r="C22" i="8"/>
</calcChain>
</file>

<file path=xl/sharedStrings.xml><?xml version="1.0" encoding="utf-8"?>
<sst xmlns="http://schemas.openxmlformats.org/spreadsheetml/2006/main" count="139" uniqueCount="33">
  <si>
    <t>Premium</t>
  </si>
  <si>
    <t>Investment Income</t>
  </si>
  <si>
    <t>Expense</t>
  </si>
  <si>
    <t>Tax</t>
  </si>
  <si>
    <t>Loss Paid</t>
  </si>
  <si>
    <t>Loss Reserves</t>
  </si>
  <si>
    <t>UEPR</t>
  </si>
  <si>
    <t>Required Surplus</t>
  </si>
  <si>
    <t>Contribution by Equityholder</t>
  </si>
  <si>
    <t>Total Assets (pre distribution)</t>
  </si>
  <si>
    <t>Distribution to Equityholder</t>
  </si>
  <si>
    <t>Total Assets (post distribution)</t>
  </si>
  <si>
    <t>Contributions</t>
  </si>
  <si>
    <t>Payments</t>
  </si>
  <si>
    <t>Net CF</t>
  </si>
  <si>
    <t>IRR</t>
  </si>
  <si>
    <t>TIA Example</t>
  </si>
  <si>
    <t>Time</t>
  </si>
  <si>
    <t>Fixed</t>
  </si>
  <si>
    <t>Variable</t>
  </si>
  <si>
    <t>Loss</t>
  </si>
  <si>
    <t>Capital</t>
  </si>
  <si>
    <t>Inv</t>
  </si>
  <si>
    <t>Reserves</t>
  </si>
  <si>
    <t>PV</t>
  </si>
  <si>
    <t>Cash flow</t>
  </si>
  <si>
    <t>P</t>
  </si>
  <si>
    <t>-0.5P</t>
  </si>
  <si>
    <t>-0.6P</t>
  </si>
  <si>
    <t>-0.1P-50</t>
  </si>
  <si>
    <t>-0.2P</t>
  </si>
  <si>
    <t>-0.35P</t>
  </si>
  <si>
    <t>0.35P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</si>
</sst>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/>
    <xf numFmtId="0" fontId="2" fillId="0" borderId="0" xfId="0" applyFont="1"/>
    <xf numFmtId="10" fontId="0" fillId="0" borderId="0" xfId="1" applyNumberFormat="1" applyFont="1"/>
    <xf numFmtId="164" fontId="0" fillId="0" borderId="1" xfId="2" applyNumberFormat="1" applyFont="1" applyBorder="1"/>
    <xf numFmtId="164" fontId="0" fillId="0" borderId="2" xfId="2" applyNumberFormat="1" applyFont="1" applyBorder="1"/>
    <xf numFmtId="164" fontId="0" fillId="0" borderId="3" xfId="2" applyNumberFormat="1" applyFont="1" applyBorder="1"/>
    <xf numFmtId="164" fontId="0" fillId="0" borderId="4" xfId="2" applyNumberFormat="1" applyFont="1" applyBorder="1"/>
    <xf numFmtId="164" fontId="0" fillId="0" borderId="0" xfId="2" applyNumberFormat="1" applyFont="1" applyBorder="1"/>
    <xf numFmtId="164" fontId="0" fillId="0" borderId="5" xfId="2" applyNumberFormat="1" applyFont="1" applyBorder="1"/>
    <xf numFmtId="164" fontId="0" fillId="0" borderId="6" xfId="2" applyNumberFormat="1" applyFont="1" applyBorder="1"/>
    <xf numFmtId="164" fontId="0" fillId="0" borderId="7" xfId="2" applyNumberFormat="1" applyFont="1" applyBorder="1"/>
    <xf numFmtId="164" fontId="0" fillId="0" borderId="8" xfId="2" applyNumberFormat="1" applyFont="1" applyBorder="1"/>
    <xf numFmtId="43" fontId="0" fillId="0" borderId="0" xfId="0" applyNumberFormat="1"/>
    <xf numFmtId="43" fontId="0" fillId="0" borderId="1" xfId="2" applyFont="1" applyBorder="1"/>
    <xf numFmtId="43" fontId="0" fillId="0" borderId="2" xfId="2" applyFont="1" applyBorder="1"/>
    <xf numFmtId="43" fontId="0" fillId="0" borderId="3" xfId="2" applyFont="1" applyBorder="1"/>
    <xf numFmtId="43" fontId="0" fillId="0" borderId="4" xfId="2" applyFont="1" applyBorder="1"/>
    <xf numFmtId="43" fontId="0" fillId="0" borderId="0" xfId="2" applyFont="1" applyBorder="1"/>
    <xf numFmtId="43" fontId="0" fillId="0" borderId="5" xfId="2" applyFont="1" applyBorder="1"/>
    <xf numFmtId="43" fontId="0" fillId="0" borderId="6" xfId="2" applyFont="1" applyBorder="1"/>
    <xf numFmtId="43" fontId="0" fillId="0" borderId="7" xfId="2" applyFont="1" applyBorder="1"/>
    <xf numFmtId="43" fontId="0" fillId="0" borderId="8" xfId="2" applyFont="1" applyBorder="1"/>
    <xf numFmtId="43" fontId="2" fillId="0" borderId="0" xfId="0" applyNumberFormat="1" applyFont="1"/>
    <xf numFmtId="43" fontId="0" fillId="0" borderId="0" xfId="2" applyFont="1" applyFill="1" applyBorder="1"/>
    <xf numFmtId="43" fontId="0" fillId="0" borderId="0" xfId="2" applyNumberFormat="1" applyFont="1"/>
    <xf numFmtId="43" fontId="0" fillId="0" borderId="0" xfId="2" applyFont="1"/>
    <xf numFmtId="164" fontId="0" fillId="0" borderId="0" xfId="0" applyNumberFormat="1"/>
    <xf numFmtId="0" fontId="0" fillId="0" borderId="4" xfId="0" quotePrefix="1" applyBorder="1"/>
    <xf numFmtId="0" fontId="0" fillId="0" borderId="6" xfId="0" quotePrefix="1" applyBorder="1"/>
    <xf numFmtId="43" fontId="0" fillId="0" borderId="0" xfId="2" quotePrefix="1" applyFont="1"/>
    <xf numFmtId="0" fontId="0" fillId="0" borderId="0" xfId="0" quotePrefix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workbookViewId="0">
      <selection activeCell="B3" sqref="B3:E22"/>
    </sheetView>
  </sheetViews>
  <sheetFormatPr defaultRowHeight="14.4" x14ac:dyDescent="0.3"/>
  <cols>
    <col min="2" max="2" width="28.6640625" bestFit="1" customWidth="1"/>
  </cols>
  <sheetData>
    <row r="1" spans="2:5" ht="15" x14ac:dyDescent="0.25">
      <c r="B1" t="s">
        <v>16</v>
      </c>
    </row>
    <row r="3" spans="2:5" ht="15.75" thickBot="1" x14ac:dyDescent="0.3">
      <c r="C3">
        <v>0</v>
      </c>
      <c r="D3">
        <v>1</v>
      </c>
      <c r="E3">
        <v>2</v>
      </c>
    </row>
    <row r="4" spans="2:5" ht="15" x14ac:dyDescent="0.25">
      <c r="B4" t="s">
        <v>0</v>
      </c>
      <c r="C4" s="1">
        <v>1000</v>
      </c>
      <c r="D4" s="2"/>
      <c r="E4" s="3"/>
    </row>
    <row r="5" spans="2:5" ht="15" x14ac:dyDescent="0.25">
      <c r="B5" t="s">
        <v>1</v>
      </c>
      <c r="C5" s="4"/>
      <c r="D5" s="5">
        <f>C15*0.1</f>
        <v>150</v>
      </c>
      <c r="E5" s="6">
        <f>D15*0.1</f>
        <v>75</v>
      </c>
    </row>
    <row r="6" spans="2:5" ht="15" x14ac:dyDescent="0.25">
      <c r="B6" t="s">
        <v>2</v>
      </c>
      <c r="C6" s="4"/>
      <c r="D6" s="5"/>
      <c r="E6" s="6"/>
    </row>
    <row r="7" spans="2:5" ht="15" x14ac:dyDescent="0.25">
      <c r="B7" t="s">
        <v>3</v>
      </c>
      <c r="C7" s="4"/>
      <c r="D7" s="5"/>
      <c r="E7" s="6"/>
    </row>
    <row r="8" spans="2:5" ht="15" x14ac:dyDescent="0.25">
      <c r="B8" t="s">
        <v>4</v>
      </c>
      <c r="C8" s="4"/>
      <c r="D8" s="5">
        <v>500</v>
      </c>
      <c r="E8" s="6">
        <v>500</v>
      </c>
    </row>
    <row r="9" spans="2:5" ht="15" x14ac:dyDescent="0.25">
      <c r="B9" t="s">
        <v>5</v>
      </c>
      <c r="C9" s="4"/>
      <c r="D9" s="5">
        <v>500</v>
      </c>
      <c r="E9" s="6"/>
    </row>
    <row r="10" spans="2:5" ht="15" x14ac:dyDescent="0.25">
      <c r="B10" t="s">
        <v>6</v>
      </c>
      <c r="C10" s="4">
        <v>1000</v>
      </c>
      <c r="D10" s="5"/>
      <c r="E10" s="6"/>
    </row>
    <row r="11" spans="2:5" ht="15" x14ac:dyDescent="0.25">
      <c r="B11" t="s">
        <v>7</v>
      </c>
      <c r="C11" s="4">
        <f>SUM(C9:C10)/2</f>
        <v>500</v>
      </c>
      <c r="D11" s="5">
        <f>SUM(D9:D10)/2</f>
        <v>250</v>
      </c>
      <c r="E11" s="6"/>
    </row>
    <row r="12" spans="2:5" ht="15.75" thickBot="1" x14ac:dyDescent="0.3">
      <c r="B12" t="s">
        <v>8</v>
      </c>
      <c r="C12" s="4">
        <f>C10+C11-C4</f>
        <v>500</v>
      </c>
      <c r="D12" s="5"/>
      <c r="E12" s="6"/>
    </row>
    <row r="13" spans="2:5" ht="15" x14ac:dyDescent="0.25">
      <c r="B13" t="s">
        <v>9</v>
      </c>
      <c r="C13" s="1">
        <f>C10+C9+C11</f>
        <v>1500</v>
      </c>
      <c r="D13" s="2">
        <f>C15+D5</f>
        <v>1650</v>
      </c>
      <c r="E13" s="3">
        <f>D15+E5</f>
        <v>825</v>
      </c>
    </row>
    <row r="14" spans="2:5" ht="15" x14ac:dyDescent="0.25">
      <c r="B14" t="s">
        <v>10</v>
      </c>
      <c r="C14" s="4">
        <f>C13-C8-C15</f>
        <v>0</v>
      </c>
      <c r="D14" s="5">
        <f t="shared" ref="D14:E14" si="0">D13-D8-D15</f>
        <v>400</v>
      </c>
      <c r="E14" s="6">
        <f t="shared" si="0"/>
        <v>325</v>
      </c>
    </row>
    <row r="15" spans="2:5" ht="15.75" thickBot="1" x14ac:dyDescent="0.3">
      <c r="B15" t="s">
        <v>11</v>
      </c>
      <c r="C15" s="7">
        <f>C9+C10+C11</f>
        <v>1500</v>
      </c>
      <c r="D15" s="8">
        <f t="shared" ref="D15:E15" si="1">D9+D10+D11</f>
        <v>750</v>
      </c>
      <c r="E15" s="9">
        <f t="shared" si="1"/>
        <v>0</v>
      </c>
    </row>
    <row r="18" spans="2:5" ht="15" x14ac:dyDescent="0.25">
      <c r="B18" t="s">
        <v>12</v>
      </c>
      <c r="C18">
        <f>-C12</f>
        <v>-500</v>
      </c>
      <c r="D18">
        <f t="shared" ref="D18:E18" si="2">-D12</f>
        <v>0</v>
      </c>
      <c r="E18">
        <f t="shared" si="2"/>
        <v>0</v>
      </c>
    </row>
    <row r="19" spans="2:5" ht="15" x14ac:dyDescent="0.25">
      <c r="B19" t="s">
        <v>13</v>
      </c>
      <c r="C19" s="11">
        <f>C14</f>
        <v>0</v>
      </c>
      <c r="D19" s="11">
        <f t="shared" ref="D19:E19" si="3">D14</f>
        <v>400</v>
      </c>
      <c r="E19" s="11">
        <f t="shared" si="3"/>
        <v>325</v>
      </c>
    </row>
    <row r="20" spans="2:5" ht="15" x14ac:dyDescent="0.25">
      <c r="B20" t="s">
        <v>14</v>
      </c>
      <c r="C20">
        <f>C18+C19</f>
        <v>-500</v>
      </c>
      <c r="D20">
        <f t="shared" ref="D20:E20" si="4">D18+D19</f>
        <v>400</v>
      </c>
      <c r="E20">
        <f t="shared" si="4"/>
        <v>325</v>
      </c>
    </row>
    <row r="22" spans="2:5" ht="15" x14ac:dyDescent="0.25">
      <c r="B22" t="s">
        <v>15</v>
      </c>
      <c r="C22" s="10">
        <f>IRR(C20:E20)</f>
        <v>0.29999999999999982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2"/>
  <sheetViews>
    <sheetView topLeftCell="B1" workbookViewId="0">
      <selection activeCell="G13" sqref="D13:G13"/>
    </sheetView>
  </sheetViews>
  <sheetFormatPr defaultRowHeight="14.4" x14ac:dyDescent="0.3"/>
  <cols>
    <col min="2" max="2" width="28.6640625" bestFit="1" customWidth="1"/>
  </cols>
  <sheetData>
    <row r="3" spans="2:7" ht="15.75" thickBot="1" x14ac:dyDescent="0.3">
      <c r="C3">
        <v>0</v>
      </c>
      <c r="D3">
        <v>1</v>
      </c>
      <c r="E3">
        <v>2</v>
      </c>
      <c r="F3">
        <v>3</v>
      </c>
      <c r="G3">
        <v>4</v>
      </c>
    </row>
    <row r="4" spans="2:7" ht="15" x14ac:dyDescent="0.25">
      <c r="B4" t="s">
        <v>0</v>
      </c>
      <c r="C4" s="1">
        <v>10000</v>
      </c>
      <c r="D4" s="2"/>
      <c r="E4" s="2"/>
      <c r="F4" s="2"/>
      <c r="G4" s="3"/>
    </row>
    <row r="5" spans="2:7" ht="15" x14ac:dyDescent="0.25">
      <c r="B5" t="s">
        <v>1</v>
      </c>
      <c r="C5" s="4"/>
      <c r="D5" s="5"/>
      <c r="E5" s="5"/>
      <c r="F5" s="5"/>
      <c r="G5" s="6">
        <f>C13*1.1^4-C13</f>
        <v>8353.8000000000065</v>
      </c>
    </row>
    <row r="6" spans="2:7" ht="15" x14ac:dyDescent="0.25">
      <c r="B6" t="s">
        <v>2</v>
      </c>
      <c r="C6" s="4"/>
      <c r="D6" s="5"/>
      <c r="E6" s="5"/>
      <c r="F6" s="5"/>
      <c r="G6" s="6"/>
    </row>
    <row r="7" spans="2:7" ht="15" x14ac:dyDescent="0.25">
      <c r="B7" t="s">
        <v>3</v>
      </c>
      <c r="C7" s="4"/>
      <c r="D7" s="5"/>
      <c r="E7" s="5"/>
      <c r="F7" s="5"/>
      <c r="G7" s="6"/>
    </row>
    <row r="8" spans="2:7" ht="15" x14ac:dyDescent="0.25">
      <c r="B8" t="s">
        <v>4</v>
      </c>
      <c r="C8" s="4"/>
      <c r="D8" s="5"/>
      <c r="E8" s="5"/>
      <c r="F8" s="5"/>
      <c r="G8" s="6">
        <v>12000</v>
      </c>
    </row>
    <row r="9" spans="2:7" ht="15" x14ac:dyDescent="0.25">
      <c r="B9" t="s">
        <v>5</v>
      </c>
      <c r="C9" s="4">
        <v>12000</v>
      </c>
      <c r="D9" s="5">
        <f>C9</f>
        <v>12000</v>
      </c>
      <c r="E9" s="5">
        <f t="shared" ref="E9:F9" si="0">D9</f>
        <v>12000</v>
      </c>
      <c r="F9" s="5">
        <f t="shared" si="0"/>
        <v>12000</v>
      </c>
      <c r="G9" s="6">
        <v>0</v>
      </c>
    </row>
    <row r="10" spans="2:7" ht="15" x14ac:dyDescent="0.25">
      <c r="B10" t="s">
        <v>6</v>
      </c>
      <c r="C10" s="4">
        <v>0</v>
      </c>
      <c r="D10" s="5"/>
      <c r="E10" s="5"/>
      <c r="F10" s="5"/>
      <c r="G10" s="6"/>
    </row>
    <row r="11" spans="2:7" ht="15" x14ac:dyDescent="0.25">
      <c r="B11" t="s">
        <v>7</v>
      </c>
      <c r="C11" s="4">
        <f>SUM(C9:C10)/2</f>
        <v>6000</v>
      </c>
      <c r="D11" s="5">
        <f>SUM(D9:D10)/2</f>
        <v>6000</v>
      </c>
      <c r="E11" s="5">
        <f t="shared" ref="E11:F11" si="1">SUM(E9:E10)/2</f>
        <v>6000</v>
      </c>
      <c r="F11" s="5">
        <f t="shared" si="1"/>
        <v>6000</v>
      </c>
      <c r="G11" s="6">
        <v>0</v>
      </c>
    </row>
    <row r="12" spans="2:7" ht="15.75" thickBot="1" x14ac:dyDescent="0.3">
      <c r="B12" t="s">
        <v>8</v>
      </c>
      <c r="C12" s="4">
        <f>C10+C9+C11-C4</f>
        <v>8000</v>
      </c>
      <c r="D12" s="5"/>
      <c r="E12" s="5"/>
      <c r="F12" s="5"/>
      <c r="G12" s="6"/>
    </row>
    <row r="13" spans="2:7" ht="15" x14ac:dyDescent="0.25">
      <c r="B13" t="s">
        <v>9</v>
      </c>
      <c r="C13" s="1">
        <f>C10+C9+C11</f>
        <v>18000</v>
      </c>
      <c r="D13" s="2">
        <f t="shared" ref="D13:F13" si="2">C15+D5-D8</f>
        <v>18000</v>
      </c>
      <c r="E13" s="2">
        <f t="shared" si="2"/>
        <v>18000</v>
      </c>
      <c r="F13" s="2">
        <f t="shared" si="2"/>
        <v>18000</v>
      </c>
      <c r="G13" s="3">
        <f>F15+G5-G8</f>
        <v>14353.800000000007</v>
      </c>
    </row>
    <row r="14" spans="2:7" ht="15" x14ac:dyDescent="0.25">
      <c r="B14" t="s">
        <v>10</v>
      </c>
      <c r="C14" s="4">
        <f t="shared" ref="C14:F14" si="3">C13-C15</f>
        <v>0</v>
      </c>
      <c r="D14" s="5">
        <f t="shared" si="3"/>
        <v>0</v>
      </c>
      <c r="E14" s="5">
        <f t="shared" si="3"/>
        <v>0</v>
      </c>
      <c r="F14" s="5">
        <f t="shared" si="3"/>
        <v>0</v>
      </c>
      <c r="G14" s="6">
        <f>G13-G15</f>
        <v>14353.800000000007</v>
      </c>
    </row>
    <row r="15" spans="2:7" ht="15.75" thickBot="1" x14ac:dyDescent="0.3">
      <c r="B15" t="s">
        <v>11</v>
      </c>
      <c r="C15" s="7">
        <f>C9+C10+C11</f>
        <v>18000</v>
      </c>
      <c r="D15" s="8">
        <f t="shared" ref="D15" si="4">D9+D10+D11</f>
        <v>18000</v>
      </c>
      <c r="E15" s="8">
        <f t="shared" ref="E15:G15" si="5">E9+E10+E11</f>
        <v>18000</v>
      </c>
      <c r="F15" s="8">
        <f t="shared" si="5"/>
        <v>18000</v>
      </c>
      <c r="G15" s="9">
        <f t="shared" si="5"/>
        <v>0</v>
      </c>
    </row>
    <row r="18" spans="2:7" ht="15" x14ac:dyDescent="0.25">
      <c r="B18" t="s">
        <v>12</v>
      </c>
      <c r="C18">
        <f>-C12</f>
        <v>-8000</v>
      </c>
      <c r="D18">
        <f t="shared" ref="D18" si="6">-D12</f>
        <v>0</v>
      </c>
      <c r="E18">
        <f t="shared" ref="E18:G18" si="7">-E12</f>
        <v>0</v>
      </c>
      <c r="F18">
        <f t="shared" si="7"/>
        <v>0</v>
      </c>
      <c r="G18">
        <f t="shared" si="7"/>
        <v>0</v>
      </c>
    </row>
    <row r="19" spans="2:7" ht="15" x14ac:dyDescent="0.25">
      <c r="B19" t="s">
        <v>13</v>
      </c>
      <c r="C19" s="11">
        <f>C14</f>
        <v>0</v>
      </c>
      <c r="D19" s="11">
        <f t="shared" ref="D19" si="8">D14</f>
        <v>0</v>
      </c>
      <c r="E19" s="11">
        <f t="shared" ref="E19:G19" si="9">E14</f>
        <v>0</v>
      </c>
      <c r="F19" s="11">
        <f t="shared" si="9"/>
        <v>0</v>
      </c>
      <c r="G19" s="11">
        <f t="shared" si="9"/>
        <v>14353.800000000007</v>
      </c>
    </row>
    <row r="20" spans="2:7" ht="15" x14ac:dyDescent="0.25">
      <c r="B20" t="s">
        <v>14</v>
      </c>
      <c r="C20">
        <f>C18+C19</f>
        <v>-8000</v>
      </c>
      <c r="D20">
        <f t="shared" ref="D20" si="10">D18+D19</f>
        <v>0</v>
      </c>
      <c r="E20">
        <f t="shared" ref="E20" si="11">E18+E19</f>
        <v>0</v>
      </c>
      <c r="F20">
        <f t="shared" ref="F20" si="12">F18+F19</f>
        <v>0</v>
      </c>
      <c r="G20">
        <f t="shared" ref="G20" si="13">G18+G19</f>
        <v>14353.800000000007</v>
      </c>
    </row>
    <row r="22" spans="2:7" ht="15" x14ac:dyDescent="0.25">
      <c r="B22" t="s">
        <v>15</v>
      </c>
      <c r="C22" s="12">
        <f>IRR(C20:G20)</f>
        <v>0.15736201857527399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3" sqref="D13"/>
    </sheetView>
  </sheetViews>
  <sheetFormatPr defaultRowHeight="14.4" x14ac:dyDescent="0.3"/>
  <cols>
    <col min="2" max="2" width="28.6640625" bestFit="1" customWidth="1"/>
  </cols>
  <sheetData>
    <row r="1" spans="1:7" ht="15" x14ac:dyDescent="0.25">
      <c r="A1">
        <v>2010.13</v>
      </c>
    </row>
    <row r="3" spans="1:7" ht="15.75" thickBot="1" x14ac:dyDescent="0.3">
      <c r="C3">
        <v>0</v>
      </c>
      <c r="D3">
        <v>4</v>
      </c>
    </row>
    <row r="4" spans="1:7" ht="15" x14ac:dyDescent="0.25">
      <c r="B4" t="s">
        <v>0</v>
      </c>
      <c r="C4" s="1">
        <v>981.67499999999995</v>
      </c>
      <c r="D4" s="3"/>
      <c r="G4">
        <v>981.67499999999995</v>
      </c>
    </row>
    <row r="5" spans="1:7" ht="15" x14ac:dyDescent="0.25">
      <c r="B5" t="s">
        <v>1</v>
      </c>
      <c r="C5" s="4"/>
      <c r="D5" s="6">
        <f>C15*0.04</f>
        <v>51.0471</v>
      </c>
      <c r="G5">
        <f>G4*1.3</f>
        <v>1276.1775</v>
      </c>
    </row>
    <row r="6" spans="1:7" ht="15" x14ac:dyDescent="0.25">
      <c r="B6" t="s">
        <v>2</v>
      </c>
      <c r="C6" s="4">
        <f>C4*0.22</f>
        <v>215.96849999999998</v>
      </c>
      <c r="D6" s="6"/>
    </row>
    <row r="7" spans="1:7" ht="15" x14ac:dyDescent="0.25">
      <c r="B7" t="s">
        <v>3</v>
      </c>
      <c r="C7" s="4"/>
      <c r="D7" s="6">
        <f>D5*0.2+0.35*(C4-C6-D8)</f>
        <v>15.706695000000003</v>
      </c>
    </row>
    <row r="8" spans="1:7" ht="15" x14ac:dyDescent="0.25">
      <c r="B8" t="s">
        <v>4</v>
      </c>
      <c r="C8" s="4"/>
      <c r="D8" s="6">
        <v>750</v>
      </c>
    </row>
    <row r="9" spans="1:7" ht="15" x14ac:dyDescent="0.25">
      <c r="B9" t="s">
        <v>5</v>
      </c>
      <c r="C9" s="4">
        <f>C4</f>
        <v>981.67499999999995</v>
      </c>
      <c r="D9" s="6">
        <v>0</v>
      </c>
    </row>
    <row r="10" spans="1:7" ht="15" x14ac:dyDescent="0.25">
      <c r="B10" t="s">
        <v>6</v>
      </c>
      <c r="C10" s="4">
        <v>0</v>
      </c>
      <c r="D10" s="6"/>
    </row>
    <row r="11" spans="1:7" ht="15" x14ac:dyDescent="0.25">
      <c r="B11" t="s">
        <v>7</v>
      </c>
      <c r="C11" s="4">
        <f>SUM(C9:C10)*0.3</f>
        <v>294.5025</v>
      </c>
      <c r="D11" s="6">
        <v>0</v>
      </c>
    </row>
    <row r="12" spans="1:7" ht="15.75" thickBot="1" x14ac:dyDescent="0.3">
      <c r="B12" t="s">
        <v>8</v>
      </c>
      <c r="C12" s="4">
        <f>C10+C9+C11-(C4-C6)</f>
        <v>510.471</v>
      </c>
      <c r="D12" s="6"/>
    </row>
    <row r="13" spans="1:7" ht="15" x14ac:dyDescent="0.25">
      <c r="B13" t="s">
        <v>9</v>
      </c>
      <c r="C13" s="1">
        <f>C10+C9+C11</f>
        <v>1276.1775</v>
      </c>
      <c r="D13" s="3">
        <f>C15+D5</f>
        <v>1327.2246</v>
      </c>
    </row>
    <row r="14" spans="1:7" ht="15" x14ac:dyDescent="0.25">
      <c r="B14" t="s">
        <v>10</v>
      </c>
      <c r="C14" s="4">
        <f>C13-C8-C15</f>
        <v>0</v>
      </c>
      <c r="D14" s="6">
        <f>D13-D8-D15-D7</f>
        <v>561.51790500000004</v>
      </c>
    </row>
    <row r="15" spans="1:7" ht="15.75" thickBot="1" x14ac:dyDescent="0.3">
      <c r="B15" t="s">
        <v>11</v>
      </c>
      <c r="C15" s="7">
        <f>C9+C10+C11</f>
        <v>1276.1775</v>
      </c>
      <c r="D15" s="9">
        <f t="shared" ref="D15" si="0">D9+D10+D11</f>
        <v>0</v>
      </c>
    </row>
    <row r="18" spans="2:4" ht="15" x14ac:dyDescent="0.25">
      <c r="B18" t="s">
        <v>12</v>
      </c>
      <c r="C18">
        <f>-C12</f>
        <v>-510.471</v>
      </c>
      <c r="D18">
        <f t="shared" ref="D18" si="1">-D12</f>
        <v>0</v>
      </c>
    </row>
    <row r="19" spans="2:4" ht="15" x14ac:dyDescent="0.25">
      <c r="B19" t="s">
        <v>13</v>
      </c>
      <c r="C19" s="11">
        <f>C14</f>
        <v>0</v>
      </c>
      <c r="D19" s="11">
        <f t="shared" ref="D19" si="2">D14</f>
        <v>561.51790500000004</v>
      </c>
    </row>
    <row r="20" spans="2:4" ht="15" x14ac:dyDescent="0.25">
      <c r="B20" t="s">
        <v>14</v>
      </c>
      <c r="C20">
        <f>C18+C19</f>
        <v>-510.471</v>
      </c>
      <c r="D20">
        <f t="shared" ref="D20" si="3">D18+D19</f>
        <v>561.51790500000004</v>
      </c>
    </row>
    <row r="22" spans="2:4" ht="15" x14ac:dyDescent="0.25">
      <c r="B22" t="s">
        <v>15</v>
      </c>
      <c r="C22" s="12">
        <f>IRR(C20:D20)</f>
        <v>9.9999617999847246E-2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3" sqref="D13"/>
    </sheetView>
  </sheetViews>
  <sheetFormatPr defaultRowHeight="14.4" x14ac:dyDescent="0.3"/>
  <cols>
    <col min="2" max="2" width="28.6640625" bestFit="1" customWidth="1"/>
  </cols>
  <sheetData>
    <row r="1" spans="1:7" ht="15" x14ac:dyDescent="0.25">
      <c r="A1">
        <v>2010.13</v>
      </c>
    </row>
    <row r="3" spans="1:7" ht="15.75" thickBot="1" x14ac:dyDescent="0.3">
      <c r="C3">
        <v>0</v>
      </c>
      <c r="D3">
        <v>4</v>
      </c>
    </row>
    <row r="4" spans="1:7" ht="15" x14ac:dyDescent="0.25">
      <c r="B4" t="s">
        <v>0</v>
      </c>
      <c r="C4" s="1">
        <v>18877</v>
      </c>
      <c r="D4" s="3"/>
      <c r="G4">
        <v>981.67499999999995</v>
      </c>
    </row>
    <row r="5" spans="1:7" ht="15" x14ac:dyDescent="0.25">
      <c r="B5" t="s">
        <v>1</v>
      </c>
      <c r="C5" s="4"/>
      <c r="D5" s="6">
        <v>0</v>
      </c>
      <c r="G5">
        <f>G4*1.3</f>
        <v>1276.1775</v>
      </c>
    </row>
    <row r="6" spans="1:7" ht="15" x14ac:dyDescent="0.25">
      <c r="B6" t="s">
        <v>2</v>
      </c>
      <c r="C6" s="4">
        <v>0</v>
      </c>
      <c r="D6" s="6"/>
    </row>
    <row r="7" spans="1:7" ht="15" x14ac:dyDescent="0.25">
      <c r="B7" t="s">
        <v>3</v>
      </c>
      <c r="C7" s="4"/>
      <c r="D7" s="6"/>
    </row>
    <row r="8" spans="1:7" ht="15" x14ac:dyDescent="0.25">
      <c r="B8" t="s">
        <v>4</v>
      </c>
      <c r="C8" s="4"/>
      <c r="D8" s="6">
        <v>12405</v>
      </c>
    </row>
    <row r="9" spans="1:7" ht="15" x14ac:dyDescent="0.25">
      <c r="B9" t="s">
        <v>5</v>
      </c>
      <c r="C9" s="4">
        <v>12405</v>
      </c>
      <c r="D9" s="6">
        <v>0</v>
      </c>
    </row>
    <row r="10" spans="1:7" ht="15" x14ac:dyDescent="0.25">
      <c r="B10" t="s">
        <v>6</v>
      </c>
      <c r="C10" s="4">
        <v>0</v>
      </c>
      <c r="D10" s="6"/>
    </row>
    <row r="11" spans="1:7" ht="15" x14ac:dyDescent="0.25">
      <c r="B11" t="s">
        <v>7</v>
      </c>
      <c r="C11" s="4">
        <f>100000/1.03</f>
        <v>97087.378640776689</v>
      </c>
      <c r="D11" s="6">
        <v>0</v>
      </c>
    </row>
    <row r="12" spans="1:7" ht="15.75" thickBot="1" x14ac:dyDescent="0.3">
      <c r="B12" t="s">
        <v>8</v>
      </c>
      <c r="C12" s="4">
        <v>78210</v>
      </c>
      <c r="D12" s="6"/>
    </row>
    <row r="13" spans="1:7" ht="15" x14ac:dyDescent="0.25">
      <c r="B13" t="s">
        <v>9</v>
      </c>
      <c r="C13" s="1">
        <f>C10+C9+C11</f>
        <v>109492.37864077669</v>
      </c>
      <c r="D13" s="3">
        <f>C15+D5</f>
        <v>109492.37864077669</v>
      </c>
    </row>
    <row r="14" spans="1:7" ht="15" x14ac:dyDescent="0.25">
      <c r="B14" t="s">
        <v>10</v>
      </c>
      <c r="C14" s="4">
        <f>C13-C8-C15</f>
        <v>0</v>
      </c>
      <c r="D14" s="6">
        <f>D13-D8-D15-D7</f>
        <v>97087.378640776689</v>
      </c>
    </row>
    <row r="15" spans="1:7" ht="15.75" thickBot="1" x14ac:dyDescent="0.3">
      <c r="B15" t="s">
        <v>11</v>
      </c>
      <c r="C15" s="7">
        <f>C9+C10+C11</f>
        <v>109492.37864077669</v>
      </c>
      <c r="D15" s="9">
        <f t="shared" ref="D15" si="0">D9+D10+D11</f>
        <v>0</v>
      </c>
    </row>
    <row r="18" spans="2:4" ht="15" x14ac:dyDescent="0.25">
      <c r="B18" t="s">
        <v>12</v>
      </c>
      <c r="C18">
        <f>-C12</f>
        <v>-78210</v>
      </c>
      <c r="D18">
        <f t="shared" ref="D18" si="1">-D12</f>
        <v>0</v>
      </c>
    </row>
    <row r="19" spans="2:4" ht="15" x14ac:dyDescent="0.25">
      <c r="B19" t="s">
        <v>13</v>
      </c>
      <c r="C19" s="11">
        <f>C14</f>
        <v>0</v>
      </c>
      <c r="D19" s="11">
        <f t="shared" ref="D19" si="2">D14</f>
        <v>97087.378640776689</v>
      </c>
    </row>
    <row r="20" spans="2:4" ht="15" x14ac:dyDescent="0.25">
      <c r="B20" t="s">
        <v>14</v>
      </c>
      <c r="C20">
        <f>C18+C19</f>
        <v>-78210</v>
      </c>
      <c r="D20">
        <f t="shared" ref="D20" si="3">D18+D19</f>
        <v>97087.378640776689</v>
      </c>
    </row>
    <row r="22" spans="2:4" ht="15" x14ac:dyDescent="0.25">
      <c r="B22" t="s">
        <v>15</v>
      </c>
      <c r="C22" s="12">
        <f>IRR(C20:D20)</f>
        <v>0.24136783839376919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0"/>
  <sheetViews>
    <sheetView topLeftCell="A19" workbookViewId="0">
      <selection activeCell="D33" sqref="D33"/>
    </sheetView>
  </sheetViews>
  <sheetFormatPr defaultRowHeight="14.4" x14ac:dyDescent="0.3"/>
  <cols>
    <col min="2" max="2" width="28.6640625" bestFit="1" customWidth="1"/>
    <col min="3" max="6" width="10.33203125" customWidth="1"/>
    <col min="8" max="10" width="11.5546875" bestFit="1" customWidth="1"/>
  </cols>
  <sheetData>
    <row r="3" spans="2:10" ht="15.75" thickBot="1" x14ac:dyDescent="0.3">
      <c r="C3">
        <v>0</v>
      </c>
      <c r="D3">
        <v>1</v>
      </c>
      <c r="E3">
        <v>2</v>
      </c>
      <c r="F3">
        <v>3</v>
      </c>
      <c r="I3" s="22"/>
    </row>
    <row r="4" spans="2:10" ht="15" x14ac:dyDescent="0.25">
      <c r="B4" t="s">
        <v>0</v>
      </c>
      <c r="C4" s="13">
        <v>175062</v>
      </c>
      <c r="D4" s="14"/>
      <c r="E4" s="14"/>
      <c r="F4" s="15"/>
      <c r="I4" s="22"/>
    </row>
    <row r="5" spans="2:10" ht="15" x14ac:dyDescent="0.25">
      <c r="B5" t="s">
        <v>1</v>
      </c>
      <c r="C5" s="16">
        <v>0</v>
      </c>
      <c r="D5" s="17">
        <f>C15*0.05</f>
        <v>13753.1</v>
      </c>
      <c r="E5" s="17">
        <f>D15*0.05</f>
        <v>9376.5500000000011</v>
      </c>
      <c r="F5" s="18">
        <f>E15*0.05</f>
        <v>7188.2750000000005</v>
      </c>
      <c r="I5" s="22"/>
    </row>
    <row r="6" spans="2:10" ht="15" x14ac:dyDescent="0.25">
      <c r="B6" t="s">
        <v>2</v>
      </c>
      <c r="C6" s="16">
        <f>C4*0.15</f>
        <v>26259.3</v>
      </c>
      <c r="D6" s="17"/>
      <c r="E6" s="17"/>
      <c r="F6" s="18"/>
    </row>
    <row r="7" spans="2:10" ht="15" x14ac:dyDescent="0.25">
      <c r="B7" t="s">
        <v>3</v>
      </c>
      <c r="C7" s="16">
        <v>0</v>
      </c>
      <c r="D7" s="17">
        <f>(C4-C6-D8+D5-(D9-C9))*0.35</f>
        <v>12258.680000000006</v>
      </c>
      <c r="E7" s="17">
        <f>(D4-D6-E8+E5-(E9-D9))*0.35</f>
        <v>6349.7175000000007</v>
      </c>
      <c r="F7" s="18">
        <f>(E4-E6-F8+F5-(F9-E9))*0.35</f>
        <v>7333.82125</v>
      </c>
      <c r="J7" s="22"/>
    </row>
    <row r="8" spans="2:10" ht="15" x14ac:dyDescent="0.25">
      <c r="B8" t="s">
        <v>4</v>
      </c>
      <c r="C8" s="16">
        <v>0</v>
      </c>
      <c r="D8" s="17">
        <v>40000</v>
      </c>
      <c r="E8" s="17">
        <v>35000</v>
      </c>
      <c r="F8" s="18">
        <v>30000</v>
      </c>
      <c r="I8" s="22"/>
    </row>
    <row r="9" spans="2:10" ht="15" x14ac:dyDescent="0.25">
      <c r="B9" t="s">
        <v>5</v>
      </c>
      <c r="C9" s="16">
        <v>0</v>
      </c>
      <c r="D9" s="17">
        <f>C4*0.5</f>
        <v>87531</v>
      </c>
      <c r="E9" s="17">
        <f>C4*0.25</f>
        <v>43765.5</v>
      </c>
      <c r="F9" s="18">
        <v>0</v>
      </c>
    </row>
    <row r="10" spans="2:10" ht="15" x14ac:dyDescent="0.25">
      <c r="B10" t="s">
        <v>6</v>
      </c>
      <c r="C10" s="16">
        <f>C4</f>
        <v>175062</v>
      </c>
      <c r="D10" s="17">
        <v>0</v>
      </c>
      <c r="E10" s="17">
        <v>0</v>
      </c>
      <c r="F10" s="18">
        <v>0</v>
      </c>
    </row>
    <row r="11" spans="2:10" ht="15" x14ac:dyDescent="0.25">
      <c r="B11" t="s">
        <v>7</v>
      </c>
      <c r="C11" s="16">
        <v>100000</v>
      </c>
      <c r="D11" s="17">
        <v>100000</v>
      </c>
      <c r="E11" s="17">
        <v>100000</v>
      </c>
      <c r="F11" s="18">
        <v>0</v>
      </c>
    </row>
    <row r="12" spans="2:10" ht="15.75" thickBot="1" x14ac:dyDescent="0.3">
      <c r="B12" t="s">
        <v>8</v>
      </c>
      <c r="C12" s="19">
        <f>C10+C9+C11-(C4-C6)</f>
        <v>126259.29999999999</v>
      </c>
      <c r="D12" s="20">
        <v>0</v>
      </c>
      <c r="E12" s="20">
        <v>0</v>
      </c>
      <c r="F12" s="21">
        <v>0</v>
      </c>
    </row>
    <row r="13" spans="2:10" ht="15" x14ac:dyDescent="0.25">
      <c r="B13" t="s">
        <v>9</v>
      </c>
      <c r="C13" s="13">
        <f>C10+C9+C11</f>
        <v>275062</v>
      </c>
      <c r="D13" s="14">
        <f>C15</f>
        <v>275062</v>
      </c>
      <c r="E13" s="14">
        <f t="shared" ref="E13:F13" si="0">D15</f>
        <v>187531</v>
      </c>
      <c r="F13" s="15">
        <f t="shared" si="0"/>
        <v>143765.5</v>
      </c>
    </row>
    <row r="14" spans="2:10" ht="15" x14ac:dyDescent="0.25">
      <c r="B14" t="s">
        <v>10</v>
      </c>
      <c r="C14" s="16">
        <f>C13-C8-C15</f>
        <v>0</v>
      </c>
      <c r="D14" s="17">
        <f>D13-D15-D8-D7-D6+D5</f>
        <v>49025.419999999991</v>
      </c>
      <c r="E14" s="17">
        <f t="shared" ref="E14:F14" si="1">E13-E15-E8-E7-E6+E5</f>
        <v>11792.3325</v>
      </c>
      <c r="F14" s="18">
        <f t="shared" si="1"/>
        <v>113619.95375</v>
      </c>
      <c r="H14" s="22"/>
    </row>
    <row r="15" spans="2:10" ht="15.75" thickBot="1" x14ac:dyDescent="0.3">
      <c r="B15" t="s">
        <v>11</v>
      </c>
      <c r="C15" s="19">
        <f>C9+C10+C11</f>
        <v>275062</v>
      </c>
      <c r="D15" s="20">
        <f t="shared" ref="D15" si="2">D9+D10+D11</f>
        <v>187531</v>
      </c>
      <c r="E15" s="20">
        <f t="shared" ref="E15:F15" si="3">E9+E10+E11</f>
        <v>143765.5</v>
      </c>
      <c r="F15" s="21">
        <f t="shared" si="3"/>
        <v>0</v>
      </c>
    </row>
    <row r="18" spans="2:6" ht="15" x14ac:dyDescent="0.25">
      <c r="B18" t="s">
        <v>12</v>
      </c>
      <c r="C18">
        <f>-C12</f>
        <v>-126259.29999999999</v>
      </c>
      <c r="D18">
        <f t="shared" ref="D18:F18" si="4">-D12</f>
        <v>0</v>
      </c>
      <c r="E18">
        <f t="shared" si="4"/>
        <v>0</v>
      </c>
      <c r="F18">
        <f t="shared" si="4"/>
        <v>0</v>
      </c>
    </row>
    <row r="19" spans="2:6" ht="15" x14ac:dyDescent="0.25">
      <c r="B19" t="s">
        <v>13</v>
      </c>
      <c r="C19" s="11">
        <f>C14</f>
        <v>0</v>
      </c>
      <c r="D19" s="11">
        <f t="shared" ref="D19:F19" si="5">D14</f>
        <v>49025.419999999991</v>
      </c>
      <c r="E19" s="11">
        <f t="shared" si="5"/>
        <v>11792.3325</v>
      </c>
      <c r="F19" s="11">
        <f t="shared" si="5"/>
        <v>113619.95375</v>
      </c>
    </row>
    <row r="20" spans="2:6" ht="15" x14ac:dyDescent="0.25">
      <c r="B20" t="s">
        <v>14</v>
      </c>
      <c r="C20">
        <f>C18+C19</f>
        <v>-126259.29999999999</v>
      </c>
      <c r="D20">
        <f t="shared" ref="D20:F20" si="6">D18+D19</f>
        <v>49025.419999999991</v>
      </c>
      <c r="E20">
        <f t="shared" si="6"/>
        <v>11792.3325</v>
      </c>
      <c r="F20">
        <f t="shared" si="6"/>
        <v>113619.95375</v>
      </c>
    </row>
    <row r="22" spans="2:6" ht="15" x14ac:dyDescent="0.25">
      <c r="B22" t="s">
        <v>15</v>
      </c>
      <c r="C22" s="12">
        <f>IRR(C20:F20)</f>
        <v>0.14998044821158985</v>
      </c>
    </row>
    <row r="25" spans="2:6" x14ac:dyDescent="0.3">
      <c r="D25">
        <v>0.05</v>
      </c>
    </row>
    <row r="26" spans="2:6" ht="15" thickBot="1" x14ac:dyDescent="0.35">
      <c r="C26">
        <v>0</v>
      </c>
      <c r="D26">
        <v>1</v>
      </c>
      <c r="E26">
        <v>2</v>
      </c>
      <c r="F26">
        <v>3</v>
      </c>
    </row>
    <row r="27" spans="2:6" x14ac:dyDescent="0.3">
      <c r="B27" t="s">
        <v>0</v>
      </c>
      <c r="C27" s="13">
        <v>175062</v>
      </c>
      <c r="D27" s="14"/>
      <c r="E27" s="14"/>
      <c r="F27" s="15"/>
    </row>
    <row r="28" spans="2:6" x14ac:dyDescent="0.3">
      <c r="B28" t="s">
        <v>1</v>
      </c>
      <c r="C28" s="16">
        <v>0</v>
      </c>
      <c r="D28" s="17">
        <f>(C34+C33)*-$D$25</f>
        <v>13753.1</v>
      </c>
      <c r="E28" s="17">
        <f>D38*0.05</f>
        <v>0</v>
      </c>
      <c r="F28" s="18">
        <f>E38*0.05</f>
        <v>0</v>
      </c>
    </row>
    <row r="29" spans="2:6" x14ac:dyDescent="0.3">
      <c r="B29" t="s">
        <v>2</v>
      </c>
      <c r="C29" s="16">
        <f>-C27*0.15</f>
        <v>-26259.3</v>
      </c>
      <c r="D29" s="17"/>
      <c r="E29" s="17"/>
      <c r="F29" s="18"/>
    </row>
    <row r="30" spans="2:6" x14ac:dyDescent="0.3">
      <c r="B30" t="s">
        <v>3</v>
      </c>
      <c r="C30" s="16">
        <v>0</v>
      </c>
      <c r="D30" s="17">
        <f>-(C27+C29+D31+(D32-C32)+D28)*0.35</f>
        <v>-12258.680000000002</v>
      </c>
      <c r="E30" s="17">
        <f>(D27-D29-E31+E28-(E32-D32))*0.35</f>
        <v>-58203.774999999994</v>
      </c>
      <c r="F30" s="18">
        <f>(E27-E29-F31+F28-(F32-E32))*0.35</f>
        <v>4817.9249999999993</v>
      </c>
    </row>
    <row r="31" spans="2:6" x14ac:dyDescent="0.3">
      <c r="B31" t="s">
        <v>4</v>
      </c>
      <c r="C31" s="16">
        <v>0</v>
      </c>
      <c r="D31" s="17">
        <v>-40000</v>
      </c>
      <c r="E31" s="17">
        <v>35000</v>
      </c>
      <c r="F31" s="18">
        <v>30000</v>
      </c>
    </row>
    <row r="32" spans="2:6" x14ac:dyDescent="0.3">
      <c r="B32" t="s">
        <v>5</v>
      </c>
      <c r="C32" s="16">
        <v>0</v>
      </c>
      <c r="D32" s="17">
        <f>-C27*0.5</f>
        <v>-87531</v>
      </c>
      <c r="E32" s="17">
        <f>C27*0.25</f>
        <v>43765.5</v>
      </c>
      <c r="F32" s="18">
        <v>0</v>
      </c>
    </row>
    <row r="33" spans="2:6" x14ac:dyDescent="0.3">
      <c r="B33" t="s">
        <v>6</v>
      </c>
      <c r="C33" s="16">
        <f>-C27</f>
        <v>-175062</v>
      </c>
      <c r="D33" s="17">
        <f>0-C33</f>
        <v>175062</v>
      </c>
      <c r="E33" s="17">
        <v>0</v>
      </c>
      <c r="F33" s="18">
        <v>0</v>
      </c>
    </row>
    <row r="34" spans="2:6" x14ac:dyDescent="0.3">
      <c r="B34" t="s">
        <v>7</v>
      </c>
      <c r="C34" s="16">
        <v>-100000</v>
      </c>
      <c r="D34" s="17">
        <f>0</f>
        <v>0</v>
      </c>
      <c r="E34" s="17">
        <v>100000</v>
      </c>
      <c r="F34" s="18">
        <v>0</v>
      </c>
    </row>
    <row r="35" spans="2:6" ht="15" thickBot="1" x14ac:dyDescent="0.35">
      <c r="C35" s="19"/>
      <c r="D35" s="20"/>
      <c r="E35" s="20"/>
      <c r="F35" s="21"/>
    </row>
    <row r="36" spans="2:6" x14ac:dyDescent="0.3">
      <c r="C36" s="13"/>
      <c r="D36" s="14"/>
      <c r="E36" s="14"/>
      <c r="F36" s="15"/>
    </row>
    <row r="37" spans="2:6" x14ac:dyDescent="0.3">
      <c r="C37" s="16"/>
      <c r="D37" s="17"/>
      <c r="E37" s="17"/>
      <c r="F37" s="18"/>
    </row>
    <row r="38" spans="2:6" ht="15" thickBot="1" x14ac:dyDescent="0.35">
      <c r="C38" s="19"/>
      <c r="D38" s="20"/>
      <c r="E38" s="20"/>
      <c r="F38" s="21"/>
    </row>
    <row r="40" spans="2:6" x14ac:dyDescent="0.3">
      <c r="B40" t="s">
        <v>25</v>
      </c>
      <c r="C40" s="36">
        <f>SUM(C27:C34)</f>
        <v>-126259.29999999999</v>
      </c>
      <c r="D40" s="36">
        <f>SUM(D27:D34)</f>
        <v>49025.42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2"/>
  <sheetViews>
    <sheetView workbookViewId="0">
      <selection activeCell="C9" sqref="C9:D9"/>
    </sheetView>
  </sheetViews>
  <sheetFormatPr defaultRowHeight="14.4" x14ac:dyDescent="0.3"/>
  <cols>
    <col min="2" max="2" width="28.6640625" bestFit="1" customWidth="1"/>
    <col min="3" max="5" width="10.33203125" customWidth="1"/>
    <col min="7" max="9" width="11.5546875" bestFit="1" customWidth="1"/>
  </cols>
  <sheetData>
    <row r="3" spans="2:9" ht="15.75" thickBot="1" x14ac:dyDescent="0.3">
      <c r="C3">
        <v>0</v>
      </c>
      <c r="D3">
        <v>1</v>
      </c>
      <c r="E3">
        <v>2</v>
      </c>
      <c r="H3" s="22"/>
    </row>
    <row r="4" spans="2:9" ht="15" x14ac:dyDescent="0.25">
      <c r="B4" t="s">
        <v>0</v>
      </c>
      <c r="C4" s="23">
        <v>125</v>
      </c>
      <c r="D4" s="24"/>
      <c r="E4" s="25"/>
      <c r="H4" s="22"/>
    </row>
    <row r="5" spans="2:9" ht="15" x14ac:dyDescent="0.25">
      <c r="B5" t="s">
        <v>1</v>
      </c>
      <c r="C5" s="26">
        <v>0</v>
      </c>
      <c r="D5" s="27">
        <f>C15*0.04</f>
        <v>6.25</v>
      </c>
      <c r="E5" s="28">
        <f>D15*0.04</f>
        <v>1.5626666666666669</v>
      </c>
      <c r="H5" s="22"/>
    </row>
    <row r="6" spans="2:9" ht="15" x14ac:dyDescent="0.25">
      <c r="B6" t="s">
        <v>2</v>
      </c>
      <c r="C6" s="26">
        <f>C4*0.28</f>
        <v>35</v>
      </c>
      <c r="D6" s="27"/>
      <c r="E6" s="28"/>
    </row>
    <row r="7" spans="2:9" ht="15" x14ac:dyDescent="0.25">
      <c r="B7" t="s">
        <v>3</v>
      </c>
      <c r="C7" s="26">
        <v>0</v>
      </c>
      <c r="D7" s="27">
        <v>0</v>
      </c>
      <c r="E7" s="28">
        <v>0</v>
      </c>
      <c r="I7" s="22"/>
    </row>
    <row r="8" spans="2:9" ht="15" x14ac:dyDescent="0.25">
      <c r="B8" t="s">
        <v>4</v>
      </c>
      <c r="C8" s="26">
        <v>0</v>
      </c>
      <c r="D8" s="27">
        <v>70.31</v>
      </c>
      <c r="E8" s="28">
        <v>23.44</v>
      </c>
      <c r="H8" s="22"/>
    </row>
    <row r="9" spans="2:9" ht="15" x14ac:dyDescent="0.25">
      <c r="B9" t="s">
        <v>5</v>
      </c>
      <c r="C9" s="26">
        <v>93.75</v>
      </c>
      <c r="D9" s="27">
        <v>23.44</v>
      </c>
      <c r="E9" s="28">
        <v>0</v>
      </c>
    </row>
    <row r="10" spans="2:9" ht="15" x14ac:dyDescent="0.25">
      <c r="B10" t="s">
        <v>6</v>
      </c>
      <c r="C10" s="26">
        <v>0</v>
      </c>
      <c r="D10" s="27">
        <v>0</v>
      </c>
      <c r="E10" s="28">
        <v>0</v>
      </c>
    </row>
    <row r="11" spans="2:9" ht="15" x14ac:dyDescent="0.25">
      <c r="B11" t="s">
        <v>7</v>
      </c>
      <c r="C11" s="26">
        <f>C9*2/3</f>
        <v>62.5</v>
      </c>
      <c r="D11" s="27">
        <f>D9*2/3</f>
        <v>15.626666666666667</v>
      </c>
      <c r="E11" s="28">
        <v>0</v>
      </c>
    </row>
    <row r="12" spans="2:9" ht="15.75" thickBot="1" x14ac:dyDescent="0.3">
      <c r="B12" t="s">
        <v>8</v>
      </c>
      <c r="C12" s="29">
        <f>C10+C9+C11-(C4-C6)</f>
        <v>66.25</v>
      </c>
      <c r="D12" s="30">
        <v>0</v>
      </c>
      <c r="E12" s="31">
        <v>0</v>
      </c>
    </row>
    <row r="13" spans="2:9" ht="15" x14ac:dyDescent="0.25">
      <c r="B13" t="s">
        <v>9</v>
      </c>
      <c r="C13" s="23">
        <f>C10+C9+C11</f>
        <v>156.25</v>
      </c>
      <c r="D13" s="24">
        <f>C15</f>
        <v>156.25</v>
      </c>
      <c r="E13" s="25">
        <f>D15</f>
        <v>39.06666666666667</v>
      </c>
    </row>
    <row r="14" spans="2:9" ht="15" x14ac:dyDescent="0.25">
      <c r="B14" t="s">
        <v>10</v>
      </c>
      <c r="C14" s="26">
        <f>C13-C8-C15</f>
        <v>0</v>
      </c>
      <c r="D14" s="27">
        <f>D13-D15-D8-D7-D6+D5</f>
        <v>53.123333333333335</v>
      </c>
      <c r="E14" s="28">
        <f>E13-E15-E8-E7-E6+E5</f>
        <v>17.189333333333337</v>
      </c>
      <c r="G14" s="22"/>
    </row>
    <row r="15" spans="2:9" ht="15.75" thickBot="1" x14ac:dyDescent="0.3">
      <c r="B15" t="s">
        <v>11</v>
      </c>
      <c r="C15" s="29">
        <f>C9+C10+C11</f>
        <v>156.25</v>
      </c>
      <c r="D15" s="30">
        <f t="shared" ref="D15:E15" si="0">D9+D10+D11</f>
        <v>39.06666666666667</v>
      </c>
      <c r="E15" s="31">
        <f t="shared" si="0"/>
        <v>0</v>
      </c>
    </row>
    <row r="18" spans="2:5" ht="15" x14ac:dyDescent="0.25">
      <c r="B18" t="s">
        <v>12</v>
      </c>
      <c r="C18">
        <f>-C12</f>
        <v>-66.25</v>
      </c>
      <c r="D18">
        <f t="shared" ref="D18:E18" si="1">-D12</f>
        <v>0</v>
      </c>
      <c r="E18">
        <f t="shared" si="1"/>
        <v>0</v>
      </c>
    </row>
    <row r="19" spans="2:5" ht="15" x14ac:dyDescent="0.25">
      <c r="B19" t="s">
        <v>13</v>
      </c>
      <c r="C19" s="11">
        <f>C14</f>
        <v>0</v>
      </c>
      <c r="D19" s="11">
        <f t="shared" ref="D19:E19" si="2">D14</f>
        <v>53.123333333333335</v>
      </c>
      <c r="E19" s="11">
        <f t="shared" si="2"/>
        <v>17.189333333333337</v>
      </c>
    </row>
    <row r="20" spans="2:5" ht="15" x14ac:dyDescent="0.25">
      <c r="B20" t="s">
        <v>14</v>
      </c>
      <c r="C20">
        <f>C18+C19</f>
        <v>-66.25</v>
      </c>
      <c r="D20">
        <f t="shared" ref="D20:E20" si="3">D18+D19</f>
        <v>53.123333333333335</v>
      </c>
      <c r="E20">
        <f t="shared" si="3"/>
        <v>17.189333333333337</v>
      </c>
    </row>
    <row r="22" spans="2:5" ht="15" x14ac:dyDescent="0.25">
      <c r="B22" t="s">
        <v>15</v>
      </c>
      <c r="C22" s="12">
        <f>IRR(C20:E20)</f>
        <v>4.9164691863483378E-2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4"/>
  <sheetViews>
    <sheetView tabSelected="1" topLeftCell="A22" workbookViewId="0">
      <selection activeCell="F32" sqref="F32"/>
    </sheetView>
  </sheetViews>
  <sheetFormatPr defaultRowHeight="14.4" x14ac:dyDescent="0.3"/>
  <cols>
    <col min="2" max="2" width="28.6640625" bestFit="1" customWidth="1"/>
  </cols>
  <sheetData>
    <row r="3" spans="2:12" ht="15.75" thickBot="1" x14ac:dyDescent="0.3">
      <c r="C3">
        <v>0</v>
      </c>
      <c r="D3">
        <f>C3+0.25</f>
        <v>0.25</v>
      </c>
      <c r="E3">
        <f t="shared" ref="E3:K3" si="0">D3+0.25</f>
        <v>0.5</v>
      </c>
      <c r="F3">
        <f t="shared" si="0"/>
        <v>0.75</v>
      </c>
      <c r="G3">
        <f t="shared" si="0"/>
        <v>1</v>
      </c>
      <c r="H3">
        <f t="shared" si="0"/>
        <v>1.25</v>
      </c>
      <c r="I3">
        <f t="shared" si="0"/>
        <v>1.5</v>
      </c>
      <c r="J3">
        <f t="shared" si="0"/>
        <v>1.75</v>
      </c>
      <c r="K3">
        <f t="shared" si="0"/>
        <v>2</v>
      </c>
    </row>
    <row r="4" spans="2:12" ht="15" x14ac:dyDescent="0.25">
      <c r="B4" t="s">
        <v>0</v>
      </c>
      <c r="C4" s="23">
        <v>309.9415157674872</v>
      </c>
      <c r="D4" s="24">
        <v>0</v>
      </c>
      <c r="E4" s="24">
        <v>0</v>
      </c>
      <c r="F4" s="24">
        <v>0</v>
      </c>
      <c r="G4" s="24">
        <v>0</v>
      </c>
      <c r="H4" s="24">
        <v>0</v>
      </c>
      <c r="I4" s="24">
        <v>0</v>
      </c>
      <c r="J4" s="24">
        <v>0</v>
      </c>
      <c r="K4" s="25">
        <v>0</v>
      </c>
    </row>
    <row r="5" spans="2:12" ht="15" x14ac:dyDescent="0.25">
      <c r="B5" t="s">
        <v>1</v>
      </c>
      <c r="C5" s="26"/>
      <c r="D5" s="27"/>
      <c r="E5" s="27"/>
      <c r="F5" s="27"/>
      <c r="G5" s="27">
        <f>F11*0.05</f>
        <v>7.7485378941871801</v>
      </c>
      <c r="H5" s="27"/>
      <c r="I5" s="27"/>
      <c r="J5" s="27"/>
      <c r="K5" s="28">
        <f>J11*0.05</f>
        <v>7.7485378941871801</v>
      </c>
    </row>
    <row r="6" spans="2:12" ht="15" x14ac:dyDescent="0.25">
      <c r="B6" t="s">
        <v>2</v>
      </c>
      <c r="C6" s="26">
        <v>50</v>
      </c>
      <c r="D6" s="27">
        <f>C4*0.2</f>
        <v>61.988303153497441</v>
      </c>
      <c r="E6" s="27"/>
      <c r="F6" s="27"/>
      <c r="G6" s="27"/>
      <c r="H6" s="27"/>
      <c r="I6" s="27"/>
      <c r="J6" s="27"/>
      <c r="K6" s="28"/>
    </row>
    <row r="7" spans="2:12" ht="15" x14ac:dyDescent="0.25">
      <c r="B7" t="s">
        <v>3</v>
      </c>
      <c r="C7" s="26"/>
      <c r="D7" s="27"/>
      <c r="E7" s="27"/>
      <c r="F7" s="27"/>
      <c r="G7" s="27"/>
      <c r="H7" s="27"/>
      <c r="I7" s="27"/>
      <c r="J7" s="27"/>
      <c r="K7" s="28"/>
    </row>
    <row r="8" spans="2:12" ht="15" x14ac:dyDescent="0.25">
      <c r="B8" t="s">
        <v>4</v>
      </c>
      <c r="C8" s="26"/>
      <c r="D8" s="27"/>
      <c r="E8" s="27">
        <f>C4*0.35</f>
        <v>108.47953051862052</v>
      </c>
      <c r="F8" s="27"/>
      <c r="G8" s="27"/>
      <c r="H8" s="27"/>
      <c r="I8" s="27">
        <f>C4*0.25</f>
        <v>77.485378941871801</v>
      </c>
      <c r="J8" s="27"/>
      <c r="K8" s="28"/>
    </row>
    <row r="9" spans="2:12" ht="15" x14ac:dyDescent="0.25">
      <c r="B9" t="s">
        <v>5</v>
      </c>
      <c r="C9" s="26">
        <f>C4*0.6</f>
        <v>185.96490946049232</v>
      </c>
      <c r="D9" s="27">
        <f>C9-D8</f>
        <v>185.96490946049232</v>
      </c>
      <c r="E9" s="27">
        <f t="shared" ref="E9:K9" si="1">D9-E8-E6</f>
        <v>77.485378941871801</v>
      </c>
      <c r="F9" s="27">
        <f t="shared" si="1"/>
        <v>77.485378941871801</v>
      </c>
      <c r="G9" s="27">
        <f t="shared" si="1"/>
        <v>77.485378941871801</v>
      </c>
      <c r="H9" s="27">
        <f t="shared" si="1"/>
        <v>77.485378941871801</v>
      </c>
      <c r="I9" s="27">
        <f t="shared" si="1"/>
        <v>0</v>
      </c>
      <c r="J9" s="27">
        <f t="shared" si="1"/>
        <v>0</v>
      </c>
      <c r="K9" s="28">
        <f t="shared" si="1"/>
        <v>0</v>
      </c>
    </row>
    <row r="10" spans="2:12" ht="15" x14ac:dyDescent="0.25">
      <c r="B10" t="s">
        <v>6</v>
      </c>
      <c r="C10" s="26"/>
      <c r="D10" s="27"/>
      <c r="E10" s="27"/>
      <c r="F10" s="27"/>
      <c r="G10" s="27"/>
      <c r="H10" s="27"/>
      <c r="I10" s="27"/>
      <c r="J10" s="27"/>
      <c r="K10" s="28"/>
    </row>
    <row r="11" spans="2:12" ht="15" x14ac:dyDescent="0.25">
      <c r="B11" t="s">
        <v>7</v>
      </c>
      <c r="C11" s="26">
        <f>C4*0.5</f>
        <v>154.9707578837436</v>
      </c>
      <c r="D11" s="27">
        <f>C11</f>
        <v>154.9707578837436</v>
      </c>
      <c r="E11" s="27">
        <f t="shared" ref="E11:J11" si="2">D11</f>
        <v>154.9707578837436</v>
      </c>
      <c r="F11" s="27">
        <f t="shared" si="2"/>
        <v>154.9707578837436</v>
      </c>
      <c r="G11" s="27">
        <f t="shared" si="2"/>
        <v>154.9707578837436</v>
      </c>
      <c r="H11" s="27">
        <f t="shared" si="2"/>
        <v>154.9707578837436</v>
      </c>
      <c r="I11" s="27">
        <f t="shared" si="2"/>
        <v>154.9707578837436</v>
      </c>
      <c r="J11" s="27">
        <f t="shared" si="2"/>
        <v>154.9707578837436</v>
      </c>
      <c r="K11" s="28">
        <v>0</v>
      </c>
    </row>
    <row r="12" spans="2:12" ht="15.75" thickBot="1" x14ac:dyDescent="0.3">
      <c r="B12" t="s">
        <v>8</v>
      </c>
      <c r="C12" s="29">
        <f>C11+C9+C6-C4</f>
        <v>80.99415157674872</v>
      </c>
      <c r="D12" s="30">
        <f>D6</f>
        <v>61.988303153497441</v>
      </c>
      <c r="E12" s="30"/>
      <c r="F12" s="30"/>
      <c r="G12" s="30"/>
      <c r="H12" s="30"/>
      <c r="I12" s="30"/>
      <c r="J12" s="30"/>
      <c r="K12" s="31"/>
    </row>
    <row r="13" spans="2:12" ht="15" x14ac:dyDescent="0.25">
      <c r="B13" t="s">
        <v>9</v>
      </c>
      <c r="C13" s="23">
        <f>C11+C10+C9</f>
        <v>340.93566734423592</v>
      </c>
      <c r="D13" s="24">
        <f>C15</f>
        <v>340.93566734423592</v>
      </c>
      <c r="E13" s="24">
        <f t="shared" ref="E13:K13" si="3">D15</f>
        <v>340.93566734423592</v>
      </c>
      <c r="F13" s="24">
        <f t="shared" si="3"/>
        <v>232.4561368256154</v>
      </c>
      <c r="G13" s="24">
        <f t="shared" si="3"/>
        <v>232.4561368256154</v>
      </c>
      <c r="H13" s="24">
        <f t="shared" si="3"/>
        <v>232.4561368256154</v>
      </c>
      <c r="I13" s="24">
        <f t="shared" si="3"/>
        <v>232.4561368256154</v>
      </c>
      <c r="J13" s="24">
        <f t="shared" si="3"/>
        <v>154.9707578837436</v>
      </c>
      <c r="K13" s="25">
        <f t="shared" si="3"/>
        <v>154.9707578837436</v>
      </c>
      <c r="L13" s="33"/>
    </row>
    <row r="14" spans="2:12" ht="15" x14ac:dyDescent="0.25">
      <c r="B14" t="s">
        <v>10</v>
      </c>
      <c r="C14" s="26">
        <f>C13-C15</f>
        <v>0</v>
      </c>
      <c r="D14" s="27">
        <f>D13-D15-D6-D8+D5+D12</f>
        <v>0</v>
      </c>
      <c r="E14" s="27">
        <f t="shared" ref="E14:K14" si="4">E13-E15-E6-E8+E5</f>
        <v>0</v>
      </c>
      <c r="F14" s="27">
        <f t="shared" si="4"/>
        <v>0</v>
      </c>
      <c r="G14" s="27">
        <f>G13-G15-G6-G8+G5</f>
        <v>7.7485378941871801</v>
      </c>
      <c r="H14" s="27">
        <f t="shared" si="4"/>
        <v>0</v>
      </c>
      <c r="I14" s="27">
        <f t="shared" si="4"/>
        <v>0</v>
      </c>
      <c r="J14" s="27">
        <f t="shared" si="4"/>
        <v>0</v>
      </c>
      <c r="K14" s="28">
        <f t="shared" si="4"/>
        <v>162.71929577793077</v>
      </c>
    </row>
    <row r="15" spans="2:12" ht="15.75" thickBot="1" x14ac:dyDescent="0.3">
      <c r="B15" t="s">
        <v>11</v>
      </c>
      <c r="C15" s="29">
        <f>C11+C10+C9</f>
        <v>340.93566734423592</v>
      </c>
      <c r="D15" s="30">
        <f t="shared" ref="D15" si="5">D11+D10+D9</f>
        <v>340.93566734423592</v>
      </c>
      <c r="E15" s="30">
        <f t="shared" ref="E15:K15" si="6">E11+E10+E9</f>
        <v>232.4561368256154</v>
      </c>
      <c r="F15" s="30">
        <f t="shared" si="6"/>
        <v>232.4561368256154</v>
      </c>
      <c r="G15" s="30">
        <f t="shared" si="6"/>
        <v>232.4561368256154</v>
      </c>
      <c r="H15" s="30">
        <f t="shared" si="6"/>
        <v>232.4561368256154</v>
      </c>
      <c r="I15" s="30">
        <f t="shared" si="6"/>
        <v>154.9707578837436</v>
      </c>
      <c r="J15" s="30">
        <f t="shared" si="6"/>
        <v>154.9707578837436</v>
      </c>
      <c r="K15" s="31">
        <f t="shared" si="6"/>
        <v>0</v>
      </c>
    </row>
    <row r="18" spans="2:11" ht="15" x14ac:dyDescent="0.25">
      <c r="B18" t="s">
        <v>12</v>
      </c>
      <c r="C18" s="22">
        <f>C12*-1</f>
        <v>-80.99415157674872</v>
      </c>
      <c r="D18" s="22">
        <f>D12*-1</f>
        <v>-61.988303153497441</v>
      </c>
      <c r="E18" s="22">
        <f t="shared" ref="E18:K18" si="7">E12*-1</f>
        <v>0</v>
      </c>
      <c r="F18" s="22">
        <f t="shared" si="7"/>
        <v>0</v>
      </c>
      <c r="G18" s="22">
        <f t="shared" si="7"/>
        <v>0</v>
      </c>
      <c r="H18" s="22">
        <f t="shared" si="7"/>
        <v>0</v>
      </c>
      <c r="I18" s="22">
        <f t="shared" si="7"/>
        <v>0</v>
      </c>
      <c r="J18" s="22">
        <f t="shared" si="7"/>
        <v>0</v>
      </c>
      <c r="K18" s="22">
        <f t="shared" si="7"/>
        <v>0</v>
      </c>
    </row>
    <row r="19" spans="2:11" ht="15" x14ac:dyDescent="0.25">
      <c r="B19" t="s">
        <v>13</v>
      </c>
      <c r="C19" s="32">
        <f>C14</f>
        <v>0</v>
      </c>
      <c r="D19" s="32">
        <f t="shared" ref="D19:K19" si="8">D14</f>
        <v>0</v>
      </c>
      <c r="E19" s="32">
        <f t="shared" si="8"/>
        <v>0</v>
      </c>
      <c r="F19" s="32">
        <f t="shared" si="8"/>
        <v>0</v>
      </c>
      <c r="G19" s="32">
        <f t="shared" si="8"/>
        <v>7.7485378941871801</v>
      </c>
      <c r="H19" s="32">
        <f t="shared" si="8"/>
        <v>0</v>
      </c>
      <c r="I19" s="32">
        <f t="shared" si="8"/>
        <v>0</v>
      </c>
      <c r="J19" s="32">
        <f t="shared" si="8"/>
        <v>0</v>
      </c>
      <c r="K19" s="32">
        <f t="shared" si="8"/>
        <v>162.71929577793077</v>
      </c>
    </row>
    <row r="20" spans="2:11" ht="15" x14ac:dyDescent="0.25">
      <c r="B20" t="s">
        <v>14</v>
      </c>
      <c r="C20" s="22">
        <f>C18+C19</f>
        <v>-80.99415157674872</v>
      </c>
      <c r="D20" s="22">
        <f t="shared" ref="D20:K20" si="9">D18+D19</f>
        <v>-61.988303153497441</v>
      </c>
      <c r="E20" s="22">
        <f t="shared" si="9"/>
        <v>0</v>
      </c>
      <c r="F20" s="22">
        <f t="shared" si="9"/>
        <v>0</v>
      </c>
      <c r="G20" s="22">
        <f t="shared" si="9"/>
        <v>7.7485378941871801</v>
      </c>
      <c r="H20" s="22">
        <f t="shared" si="9"/>
        <v>0</v>
      </c>
      <c r="I20" s="22">
        <f t="shared" si="9"/>
        <v>0</v>
      </c>
      <c r="J20" s="22">
        <f t="shared" si="9"/>
        <v>0</v>
      </c>
      <c r="K20" s="22">
        <f t="shared" si="9"/>
        <v>162.71929577793077</v>
      </c>
    </row>
    <row r="22" spans="2:11" ht="15" x14ac:dyDescent="0.25">
      <c r="B22" t="s">
        <v>15</v>
      </c>
      <c r="C22" s="12">
        <f>IRR(C20:K20)</f>
        <v>2.4113687609810475E-2</v>
      </c>
    </row>
    <row r="23" spans="2:11" ht="15" x14ac:dyDescent="0.25">
      <c r="F23" s="22"/>
    </row>
    <row r="24" spans="2:11" x14ac:dyDescent="0.3">
      <c r="B24" s="34">
        <f>SUM(C24:K24)</f>
        <v>-1.5034591740459291E-6</v>
      </c>
      <c r="C24" s="22">
        <f>C20/(1.1)^C3</f>
        <v>-80.99415157674872</v>
      </c>
      <c r="D24" s="22">
        <f t="shared" ref="D24:K24" si="10">D20/(1.1)^D3</f>
        <v>-60.528732126327512</v>
      </c>
      <c r="E24" s="22">
        <f t="shared" si="10"/>
        <v>0</v>
      </c>
      <c r="F24" s="22">
        <f t="shared" si="10"/>
        <v>0</v>
      </c>
      <c r="G24" s="22">
        <f t="shared" si="10"/>
        <v>7.0441253583519812</v>
      </c>
      <c r="H24" s="22">
        <f t="shared" si="10"/>
        <v>0</v>
      </c>
      <c r="I24" s="22">
        <f t="shared" si="10"/>
        <v>0</v>
      </c>
      <c r="J24" s="22">
        <f t="shared" si="10"/>
        <v>0</v>
      </c>
      <c r="K24" s="22">
        <f t="shared" si="10"/>
        <v>134.47875684126507</v>
      </c>
    </row>
    <row r="25" spans="2:11" x14ac:dyDescent="0.3">
      <c r="C25" s="22"/>
    </row>
    <row r="27" spans="2:11" ht="15" thickBot="1" x14ac:dyDescent="0.35">
      <c r="B27" t="s">
        <v>17</v>
      </c>
      <c r="C27">
        <v>0</v>
      </c>
      <c r="D27">
        <v>0.25</v>
      </c>
      <c r="E27">
        <v>0.5</v>
      </c>
      <c r="F27">
        <v>0.75</v>
      </c>
      <c r="G27">
        <v>1</v>
      </c>
      <c r="H27">
        <v>1.25</v>
      </c>
      <c r="I27">
        <v>1.5</v>
      </c>
      <c r="J27">
        <v>1.75</v>
      </c>
      <c r="K27">
        <v>2</v>
      </c>
    </row>
    <row r="28" spans="2:11" x14ac:dyDescent="0.3">
      <c r="B28" t="s">
        <v>0</v>
      </c>
      <c r="C28" s="1" t="s">
        <v>26</v>
      </c>
      <c r="D28" s="2"/>
      <c r="E28" s="2"/>
      <c r="F28" s="2"/>
      <c r="G28" s="2"/>
      <c r="H28" s="2"/>
      <c r="I28" s="2"/>
      <c r="J28" s="2"/>
      <c r="K28" s="3"/>
    </row>
    <row r="29" spans="2:11" x14ac:dyDescent="0.3">
      <c r="B29" t="s">
        <v>18</v>
      </c>
      <c r="C29" s="4">
        <v>-50</v>
      </c>
      <c r="D29" s="5"/>
      <c r="E29" s="5"/>
      <c r="F29" s="5"/>
      <c r="G29" s="5"/>
      <c r="H29" s="5"/>
      <c r="I29" s="5"/>
      <c r="J29" s="5"/>
      <c r="K29" s="6"/>
    </row>
    <row r="30" spans="2:11" x14ac:dyDescent="0.3">
      <c r="B30" t="s">
        <v>19</v>
      </c>
      <c r="C30" s="4"/>
      <c r="D30" s="40" t="s">
        <v>30</v>
      </c>
      <c r="E30" s="5"/>
      <c r="F30" s="5"/>
      <c r="G30" s="5"/>
      <c r="H30" s="5"/>
      <c r="I30" s="5"/>
      <c r="J30" s="5"/>
      <c r="K30" s="6"/>
    </row>
    <row r="31" spans="2:11" x14ac:dyDescent="0.3">
      <c r="B31" t="s">
        <v>20</v>
      </c>
      <c r="C31" s="4"/>
      <c r="D31" s="5"/>
      <c r="E31" s="40" t="s">
        <v>31</v>
      </c>
      <c r="F31" s="5"/>
      <c r="G31" s="5"/>
      <c r="H31" s="5"/>
      <c r="I31" s="5">
        <f>-0.25*309.94</f>
        <v>-77.484999999999999</v>
      </c>
      <c r="J31" s="5"/>
      <c r="K31" s="6"/>
    </row>
    <row r="32" spans="2:11" x14ac:dyDescent="0.3">
      <c r="B32" t="s">
        <v>21</v>
      </c>
      <c r="C32" s="37" t="s">
        <v>27</v>
      </c>
      <c r="D32" s="5"/>
      <c r="E32" s="5"/>
      <c r="F32" s="5"/>
      <c r="G32" s="5"/>
      <c r="H32" s="5"/>
      <c r="I32" s="5"/>
      <c r="J32" s="5"/>
      <c r="K32" s="6">
        <f>0.5*309.94</f>
        <v>154.97</v>
      </c>
    </row>
    <row r="33" spans="2:11" x14ac:dyDescent="0.3">
      <c r="B33" t="s">
        <v>22</v>
      </c>
      <c r="C33" s="4"/>
      <c r="D33" s="5"/>
      <c r="E33" s="5"/>
      <c r="F33" s="5"/>
      <c r="G33" s="5">
        <f>0.025*309.94</f>
        <v>7.7484999999999999</v>
      </c>
      <c r="H33" s="5"/>
      <c r="I33" s="5"/>
      <c r="J33" s="5"/>
      <c r="K33" s="6">
        <f>0.025*309.94</f>
        <v>7.7484999999999999</v>
      </c>
    </row>
    <row r="34" spans="2:11" ht="15" thickBot="1" x14ac:dyDescent="0.35">
      <c r="B34" t="s">
        <v>23</v>
      </c>
      <c r="C34" s="38" t="s">
        <v>28</v>
      </c>
      <c r="D34" s="8"/>
      <c r="E34" s="40" t="s">
        <v>32</v>
      </c>
      <c r="F34" s="8"/>
      <c r="G34" s="8"/>
      <c r="H34" s="8"/>
      <c r="I34" s="8">
        <f>0.25*309.94</f>
        <v>77.484999999999999</v>
      </c>
      <c r="J34" s="8"/>
      <c r="K34" s="9"/>
    </row>
    <row r="35" spans="2:11" x14ac:dyDescent="0.3">
      <c r="B35" t="s">
        <v>24</v>
      </c>
      <c r="C35">
        <v>1</v>
      </c>
      <c r="D35">
        <v>0.97599999999999998</v>
      </c>
      <c r="E35">
        <v>0.95299999999999996</v>
      </c>
      <c r="F35">
        <v>0.93100000000000005</v>
      </c>
      <c r="G35">
        <v>0.90900000000000003</v>
      </c>
      <c r="H35">
        <v>0.88800000000000001</v>
      </c>
      <c r="I35">
        <v>0.86699999999999999</v>
      </c>
      <c r="J35">
        <v>0.84599999999999997</v>
      </c>
      <c r="K35">
        <v>0.82599999999999996</v>
      </c>
    </row>
    <row r="37" spans="2:11" x14ac:dyDescent="0.3">
      <c r="B37" s="35">
        <f>SUM(C37:K37)</f>
        <v>120.46700000000001</v>
      </c>
      <c r="C37" s="35">
        <f>SUM(C28:C34)</f>
        <v>-50</v>
      </c>
      <c r="D37" s="35">
        <f t="shared" ref="D37:K37" si="11">SUM(D28:D34)</f>
        <v>0</v>
      </c>
      <c r="E37" s="35">
        <f t="shared" si="11"/>
        <v>0</v>
      </c>
      <c r="F37" s="35">
        <f t="shared" si="11"/>
        <v>0</v>
      </c>
      <c r="G37" s="35">
        <f t="shared" si="11"/>
        <v>7.7484999999999999</v>
      </c>
      <c r="H37" s="35">
        <f t="shared" si="11"/>
        <v>0</v>
      </c>
      <c r="I37" s="35">
        <f t="shared" si="11"/>
        <v>0</v>
      </c>
      <c r="J37" s="35">
        <f t="shared" si="11"/>
        <v>0</v>
      </c>
      <c r="K37" s="35">
        <f t="shared" si="11"/>
        <v>162.71850000000001</v>
      </c>
    </row>
    <row r="38" spans="2:11" x14ac:dyDescent="0.3">
      <c r="B38" s="35">
        <f>SUM(C38:K38)</f>
        <v>91.448867500000006</v>
      </c>
      <c r="C38" s="22">
        <f>C37*C35</f>
        <v>-50</v>
      </c>
      <c r="D38" s="22">
        <f t="shared" ref="D38:K38" si="12">D37*D35</f>
        <v>0</v>
      </c>
      <c r="E38" s="22">
        <f t="shared" si="12"/>
        <v>0</v>
      </c>
      <c r="F38" s="22">
        <f t="shared" si="12"/>
        <v>0</v>
      </c>
      <c r="G38" s="22">
        <f t="shared" si="12"/>
        <v>7.0433865000000004</v>
      </c>
      <c r="H38" s="22">
        <f t="shared" si="12"/>
        <v>0</v>
      </c>
      <c r="I38" s="22">
        <f t="shared" si="12"/>
        <v>0</v>
      </c>
      <c r="J38" s="22">
        <f t="shared" si="12"/>
        <v>0</v>
      </c>
      <c r="K38" s="22">
        <f t="shared" si="12"/>
        <v>134.40548100000001</v>
      </c>
    </row>
    <row r="41" spans="2:11" x14ac:dyDescent="0.3">
      <c r="C41" s="35">
        <f>C37-C20</f>
        <v>30.99415157674872</v>
      </c>
      <c r="D41" s="35">
        <f>D37-D20</f>
        <v>61.988303153497441</v>
      </c>
      <c r="E41" s="35">
        <f t="shared" ref="D41:K41" si="13">E37-E20</f>
        <v>0</v>
      </c>
      <c r="F41" s="35">
        <f t="shared" si="13"/>
        <v>0</v>
      </c>
      <c r="G41" s="35">
        <f t="shared" si="13"/>
        <v>-3.7894187180143035E-5</v>
      </c>
      <c r="H41" s="35">
        <f t="shared" si="13"/>
        <v>0</v>
      </c>
      <c r="I41" s="35">
        <f t="shared" si="13"/>
        <v>0</v>
      </c>
      <c r="J41" s="35">
        <f t="shared" si="13"/>
        <v>0</v>
      </c>
      <c r="K41" s="35">
        <f t="shared" si="13"/>
        <v>-7.9577793076168746E-4</v>
      </c>
    </row>
    <row r="44" spans="2:11" x14ac:dyDescent="0.3">
      <c r="C44" s="39" t="s">
        <v>29</v>
      </c>
      <c r="D44" s="40" t="s">
        <v>30</v>
      </c>
      <c r="E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Sheet2 (2)</vt:lpstr>
      <vt:lpstr>2006.16</vt:lpstr>
      <vt:lpstr>2011.18</vt:lpstr>
      <vt:lpstr>2014.18</vt:lpstr>
      <vt:lpstr>2012.17</vt:lpstr>
    </vt:vector>
  </TitlesOfParts>
  <Company>BTS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E. Jensen</dc:creator>
  <cp:lastModifiedBy>Li, Lingxiao</cp:lastModifiedBy>
  <cp:lastPrinted>2016-04-16T15:29:48Z</cp:lastPrinted>
  <dcterms:created xsi:type="dcterms:W3CDTF">2016-04-10T02:02:57Z</dcterms:created>
  <dcterms:modified xsi:type="dcterms:W3CDTF">2016-04-23T15:16:25Z</dcterms:modified>
</cp:coreProperties>
</file>