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 activeTab="3"/>
  </bookViews>
  <sheets>
    <sheet name="5.PVCF" sheetId="1" r:id="rId1"/>
    <sheet name="6.RiskAdjReturn" sheetId="2" r:id="rId2"/>
    <sheet name="RobinIRR_Feldblum" sheetId="3" r:id="rId3"/>
    <sheet name="Sheet4" sheetId="4" r:id="rId4"/>
    <sheet name="7. IRREquityFlow_" sheetId="5" r:id="rId5"/>
  </sheets>
  <calcPr calcId="145621"/>
  <fileRecoveryPr repairLoad="1"/>
</workbook>
</file>

<file path=xl/calcChain.xml><?xml version="1.0" encoding="utf-8"?>
<calcChain xmlns="http://schemas.openxmlformats.org/spreadsheetml/2006/main">
  <c r="B35" i="3" l="1"/>
  <c r="B33" i="3"/>
  <c r="G32" i="3"/>
  <c r="F32" i="3"/>
  <c r="B32" i="3"/>
  <c r="F31" i="3"/>
  <c r="C31" i="3"/>
  <c r="B31" i="3"/>
  <c r="G30" i="3"/>
  <c r="F30" i="3"/>
  <c r="G29" i="3"/>
  <c r="F29" i="3"/>
  <c r="G28" i="3"/>
  <c r="G27" i="3"/>
  <c r="F27" i="3"/>
  <c r="C27" i="3"/>
  <c r="G26" i="3"/>
  <c r="F26" i="3"/>
  <c r="G25" i="3"/>
  <c r="F25" i="3"/>
  <c r="G23" i="3"/>
  <c r="F23" i="3"/>
  <c r="C23" i="3"/>
  <c r="B23" i="3"/>
  <c r="G22" i="3"/>
  <c r="F22" i="3"/>
  <c r="G21" i="3"/>
  <c r="F21" i="3"/>
  <c r="B21" i="3"/>
  <c r="G20" i="3"/>
  <c r="G19" i="3"/>
  <c r="G18" i="3"/>
  <c r="F18" i="3"/>
  <c r="G17" i="3"/>
  <c r="F17" i="3"/>
  <c r="C17" i="3"/>
  <c r="B17" i="3"/>
  <c r="G16" i="3"/>
  <c r="F16" i="3"/>
  <c r="C16" i="3"/>
  <c r="B16" i="3"/>
  <c r="AH12" i="3"/>
  <c r="L12" i="3"/>
  <c r="K12" i="3"/>
  <c r="J12" i="3"/>
  <c r="I12" i="3"/>
  <c r="H12" i="3"/>
  <c r="L11" i="3"/>
  <c r="K11" i="3"/>
  <c r="J11" i="3"/>
  <c r="I11" i="3"/>
  <c r="H11" i="3"/>
  <c r="L10" i="3"/>
  <c r="K10" i="3"/>
  <c r="J10" i="3"/>
  <c r="I10" i="3"/>
  <c r="H10" i="3"/>
  <c r="L9" i="3"/>
  <c r="K9" i="3"/>
  <c r="J9" i="3"/>
  <c r="I9" i="3"/>
  <c r="H9" i="3"/>
  <c r="AJ8" i="3"/>
  <c r="AI8" i="3"/>
  <c r="AH8" i="3"/>
  <c r="L8" i="3"/>
  <c r="K8" i="3"/>
  <c r="J8" i="3"/>
  <c r="I8" i="3"/>
  <c r="H8" i="3"/>
  <c r="AJ7" i="3"/>
  <c r="AI7" i="3"/>
  <c r="AH7" i="3"/>
  <c r="L7" i="3"/>
  <c r="K7" i="3"/>
  <c r="J7" i="3"/>
  <c r="I7" i="3"/>
  <c r="H7" i="3"/>
  <c r="L6" i="3"/>
  <c r="K6" i="3"/>
  <c r="J6" i="3"/>
  <c r="I6" i="3"/>
  <c r="H6" i="3"/>
  <c r="L5" i="3"/>
  <c r="K5" i="3"/>
  <c r="J5" i="3"/>
  <c r="I5" i="3"/>
  <c r="H5" i="3"/>
  <c r="K4" i="3"/>
  <c r="J4" i="3"/>
  <c r="I4" i="3"/>
  <c r="H4" i="3"/>
  <c r="K2" i="3"/>
  <c r="T71" i="2"/>
  <c r="T70" i="2"/>
  <c r="T69" i="2"/>
  <c r="S69" i="2"/>
  <c r="R69" i="2"/>
  <c r="Q69" i="2"/>
  <c r="T68" i="2"/>
  <c r="S68" i="2"/>
  <c r="R68" i="2"/>
  <c r="Q68" i="2"/>
  <c r="T67" i="2"/>
  <c r="S67" i="2"/>
  <c r="R67" i="2"/>
  <c r="Q67" i="2"/>
  <c r="T66" i="2"/>
  <c r="S66" i="2"/>
  <c r="R66" i="2"/>
  <c r="T65" i="2"/>
  <c r="S65" i="2"/>
  <c r="R65" i="2"/>
  <c r="Q65" i="2"/>
  <c r="P65" i="2"/>
  <c r="T64" i="2"/>
  <c r="S64" i="2"/>
  <c r="R64" i="2"/>
  <c r="Q64" i="2"/>
  <c r="P64" i="2"/>
  <c r="T63" i="2"/>
  <c r="S63" i="2"/>
  <c r="R63" i="2"/>
  <c r="Q63" i="2"/>
  <c r="P63" i="2"/>
  <c r="T62" i="2"/>
  <c r="S62" i="2"/>
  <c r="R62" i="2"/>
  <c r="Q62" i="2"/>
  <c r="P62" i="2"/>
  <c r="T61" i="2"/>
  <c r="S61" i="2"/>
  <c r="R61" i="2"/>
  <c r="P61" i="2"/>
  <c r="T46" i="2"/>
  <c r="S46" i="2"/>
  <c r="R46" i="2"/>
  <c r="Q46" i="2"/>
  <c r="P46" i="2"/>
  <c r="N46" i="2"/>
  <c r="M46" i="2"/>
  <c r="K46" i="2"/>
  <c r="T45" i="2"/>
  <c r="S45" i="2"/>
  <c r="R45" i="2"/>
  <c r="Q45" i="2"/>
  <c r="P45" i="2"/>
  <c r="O45" i="2"/>
  <c r="N45" i="2"/>
  <c r="M45" i="2"/>
  <c r="L45" i="2"/>
  <c r="K45" i="2"/>
  <c r="T44" i="2"/>
  <c r="S44" i="2"/>
  <c r="R44" i="2"/>
  <c r="Q44" i="2"/>
  <c r="P44" i="2"/>
  <c r="O44" i="2"/>
  <c r="N44" i="2"/>
  <c r="M44" i="2"/>
  <c r="L44" i="2"/>
  <c r="K44" i="2"/>
  <c r="T43" i="2"/>
  <c r="S43" i="2"/>
  <c r="R43" i="2"/>
  <c r="Q43" i="2"/>
  <c r="P43" i="2"/>
  <c r="O43" i="2"/>
  <c r="N43" i="2"/>
  <c r="M43" i="2"/>
  <c r="L43" i="2"/>
  <c r="K43" i="2"/>
  <c r="T42" i="2"/>
  <c r="S42" i="2"/>
  <c r="R42" i="2"/>
  <c r="Q42" i="2"/>
  <c r="P42" i="2"/>
  <c r="O42" i="2"/>
  <c r="N42" i="2"/>
  <c r="M42" i="2"/>
  <c r="L42" i="2"/>
  <c r="K42" i="2"/>
  <c r="T41" i="2"/>
  <c r="S41" i="2"/>
  <c r="R41" i="2"/>
  <c r="Q41" i="2"/>
  <c r="P41" i="2"/>
  <c r="O41" i="2"/>
  <c r="N41" i="2"/>
  <c r="M41" i="2"/>
  <c r="L41" i="2"/>
  <c r="K41" i="2"/>
  <c r="T40" i="2"/>
  <c r="S40" i="2"/>
  <c r="R40" i="2"/>
  <c r="Q40" i="2"/>
  <c r="P40" i="2"/>
  <c r="O40" i="2"/>
  <c r="N40" i="2"/>
  <c r="M40" i="2"/>
  <c r="L40" i="2"/>
  <c r="K40" i="2"/>
  <c r="T39" i="2"/>
  <c r="S39" i="2"/>
  <c r="R39" i="2"/>
  <c r="Q39" i="2"/>
  <c r="P39" i="2"/>
  <c r="O39" i="2"/>
  <c r="N39" i="2"/>
  <c r="M39" i="2"/>
  <c r="L39" i="2"/>
  <c r="K39" i="2"/>
  <c r="T38" i="2"/>
  <c r="S38" i="2"/>
  <c r="R38" i="2"/>
  <c r="Q38" i="2"/>
  <c r="P38" i="2"/>
  <c r="O38" i="2"/>
  <c r="N38" i="2"/>
  <c r="M38" i="2"/>
  <c r="L38" i="2"/>
  <c r="K38" i="2"/>
  <c r="T37" i="2"/>
  <c r="S37" i="2"/>
  <c r="R37" i="2"/>
  <c r="Q37" i="2"/>
  <c r="P37" i="2"/>
  <c r="O37" i="2"/>
  <c r="N37" i="2"/>
  <c r="M37" i="2"/>
  <c r="L37" i="2"/>
  <c r="K37" i="2"/>
  <c r="O35" i="2"/>
  <c r="S77" i="1"/>
  <c r="S76" i="1"/>
  <c r="R76" i="1"/>
  <c r="Q76" i="1"/>
  <c r="P76" i="1"/>
  <c r="S75" i="1"/>
  <c r="R75" i="1"/>
  <c r="Q75" i="1"/>
  <c r="P75" i="1"/>
  <c r="S74" i="1"/>
  <c r="R74" i="1"/>
  <c r="Q74" i="1"/>
  <c r="P74" i="1"/>
  <c r="S73" i="1"/>
  <c r="R73" i="1"/>
  <c r="Q73" i="1"/>
  <c r="P73" i="1"/>
  <c r="S72" i="1"/>
  <c r="R72" i="1"/>
  <c r="Q72" i="1"/>
  <c r="P72" i="1"/>
  <c r="S71" i="1"/>
  <c r="R71" i="1"/>
  <c r="Q71" i="1"/>
  <c r="P71" i="1"/>
  <c r="S70" i="1"/>
  <c r="R70" i="1"/>
  <c r="Q70" i="1"/>
  <c r="P70" i="1"/>
  <c r="S69" i="1"/>
  <c r="R69" i="1"/>
  <c r="Q69" i="1"/>
  <c r="P69" i="1"/>
  <c r="S68" i="1"/>
  <c r="R68" i="1"/>
  <c r="Q68" i="1"/>
  <c r="P68" i="1"/>
  <c r="E67" i="1"/>
  <c r="R56" i="1"/>
  <c r="N56" i="1"/>
  <c r="M56" i="1"/>
  <c r="L56" i="1"/>
  <c r="K56" i="1"/>
  <c r="J56" i="1"/>
  <c r="R55" i="1"/>
  <c r="Q55" i="1"/>
  <c r="P55" i="1"/>
  <c r="O55" i="1"/>
  <c r="N55" i="1"/>
  <c r="L55" i="1"/>
  <c r="K55" i="1"/>
  <c r="J55" i="1"/>
  <c r="R54" i="1"/>
  <c r="Q54" i="1"/>
  <c r="P54" i="1"/>
  <c r="O54" i="1"/>
  <c r="N54" i="1"/>
  <c r="L54" i="1"/>
  <c r="K54" i="1"/>
  <c r="J54" i="1"/>
  <c r="R53" i="1"/>
  <c r="Q53" i="1"/>
  <c r="P53" i="1"/>
  <c r="O53" i="1"/>
  <c r="N53" i="1"/>
  <c r="L53" i="1"/>
  <c r="K53" i="1"/>
  <c r="J53" i="1"/>
  <c r="R52" i="1"/>
  <c r="Q52" i="1"/>
  <c r="P52" i="1"/>
  <c r="O52" i="1"/>
  <c r="N52" i="1"/>
  <c r="L52" i="1"/>
  <c r="K52" i="1"/>
  <c r="J52" i="1"/>
  <c r="R51" i="1"/>
  <c r="Q51" i="1"/>
  <c r="P51" i="1"/>
  <c r="O51" i="1"/>
  <c r="N51" i="1"/>
  <c r="M51" i="1"/>
  <c r="L51" i="1"/>
  <c r="K51" i="1"/>
  <c r="J51" i="1"/>
  <c r="R50" i="1"/>
  <c r="Q50" i="1"/>
  <c r="P50" i="1"/>
  <c r="O50" i="1"/>
  <c r="N50" i="1"/>
  <c r="M50" i="1"/>
  <c r="L50" i="1"/>
  <c r="K50" i="1"/>
  <c r="J50" i="1"/>
  <c r="R49" i="1"/>
  <c r="Q49" i="1"/>
  <c r="P49" i="1"/>
  <c r="O49" i="1"/>
  <c r="N49" i="1"/>
  <c r="M49" i="1"/>
  <c r="L49" i="1"/>
  <c r="K49" i="1"/>
  <c r="J49" i="1"/>
  <c r="R48" i="1"/>
  <c r="Q48" i="1"/>
  <c r="P48" i="1"/>
  <c r="O48" i="1"/>
  <c r="N48" i="1"/>
  <c r="M48" i="1"/>
  <c r="L48" i="1"/>
  <c r="K48" i="1"/>
  <c r="J48" i="1"/>
  <c r="R47" i="1"/>
  <c r="Q47" i="1"/>
  <c r="P47" i="1"/>
  <c r="O47" i="1"/>
  <c r="M47" i="1"/>
  <c r="L47" i="1"/>
  <c r="K47" i="1"/>
  <c r="J47" i="1"/>
  <c r="E46" i="1"/>
  <c r="F43" i="1"/>
</calcChain>
</file>

<file path=xl/sharedStrings.xml><?xml version="1.0" encoding="utf-8"?>
<sst xmlns="http://schemas.openxmlformats.org/spreadsheetml/2006/main" count="230" uniqueCount="148">
  <si>
    <t>Inputs &amp; Assumptions</t>
  </si>
  <si>
    <t>Fixed Expense</t>
  </si>
  <si>
    <t>Variable Expense</t>
  </si>
  <si>
    <t>Surplus</t>
  </si>
  <si>
    <t>Premium to Surplus Ratio</t>
  </si>
  <si>
    <t>Equity to Surplus Ratio</t>
  </si>
  <si>
    <t>Yield on Investments</t>
  </si>
  <si>
    <t>Rate used for Discounting</t>
  </si>
  <si>
    <t>Income Tax Rate</t>
  </si>
  <si>
    <t>Target Return</t>
  </si>
  <si>
    <t>Premium</t>
  </si>
  <si>
    <t>Loss</t>
  </si>
  <si>
    <t>CF</t>
  </si>
  <si>
    <t>Expense</t>
  </si>
  <si>
    <t>Q: What's PVCF</t>
  </si>
  <si>
    <t>Q: What's Inv Income</t>
  </si>
  <si>
    <t>A: Premium/ (A6: Premium/Surplus)</t>
  </si>
  <si>
    <t>Q: Discounting Rate used</t>
  </si>
  <si>
    <t>A: A9</t>
  </si>
  <si>
    <t>qtr</t>
  </si>
  <si>
    <t>Q: Which time point is discounted to</t>
  </si>
  <si>
    <t>PVCF</t>
  </si>
  <si>
    <t>Given</t>
  </si>
  <si>
    <t>P</t>
  </si>
  <si>
    <t>L</t>
  </si>
  <si>
    <t>Design the CF Chart</t>
  </si>
  <si>
    <t>Q: How long is Surplus committed</t>
  </si>
  <si>
    <t>Q: What's Surplus</t>
  </si>
  <si>
    <t>A: Annual policy so 1 year</t>
  </si>
  <si>
    <t>Inv Income</t>
  </si>
  <si>
    <t>PV Factor</t>
  </si>
  <si>
    <t>A:  PV( After Tax(Premium - Loss Payment- Expense Payment + Inv Income))</t>
  </si>
  <si>
    <t>After Tax(CF)</t>
  </si>
  <si>
    <t xml:space="preserve">Q: When is the first inv income coming in </t>
  </si>
  <si>
    <t>A: Qrt 1</t>
  </si>
  <si>
    <t>PVCF --&gt;</t>
  </si>
  <si>
    <t>A: Surplus * A8 (Only Surplus, no PHSF)</t>
  </si>
  <si>
    <t>A: Time 0 (Method 6 different)</t>
  </si>
  <si>
    <t>Left side:</t>
  </si>
  <si>
    <t>Right Side</t>
  </si>
  <si>
    <t>Q: What's Equity Change</t>
  </si>
  <si>
    <t>Design the equity Chart</t>
  </si>
  <si>
    <t>PV Equity --&gt;</t>
  </si>
  <si>
    <t xml:space="preserve">Equity </t>
  </si>
  <si>
    <t xml:space="preserve">A: Equity inflow /outflow </t>
  </si>
  <si>
    <t>Q: What's required Equity</t>
  </si>
  <si>
    <t>A: Surplus * A7</t>
  </si>
  <si>
    <t>Change</t>
  </si>
  <si>
    <t>Q: What's discount rate used</t>
  </si>
  <si>
    <t>A: Target rate of return</t>
  </si>
  <si>
    <t>PVFactor</t>
  </si>
  <si>
    <t>PV Change in Equity</t>
  </si>
  <si>
    <t>Risk free Rate</t>
  </si>
  <si>
    <t>Average Market Return</t>
  </si>
  <si>
    <t>Beta Coefficient</t>
  </si>
  <si>
    <t>UW Profit</t>
  </si>
  <si>
    <t>CALCULATED USING GIVEN P,L</t>
  </si>
  <si>
    <t>Discount Rate</t>
  </si>
  <si>
    <t>Tgt Rate of Return</t>
  </si>
  <si>
    <t>used for equity change PV</t>
  </si>
  <si>
    <t>Risk Adj Return</t>
  </si>
  <si>
    <t>Not Applicable</t>
  </si>
  <si>
    <t>Loss using risk-adjusted return based on CAPM</t>
  </si>
  <si>
    <t xml:space="preserve">Investment Income </t>
  </si>
  <si>
    <t>Q: What's Discount rate to be used for each of PV</t>
  </si>
  <si>
    <t xml:space="preserve">A: Prem, Expense, Taxes using A7 Risk Free, but Losses using risk adjusted </t>
  </si>
  <si>
    <t>Q: When is the time point every cash flow discounted to</t>
  </si>
  <si>
    <t>A: End of year, Qtr 4  (different from Method 5)</t>
  </si>
  <si>
    <t>PV Prem</t>
  </si>
  <si>
    <t>PV Loss</t>
  </si>
  <si>
    <t>PV Expense</t>
  </si>
  <si>
    <t>Tax</t>
  </si>
  <si>
    <t>PV(CF)</t>
  </si>
  <si>
    <t>Tax*CF</t>
  </si>
  <si>
    <t>A: end of first qtr</t>
  </si>
  <si>
    <t>Q: Why need Inv Income</t>
  </si>
  <si>
    <t>A: To Calculate tax on investment income</t>
  </si>
  <si>
    <t>Q: How to calc PV(UW Income)</t>
  </si>
  <si>
    <t>A: Tax on ( PV(Prem)-PV(Loss)-PV(Expenses)   )</t>
  </si>
  <si>
    <t>Discounting point</t>
  </si>
  <si>
    <t>Time 0</t>
  </si>
  <si>
    <t>End of Year 1. Qtr 4</t>
  </si>
  <si>
    <t>nv Income Tax</t>
  </si>
  <si>
    <t>A: end of fourth qtr</t>
  </si>
  <si>
    <t xml:space="preserve">Q: When is the last inv income </t>
  </si>
  <si>
    <t>Premium, Loss, Expenses, Inv Income using same rate</t>
  </si>
  <si>
    <t>Fundamental Balance Equation</t>
  </si>
  <si>
    <t>PV(Prem)-PV(Loss)-PV(Expenses)-PV(UW Income Tax) =PV( Investment Taxes)</t>
  </si>
  <si>
    <t>A: PV(Prem)-PV(Loss)-PV(Expenses)-PV(UW Income Tax) =PV( Investment Taxes)</t>
  </si>
  <si>
    <t>Q: What's the Fundamental equation to blance</t>
  </si>
  <si>
    <t xml:space="preserve">PV( (Prem-Expense- Losses +Inv Income)(1-tax))= PV(Equity Chg) </t>
  </si>
  <si>
    <t xml:space="preserve">A: PV( (Prem-Expense- Losses +Inv Income)(1-tax))= PV(Equity Chg) </t>
  </si>
  <si>
    <t>2012 Q18</t>
  </si>
  <si>
    <r>
      <t xml:space="preserve">Premium Expense Investment Tax Using </t>
    </r>
    <r>
      <rPr>
        <sz val="11"/>
        <color rgb="FFFF0000"/>
        <rFont val="Calibri"/>
        <family val="2"/>
        <scheme val="minor"/>
      </rPr>
      <t>Rf</t>
    </r>
    <r>
      <rPr>
        <sz val="11"/>
        <color theme="1"/>
        <rFont val="Calibri"/>
        <family val="2"/>
        <scheme val="minor"/>
      </rPr>
      <t xml:space="preserve"> </t>
    </r>
  </si>
  <si>
    <t>Based on Surplus ONLY</t>
  </si>
  <si>
    <t>Premium Payment</t>
  </si>
  <si>
    <t>Earned Premium</t>
  </si>
  <si>
    <t>Losses+LAE</t>
  </si>
  <si>
    <t>Acquisition Payment</t>
  </si>
  <si>
    <t>UEPR</t>
  </si>
  <si>
    <t>Inc Loss</t>
  </si>
  <si>
    <t>Loss Reserve</t>
  </si>
  <si>
    <t>Premium Receivable</t>
  </si>
  <si>
    <t>Inc Expense</t>
  </si>
  <si>
    <t>A: PV(equity flow)= 0</t>
  </si>
  <si>
    <t>Q: What's Equity Flow</t>
  </si>
  <si>
    <t xml:space="preserve">A: After tax Income + Surplus Change  </t>
  </si>
  <si>
    <t>Q: What's Discounting rate to be used</t>
  </si>
  <si>
    <t>A: Rate for discounting A8</t>
  </si>
  <si>
    <t>Q: Which time point are CFs discounted to?</t>
  </si>
  <si>
    <t>A: Time 0</t>
  </si>
  <si>
    <t>Q: What's After-Tax Income</t>
  </si>
  <si>
    <t>A: (UW income + Inv Income) * (1-tax rate)</t>
  </si>
  <si>
    <t>Feldblum Schedule</t>
  </si>
  <si>
    <t xml:space="preserve">Given </t>
  </si>
  <si>
    <t>Contribution</t>
  </si>
  <si>
    <t>Investment Income</t>
  </si>
  <si>
    <t>UW Income</t>
  </si>
  <si>
    <t xml:space="preserve">required Surplus </t>
  </si>
  <si>
    <t>Premium Received</t>
  </si>
  <si>
    <t>Expense Paid</t>
  </si>
  <si>
    <t>Inc Exp =paid</t>
  </si>
  <si>
    <t>Prem Receivable</t>
  </si>
  <si>
    <t>Investable Assets</t>
  </si>
  <si>
    <t>Total Assets Pre Distribution</t>
  </si>
  <si>
    <t>Distribution</t>
  </si>
  <si>
    <t>TA Post Distribution</t>
  </si>
  <si>
    <t>Tax (only incurred at time 1)</t>
  </si>
  <si>
    <t>UW Income (only at time 1)</t>
  </si>
  <si>
    <t>Earened Premium</t>
  </si>
  <si>
    <t>After Tax Income</t>
  </si>
  <si>
    <t>Loss Paid</t>
  </si>
  <si>
    <t>Expense Inc &amp; Paid</t>
  </si>
  <si>
    <t>Premium Earned</t>
  </si>
  <si>
    <t>time</t>
  </si>
  <si>
    <t>Loss Incurred</t>
  </si>
  <si>
    <t>Doesn't matter</t>
  </si>
  <si>
    <t>Fully earned at 1</t>
  </si>
  <si>
    <t>Premium (Full Value)</t>
  </si>
  <si>
    <t>Loss (Full Value)</t>
  </si>
  <si>
    <t xml:space="preserve">Surplus Change </t>
  </si>
  <si>
    <t>Robbin IRR Equivalent</t>
  </si>
  <si>
    <t>Yield based on same row Surplus holding, no averaging</t>
  </si>
  <si>
    <t>Yield based on averaging investable assets</t>
  </si>
  <si>
    <t>Based on Surplus+UEPR+Reserve-Receivable</t>
  </si>
  <si>
    <t>PV goes into equation</t>
  </si>
  <si>
    <t>PV of Inv Income tax considered only</t>
  </si>
  <si>
    <t>used for final balancing PVI/PVE= rate of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</si>
</sst>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0.000"/>
    <numFmt numFmtId="165" formatCode="_(* #,##0.0_);_(* \(#,##0.0\);_(* &quot;-&quot;??_);_(@_)"/>
    <numFmt numFmtId="166" formatCode="_(* #,##0.0_);_(* \(#,##0.0\);_(* &quot;-&quot;?_);_(@_)"/>
    <numFmt numFmtId="167" formatCode="_(* #,##0.000_);_(* \(#,##0.000\);_(* &quot;-&quot;??_);_(@_)"/>
    <numFmt numFmtId="168" formatCode="0.00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</cellStyleXfs>
  <cellXfs count="42">
    <xf numFmtId="0" fontId="0" fillId="0" borderId="0" xfId="0"/>
    <xf numFmtId="6" fontId="0" fillId="0" borderId="0" xfId="0" applyNumberFormat="1"/>
    <xf numFmtId="9" fontId="0" fillId="0" borderId="0" xfId="0" applyNumberFormat="1"/>
    <xf numFmtId="43" fontId="0" fillId="0" borderId="0" xfId="1" applyFont="1"/>
    <xf numFmtId="10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43" fontId="0" fillId="0" borderId="0" xfId="0" applyNumberFormat="1"/>
    <xf numFmtId="43" fontId="2" fillId="2" borderId="0" xfId="0" applyNumberFormat="1" applyFont="1" applyFill="1"/>
    <xf numFmtId="0" fontId="0" fillId="2" borderId="0" xfId="0" applyFill="1"/>
    <xf numFmtId="0" fontId="6" fillId="0" borderId="0" xfId="0" applyFont="1"/>
    <xf numFmtId="165" fontId="4" fillId="0" borderId="0" xfId="1" applyNumberFormat="1" applyFont="1"/>
    <xf numFmtId="0" fontId="4" fillId="0" borderId="0" xfId="0" applyFont="1"/>
    <xf numFmtId="167" fontId="0" fillId="0" borderId="0" xfId="1" applyNumberFormat="1" applyFont="1"/>
    <xf numFmtId="165" fontId="0" fillId="2" borderId="0" xfId="1" applyNumberFormat="1" applyFont="1" applyFill="1"/>
    <xf numFmtId="0" fontId="3" fillId="0" borderId="0" xfId="0" applyFont="1"/>
    <xf numFmtId="10" fontId="3" fillId="0" borderId="0" xfId="2" applyNumberFormat="1" applyFont="1"/>
    <xf numFmtId="0" fontId="7" fillId="0" borderId="0" xfId="0" applyFont="1"/>
    <xf numFmtId="168" fontId="0" fillId="0" borderId="0" xfId="0" applyNumberFormat="1"/>
    <xf numFmtId="43" fontId="0" fillId="0" borderId="0" xfId="1" applyNumberFormat="1" applyFont="1"/>
    <xf numFmtId="165" fontId="0" fillId="0" borderId="0" xfId="0" applyNumberFormat="1"/>
    <xf numFmtId="0" fontId="7" fillId="0" borderId="0" xfId="0" applyFont="1" applyFill="1"/>
    <xf numFmtId="165" fontId="7" fillId="0" borderId="0" xfId="0" applyNumberFormat="1" applyFont="1" applyFill="1"/>
    <xf numFmtId="165" fontId="7" fillId="0" borderId="0" xfId="1" applyNumberFormat="1" applyFont="1" applyFill="1"/>
    <xf numFmtId="165" fontId="2" fillId="0" borderId="0" xfId="1" applyNumberFormat="1" applyFont="1"/>
    <xf numFmtId="0" fontId="0" fillId="0" borderId="2" xfId="0" applyBorder="1"/>
    <xf numFmtId="0" fontId="0" fillId="3" borderId="0" xfId="0" applyFill="1"/>
    <xf numFmtId="8" fontId="0" fillId="3" borderId="0" xfId="0" applyNumberFormat="1" applyFill="1"/>
    <xf numFmtId="6" fontId="0" fillId="3" borderId="0" xfId="0" applyNumberFormat="1" applyFill="1"/>
    <xf numFmtId="10" fontId="0" fillId="3" borderId="0" xfId="0" applyNumberFormat="1" applyFill="1"/>
    <xf numFmtId="43" fontId="0" fillId="3" borderId="0" xfId="1" applyFont="1" applyFill="1"/>
    <xf numFmtId="9" fontId="0" fillId="3" borderId="0" xfId="0" applyNumberFormat="1" applyFill="1"/>
    <xf numFmtId="0" fontId="0" fillId="4" borderId="0" xfId="0" applyFill="1"/>
    <xf numFmtId="0" fontId="0" fillId="4" borderId="1" xfId="0" applyFill="1" applyBorder="1"/>
    <xf numFmtId="43" fontId="0" fillId="4" borderId="0" xfId="1" applyFont="1" applyFill="1"/>
    <xf numFmtId="0" fontId="8" fillId="4" borderId="0" xfId="0" applyFont="1" applyFill="1"/>
    <xf numFmtId="43" fontId="8" fillId="4" borderId="0" xfId="1" applyFont="1" applyFill="1"/>
    <xf numFmtId="43" fontId="0" fillId="4" borderId="0" xfId="0" applyNumberFormat="1" applyFill="1"/>
    <xf numFmtId="8" fontId="0" fillId="4" borderId="0" xfId="0" applyNumberFormat="1" applyFill="1"/>
    <xf numFmtId="0" fontId="3" fillId="4" borderId="0" xfId="0" applyFont="1" applyFill="1"/>
    <xf numFmtId="43" fontId="0" fillId="4" borderId="0" xfId="1" applyNumberFormat="1" applyFont="1" applyFill="1"/>
    <xf numFmtId="164" fontId="0" fillId="4" borderId="0" xfId="0" applyNumberFormat="1" applyFill="1"/>
  </cellXfs>
  <cellStyles count="5">
    <cellStyle name="Comma" xfId="1" builtinId="3"/>
    <cellStyle name="Normal" xfId="0" builtinId="0"/>
    <cellStyle name="Normal 2" xfId="3"/>
    <cellStyle name="Percent" xfId="2" builtinId="5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workbookViewId="0">
      <selection activeCell="B11" sqref="B11"/>
    </sheetView>
  </sheetViews>
  <sheetFormatPr defaultRowHeight="14.4" x14ac:dyDescent="0.3"/>
  <cols>
    <col min="1" max="1" width="22.109375" bestFit="1" customWidth="1"/>
    <col min="2" max="2" width="8.21875" bestFit="1" customWidth="1"/>
    <col min="3" max="3" width="7" bestFit="1" customWidth="1"/>
    <col min="9" max="17" width="8.88671875" customWidth="1"/>
  </cols>
  <sheetData>
    <row r="1" spans="1:4" ht="14.4" customHeight="1" x14ac:dyDescent="0.3">
      <c r="A1" t="s">
        <v>92</v>
      </c>
    </row>
    <row r="2" spans="1:4" ht="14.4" customHeight="1" x14ac:dyDescent="0.3">
      <c r="A2" t="s">
        <v>0</v>
      </c>
    </row>
    <row r="3" spans="1:4" ht="14.4" customHeight="1" x14ac:dyDescent="0.3"/>
    <row r="4" spans="1:4" ht="14.4" customHeight="1" x14ac:dyDescent="0.3">
      <c r="A4" t="s">
        <v>1</v>
      </c>
      <c r="B4" s="1">
        <v>15</v>
      </c>
    </row>
    <row r="5" spans="1:4" ht="14.4" customHeight="1" x14ac:dyDescent="0.3">
      <c r="A5" t="s">
        <v>2</v>
      </c>
      <c r="B5" s="2">
        <v>0.25</v>
      </c>
    </row>
    <row r="6" spans="1:4" ht="14.4" customHeight="1" x14ac:dyDescent="0.3">
      <c r="A6" t="s">
        <v>4</v>
      </c>
      <c r="B6">
        <v>3</v>
      </c>
    </row>
    <row r="7" spans="1:4" ht="14.4" customHeight="1" x14ac:dyDescent="0.3">
      <c r="A7" t="s">
        <v>5</v>
      </c>
      <c r="B7">
        <v>1.2</v>
      </c>
    </row>
    <row r="8" spans="1:4" ht="14.4" customHeight="1" x14ac:dyDescent="0.3">
      <c r="A8" t="s">
        <v>6</v>
      </c>
      <c r="B8" s="2">
        <v>0.08</v>
      </c>
    </row>
    <row r="9" spans="1:4" ht="14.4" customHeight="1" x14ac:dyDescent="0.3">
      <c r="A9" t="s">
        <v>7</v>
      </c>
      <c r="B9" s="2">
        <v>0.08</v>
      </c>
    </row>
    <row r="10" spans="1:4" ht="14.4" customHeight="1" x14ac:dyDescent="0.3">
      <c r="A10" t="s">
        <v>8</v>
      </c>
      <c r="B10" s="2">
        <v>0.34</v>
      </c>
    </row>
    <row r="11" spans="1:4" ht="14.4" customHeight="1" x14ac:dyDescent="0.3">
      <c r="A11" t="s">
        <v>9</v>
      </c>
      <c r="B11" s="2">
        <v>0.15</v>
      </c>
    </row>
    <row r="12" spans="1:4" ht="14.4" customHeight="1" x14ac:dyDescent="0.3"/>
    <row r="13" spans="1:4" ht="14.4" customHeight="1" x14ac:dyDescent="0.3">
      <c r="A13" t="s">
        <v>12</v>
      </c>
      <c r="B13" t="s">
        <v>10</v>
      </c>
      <c r="C13" t="s">
        <v>11</v>
      </c>
      <c r="D13" t="s">
        <v>13</v>
      </c>
    </row>
    <row r="14" spans="1:4" ht="14.4" customHeight="1" x14ac:dyDescent="0.3">
      <c r="A14">
        <v>0</v>
      </c>
      <c r="B14" s="4">
        <v>0.4</v>
      </c>
      <c r="C14" s="4">
        <v>0</v>
      </c>
      <c r="D14" s="4">
        <v>0.3</v>
      </c>
    </row>
    <row r="15" spans="1:4" ht="14.4" customHeight="1" x14ac:dyDescent="0.3">
      <c r="A15">
        <v>1</v>
      </c>
      <c r="B15" s="4">
        <v>0.15</v>
      </c>
      <c r="C15" s="4">
        <v>4.5999999999999999E-2</v>
      </c>
      <c r="D15" s="4">
        <v>0.17499999999999999</v>
      </c>
    </row>
    <row r="16" spans="1:4" ht="14.4" customHeight="1" x14ac:dyDescent="0.3">
      <c r="A16">
        <v>2</v>
      </c>
      <c r="B16" s="4">
        <v>0.15</v>
      </c>
      <c r="C16" s="4">
        <v>7.6999999999999999E-2</v>
      </c>
      <c r="D16" s="4">
        <v>0.17499999999999999</v>
      </c>
    </row>
    <row r="17" spans="1:4" ht="14.4" customHeight="1" x14ac:dyDescent="0.3">
      <c r="A17">
        <v>3</v>
      </c>
      <c r="B17" s="4">
        <v>0.15</v>
      </c>
      <c r="C17" s="4">
        <v>0.123</v>
      </c>
      <c r="D17" s="4">
        <v>0.17499999999999999</v>
      </c>
    </row>
    <row r="18" spans="1:4" ht="14.4" customHeight="1" x14ac:dyDescent="0.3">
      <c r="A18">
        <v>4</v>
      </c>
      <c r="B18" s="4">
        <v>0.15</v>
      </c>
      <c r="C18" s="4">
        <v>0.13800000000000001</v>
      </c>
      <c r="D18" s="4">
        <v>0.17499999999999999</v>
      </c>
    </row>
    <row r="19" spans="1:4" ht="14.4" customHeight="1" x14ac:dyDescent="0.3">
      <c r="A19">
        <v>5</v>
      </c>
      <c r="B19" s="4">
        <v>0</v>
      </c>
      <c r="C19" s="4">
        <v>0.16900000000000001</v>
      </c>
      <c r="D19" s="4">
        <v>0</v>
      </c>
    </row>
    <row r="20" spans="1:4" ht="14.4" customHeight="1" x14ac:dyDescent="0.3">
      <c r="A20">
        <v>6</v>
      </c>
      <c r="B20" s="4">
        <v>0</v>
      </c>
      <c r="C20" s="4">
        <v>0.154</v>
      </c>
      <c r="D20" s="4">
        <v>0</v>
      </c>
    </row>
    <row r="21" spans="1:4" ht="14.4" customHeight="1" x14ac:dyDescent="0.3">
      <c r="A21">
        <v>7</v>
      </c>
      <c r="B21" s="4">
        <v>0</v>
      </c>
      <c r="C21" s="4">
        <v>0.154</v>
      </c>
      <c r="D21" s="4">
        <v>0</v>
      </c>
    </row>
    <row r="22" spans="1:4" ht="14.4" customHeight="1" x14ac:dyDescent="0.3">
      <c r="A22">
        <v>8</v>
      </c>
      <c r="B22" s="4">
        <v>0</v>
      </c>
      <c r="C22" s="4">
        <v>0.13800000000000001</v>
      </c>
      <c r="D22" s="4">
        <v>0</v>
      </c>
    </row>
    <row r="23" spans="1:4" ht="11.4" customHeight="1" x14ac:dyDescent="0.3"/>
    <row r="25" spans="1:4" x14ac:dyDescent="0.3">
      <c r="A25" t="s">
        <v>89</v>
      </c>
    </row>
    <row r="26" spans="1:4" x14ac:dyDescent="0.3">
      <c r="A26" t="s">
        <v>91</v>
      </c>
    </row>
    <row r="27" spans="1:4" x14ac:dyDescent="0.3">
      <c r="A27" t="s">
        <v>38</v>
      </c>
    </row>
    <row r="28" spans="1:4" x14ac:dyDescent="0.3">
      <c r="A28" t="s">
        <v>14</v>
      </c>
    </row>
    <row r="29" spans="1:4" x14ac:dyDescent="0.3">
      <c r="A29" s="12" t="s">
        <v>31</v>
      </c>
    </row>
    <row r="30" spans="1:4" x14ac:dyDescent="0.3">
      <c r="B30" t="s">
        <v>15</v>
      </c>
    </row>
    <row r="31" spans="1:4" x14ac:dyDescent="0.3">
      <c r="B31" s="12" t="s">
        <v>36</v>
      </c>
    </row>
    <row r="32" spans="1:4" x14ac:dyDescent="0.3">
      <c r="C32" t="s">
        <v>27</v>
      </c>
    </row>
    <row r="33" spans="1:18" x14ac:dyDescent="0.3">
      <c r="C33" s="12" t="s">
        <v>16</v>
      </c>
    </row>
    <row r="34" spans="1:18" x14ac:dyDescent="0.3">
      <c r="C34" t="s">
        <v>26</v>
      </c>
    </row>
    <row r="35" spans="1:18" x14ac:dyDescent="0.3">
      <c r="C35" s="12" t="s">
        <v>28</v>
      </c>
    </row>
    <row r="36" spans="1:18" x14ac:dyDescent="0.3">
      <c r="C36" t="s">
        <v>33</v>
      </c>
    </row>
    <row r="37" spans="1:18" x14ac:dyDescent="0.3">
      <c r="C37" s="12" t="s">
        <v>34</v>
      </c>
    </row>
    <row r="38" spans="1:18" x14ac:dyDescent="0.3">
      <c r="A38" t="s">
        <v>17</v>
      </c>
    </row>
    <row r="39" spans="1:18" x14ac:dyDescent="0.3">
      <c r="A39" t="s">
        <v>18</v>
      </c>
    </row>
    <row r="40" spans="1:18" x14ac:dyDescent="0.3">
      <c r="B40" t="s">
        <v>20</v>
      </c>
    </row>
    <row r="41" spans="1:18" x14ac:dyDescent="0.3">
      <c r="B41" s="12" t="s">
        <v>37</v>
      </c>
    </row>
    <row r="43" spans="1:18" x14ac:dyDescent="0.3">
      <c r="A43" t="s">
        <v>22</v>
      </c>
      <c r="B43" t="s">
        <v>23</v>
      </c>
      <c r="C43">
        <v>108.7</v>
      </c>
      <c r="E43" t="s">
        <v>55</v>
      </c>
      <c r="F43" s="16">
        <f>(C43-C44-B4-C43*B5)/C43</f>
        <v>1.4029438822447121E-2</v>
      </c>
    </row>
    <row r="44" spans="1:18" x14ac:dyDescent="0.3">
      <c r="B44" t="s">
        <v>24</v>
      </c>
      <c r="C44">
        <v>65</v>
      </c>
      <c r="F44" s="15" t="s">
        <v>56</v>
      </c>
    </row>
    <row r="45" spans="1:18" x14ac:dyDescent="0.3">
      <c r="A45" t="s">
        <v>25</v>
      </c>
    </row>
    <row r="46" spans="1:18" x14ac:dyDescent="0.3">
      <c r="B46" t="s">
        <v>19</v>
      </c>
      <c r="C46" t="s">
        <v>35</v>
      </c>
      <c r="E46" t="str">
        <f>IF(D46="","Key Answer and see if correct",IF(D46=R56,"ConGRATS","TRY AGAIN"))</f>
        <v>Key Answer and see if correct</v>
      </c>
      <c r="J46" t="s">
        <v>10</v>
      </c>
      <c r="K46" t="s">
        <v>11</v>
      </c>
      <c r="L46" t="s">
        <v>13</v>
      </c>
      <c r="M46" t="s">
        <v>3</v>
      </c>
      <c r="N46" t="s">
        <v>29</v>
      </c>
      <c r="O46" t="s">
        <v>12</v>
      </c>
      <c r="P46" s="9" t="s">
        <v>32</v>
      </c>
      <c r="Q46" t="s">
        <v>30</v>
      </c>
      <c r="R46" s="10" t="s">
        <v>21</v>
      </c>
    </row>
    <row r="47" spans="1:18" x14ac:dyDescent="0.3">
      <c r="B47">
        <v>0</v>
      </c>
      <c r="I47">
        <v>0</v>
      </c>
      <c r="J47" s="5">
        <f t="shared" ref="J47:J55" si="0">$C$43*B14</f>
        <v>43.480000000000004</v>
      </c>
      <c r="K47" s="5">
        <f t="shared" ref="K47:K55" si="1">$C$44*C14</f>
        <v>0</v>
      </c>
      <c r="L47" s="5">
        <f t="shared" ref="L47:L55" si="2">($B$4+($C$43*$B$5))*D14</f>
        <v>12.652499999999998</v>
      </c>
      <c r="M47" s="7">
        <f>$J$56/$B$6</f>
        <v>36.233333333333341</v>
      </c>
      <c r="N47" s="8">
        <v>0</v>
      </c>
      <c r="O47" s="7">
        <f>J47-K47-L47+N47</f>
        <v>30.827500000000008</v>
      </c>
      <c r="P47" s="7">
        <f>O47*(1-$B$10)</f>
        <v>20.346150000000002</v>
      </c>
      <c r="Q47" s="3">
        <f t="shared" ref="Q47:Q55" si="3">(1+$B$9)^(-I47/4)</f>
        <v>1</v>
      </c>
      <c r="R47" s="10">
        <f>P47*Q47</f>
        <v>20.346150000000002</v>
      </c>
    </row>
    <row r="48" spans="1:18" x14ac:dyDescent="0.3">
      <c r="B48">
        <v>1</v>
      </c>
      <c r="I48">
        <v>1</v>
      </c>
      <c r="J48" s="5">
        <f t="shared" si="0"/>
        <v>16.305</v>
      </c>
      <c r="K48" s="5">
        <f t="shared" si="1"/>
        <v>2.9899999999999998</v>
      </c>
      <c r="L48" s="5">
        <f t="shared" si="2"/>
        <v>7.3806249999999993</v>
      </c>
      <c r="M48" s="7">
        <f>$J$56/$B$6</f>
        <v>36.233333333333341</v>
      </c>
      <c r="N48" s="7">
        <f>M48*$B$8/4</f>
        <v>0.72466666666666679</v>
      </c>
      <c r="O48" s="7">
        <f t="shared" ref="O48:O55" si="4">J48-K48-L48+N48</f>
        <v>6.659041666666667</v>
      </c>
      <c r="P48" s="7">
        <f t="shared" ref="P48:P55" si="5">O48*(1-$B$10)</f>
        <v>4.3949674999999999</v>
      </c>
      <c r="Q48" s="3">
        <f t="shared" si="3"/>
        <v>0.98094365212757062</v>
      </c>
      <c r="R48" s="10">
        <f t="shared" ref="R48:R55" si="6">P48*Q48</f>
        <v>4.3112154704319785</v>
      </c>
    </row>
    <row r="49" spans="1:18" x14ac:dyDescent="0.3">
      <c r="B49">
        <v>2</v>
      </c>
      <c r="I49">
        <v>2</v>
      </c>
      <c r="J49" s="5">
        <f t="shared" si="0"/>
        <v>16.305</v>
      </c>
      <c r="K49" s="5">
        <f t="shared" si="1"/>
        <v>5.0049999999999999</v>
      </c>
      <c r="L49" s="5">
        <f t="shared" si="2"/>
        <v>7.3806249999999993</v>
      </c>
      <c r="M49" s="7">
        <f>$J$56/$B$6</f>
        <v>36.233333333333341</v>
      </c>
      <c r="N49" s="7">
        <f>M49*$B$8/4</f>
        <v>0.72466666666666679</v>
      </c>
      <c r="O49" s="7">
        <f t="shared" si="4"/>
        <v>4.6440416666666682</v>
      </c>
      <c r="P49" s="7">
        <f t="shared" si="5"/>
        <v>3.0650675000000005</v>
      </c>
      <c r="Q49" s="3">
        <f t="shared" si="3"/>
        <v>0.96225044864937614</v>
      </c>
      <c r="R49" s="10">
        <f t="shared" si="6"/>
        <v>2.9493625770156222</v>
      </c>
    </row>
    <row r="50" spans="1:18" x14ac:dyDescent="0.3">
      <c r="B50">
        <v>3</v>
      </c>
      <c r="I50">
        <v>3</v>
      </c>
      <c r="J50" s="5">
        <f t="shared" si="0"/>
        <v>16.305</v>
      </c>
      <c r="K50" s="5">
        <f t="shared" si="1"/>
        <v>7.9950000000000001</v>
      </c>
      <c r="L50" s="5">
        <f t="shared" si="2"/>
        <v>7.3806249999999993</v>
      </c>
      <c r="M50" s="7">
        <f>$J$56/$B$6</f>
        <v>36.233333333333341</v>
      </c>
      <c r="N50" s="7">
        <f>M50*$B$8/4</f>
        <v>0.72466666666666679</v>
      </c>
      <c r="O50" s="7">
        <f t="shared" si="4"/>
        <v>1.6540416666666662</v>
      </c>
      <c r="P50" s="7">
        <f t="shared" si="5"/>
        <v>1.0916674999999996</v>
      </c>
      <c r="Q50" s="3">
        <f t="shared" si="3"/>
        <v>0.94391346935951248</v>
      </c>
      <c r="R50" s="10">
        <f t="shared" si="6"/>
        <v>1.0304396573120251</v>
      </c>
    </row>
    <row r="51" spans="1:18" x14ac:dyDescent="0.3">
      <c r="B51">
        <v>4</v>
      </c>
      <c r="I51">
        <v>4</v>
      </c>
      <c r="J51" s="5">
        <f t="shared" si="0"/>
        <v>16.305</v>
      </c>
      <c r="K51" s="5">
        <f t="shared" si="1"/>
        <v>8.9700000000000006</v>
      </c>
      <c r="L51" s="5">
        <f t="shared" si="2"/>
        <v>7.3806249999999993</v>
      </c>
      <c r="M51" s="7">
        <f>$J$56/$B$6</f>
        <v>36.233333333333341</v>
      </c>
      <c r="N51" s="7">
        <f>M51*$B$8/4</f>
        <v>0.72466666666666679</v>
      </c>
      <c r="O51" s="7">
        <f t="shared" si="4"/>
        <v>0.67904166666666654</v>
      </c>
      <c r="P51" s="7">
        <f t="shared" si="5"/>
        <v>0.44816749999999989</v>
      </c>
      <c r="Q51" s="3">
        <f t="shared" si="3"/>
        <v>0.92592592592592582</v>
      </c>
      <c r="R51" s="10">
        <f t="shared" si="6"/>
        <v>0.41496990740740725</v>
      </c>
    </row>
    <row r="52" spans="1:18" x14ac:dyDescent="0.3">
      <c r="B52">
        <v>5</v>
      </c>
      <c r="I52">
        <v>5</v>
      </c>
      <c r="J52" s="5">
        <f t="shared" si="0"/>
        <v>0</v>
      </c>
      <c r="K52" s="5">
        <f t="shared" si="1"/>
        <v>10.985000000000001</v>
      </c>
      <c r="L52" s="5">
        <f t="shared" si="2"/>
        <v>0</v>
      </c>
      <c r="M52" s="9">
        <v>0</v>
      </c>
      <c r="N52" s="7">
        <f>M52*$B$8</f>
        <v>0</v>
      </c>
      <c r="O52" s="7">
        <f t="shared" si="4"/>
        <v>-10.985000000000001</v>
      </c>
      <c r="P52" s="7">
        <f t="shared" si="5"/>
        <v>-7.2500999999999998</v>
      </c>
      <c r="Q52" s="3">
        <f t="shared" si="3"/>
        <v>0.90828115937738008</v>
      </c>
      <c r="R52" s="10">
        <f t="shared" si="6"/>
        <v>-6.5851292336019434</v>
      </c>
    </row>
    <row r="53" spans="1:18" x14ac:dyDescent="0.3">
      <c r="B53">
        <v>6</v>
      </c>
      <c r="I53">
        <v>6</v>
      </c>
      <c r="J53" s="5">
        <f t="shared" si="0"/>
        <v>0</v>
      </c>
      <c r="K53" s="5">
        <f t="shared" si="1"/>
        <v>10.01</v>
      </c>
      <c r="L53" s="5">
        <f t="shared" si="2"/>
        <v>0</v>
      </c>
      <c r="M53" s="9">
        <v>0</v>
      </c>
      <c r="N53" s="7">
        <f>M53*$B$8</f>
        <v>0</v>
      </c>
      <c r="O53" s="7">
        <f t="shared" si="4"/>
        <v>-10.01</v>
      </c>
      <c r="P53" s="7">
        <f t="shared" si="5"/>
        <v>-6.6065999999999994</v>
      </c>
      <c r="Q53" s="3">
        <f t="shared" si="3"/>
        <v>0.89097263763831136</v>
      </c>
      <c r="R53" s="10">
        <f t="shared" si="6"/>
        <v>-5.8862998278212677</v>
      </c>
    </row>
    <row r="54" spans="1:18" x14ac:dyDescent="0.3">
      <c r="B54">
        <v>7</v>
      </c>
      <c r="I54">
        <v>7</v>
      </c>
      <c r="J54" s="5">
        <f t="shared" si="0"/>
        <v>0</v>
      </c>
      <c r="K54" s="5">
        <f t="shared" si="1"/>
        <v>10.01</v>
      </c>
      <c r="L54" s="5">
        <f t="shared" si="2"/>
        <v>0</v>
      </c>
      <c r="M54" s="9">
        <v>0</v>
      </c>
      <c r="N54" s="7">
        <f>M54*$B$8</f>
        <v>0</v>
      </c>
      <c r="O54" s="7">
        <f t="shared" si="4"/>
        <v>-10.01</v>
      </c>
      <c r="P54" s="7">
        <f t="shared" si="5"/>
        <v>-6.6065999999999994</v>
      </c>
      <c r="Q54" s="3">
        <f t="shared" si="3"/>
        <v>0.87399395311065964</v>
      </c>
      <c r="R54" s="10">
        <f t="shared" si="6"/>
        <v>-5.774128450620883</v>
      </c>
    </row>
    <row r="55" spans="1:18" x14ac:dyDescent="0.3">
      <c r="B55">
        <v>8</v>
      </c>
      <c r="I55">
        <v>8</v>
      </c>
      <c r="J55" s="5">
        <f t="shared" si="0"/>
        <v>0</v>
      </c>
      <c r="K55" s="5">
        <f t="shared" si="1"/>
        <v>8.9700000000000006</v>
      </c>
      <c r="L55" s="5">
        <f t="shared" si="2"/>
        <v>0</v>
      </c>
      <c r="M55" s="9">
        <v>0</v>
      </c>
      <c r="N55" s="7">
        <f>M55*$B$8</f>
        <v>0</v>
      </c>
      <c r="O55" s="7">
        <f t="shared" si="4"/>
        <v>-8.9700000000000006</v>
      </c>
      <c r="P55" s="7">
        <f t="shared" si="5"/>
        <v>-5.9201999999999995</v>
      </c>
      <c r="Q55" s="3">
        <f t="shared" si="3"/>
        <v>0.85733882030178321</v>
      </c>
      <c r="R55" s="10">
        <f t="shared" si="6"/>
        <v>-5.0756172839506162</v>
      </c>
    </row>
    <row r="56" spans="1:18" x14ac:dyDescent="0.3">
      <c r="J56" s="5">
        <f>SUM(J47:J55)</f>
        <v>108.70000000000002</v>
      </c>
      <c r="K56" s="5">
        <f>SUM(K47:K55)</f>
        <v>64.935000000000002</v>
      </c>
      <c r="L56" s="5">
        <f>SUM(L47:L55)</f>
        <v>42.174999999999997</v>
      </c>
      <c r="M56" s="5">
        <f>SUM(M47:M55)</f>
        <v>181.16666666666671</v>
      </c>
      <c r="N56" s="5">
        <f>SUM(N47:N55)</f>
        <v>2.8986666666666672</v>
      </c>
      <c r="R56" s="11">
        <f>SUM(R47:R55)</f>
        <v>5.7309628161723269</v>
      </c>
    </row>
    <row r="58" spans="1:18" x14ac:dyDescent="0.3">
      <c r="A58" t="s">
        <v>39</v>
      </c>
    </row>
    <row r="59" spans="1:18" x14ac:dyDescent="0.3">
      <c r="A59" t="s">
        <v>40</v>
      </c>
    </row>
    <row r="60" spans="1:18" x14ac:dyDescent="0.3">
      <c r="A60" s="12" t="s">
        <v>44</v>
      </c>
    </row>
    <row r="61" spans="1:18" x14ac:dyDescent="0.3">
      <c r="A61" t="s">
        <v>45</v>
      </c>
    </row>
    <row r="62" spans="1:18" x14ac:dyDescent="0.3">
      <c r="A62" s="12" t="s">
        <v>46</v>
      </c>
    </row>
    <row r="63" spans="1:18" x14ac:dyDescent="0.3">
      <c r="A63" t="s">
        <v>48</v>
      </c>
    </row>
    <row r="64" spans="1:18" x14ac:dyDescent="0.3">
      <c r="A64" s="12" t="s">
        <v>49</v>
      </c>
    </row>
    <row r="66" spans="1:19" x14ac:dyDescent="0.3">
      <c r="A66" t="s">
        <v>41</v>
      </c>
    </row>
    <row r="67" spans="1:19" x14ac:dyDescent="0.3">
      <c r="B67" t="s">
        <v>19</v>
      </c>
      <c r="C67" t="s">
        <v>42</v>
      </c>
      <c r="E67" t="str">
        <f>IF(D67="","Key Answer and see if correct",IF(D67=R77,"ConGRATS","TRY AGAIN"))</f>
        <v>Key Answer and see if correct</v>
      </c>
      <c r="P67" t="s">
        <v>43</v>
      </c>
      <c r="Q67" t="s">
        <v>47</v>
      </c>
      <c r="R67" s="9" t="s">
        <v>50</v>
      </c>
      <c r="S67" t="s">
        <v>51</v>
      </c>
    </row>
    <row r="68" spans="1:19" x14ac:dyDescent="0.3">
      <c r="B68">
        <v>0</v>
      </c>
      <c r="O68">
        <v>0</v>
      </c>
      <c r="P68" s="5">
        <f t="shared" ref="P68:P76" si="7">M47*$B$7</f>
        <v>43.480000000000011</v>
      </c>
      <c r="Q68" s="5">
        <f>P68</f>
        <v>43.480000000000011</v>
      </c>
      <c r="R68" s="13">
        <f>(1+$B$11)^(O68*-0.25)</f>
        <v>1</v>
      </c>
      <c r="S68" s="5">
        <f>Q68*R68</f>
        <v>43.480000000000011</v>
      </c>
    </row>
    <row r="69" spans="1:19" x14ac:dyDescent="0.3">
      <c r="B69">
        <v>1</v>
      </c>
      <c r="O69">
        <v>1</v>
      </c>
      <c r="P69" s="5">
        <f t="shared" si="7"/>
        <v>43.480000000000011</v>
      </c>
      <c r="Q69" s="5">
        <f>P70-P69</f>
        <v>0</v>
      </c>
      <c r="R69" s="13">
        <f>(1+$B$11)^(O69*-0.25)</f>
        <v>0.96566288540065248</v>
      </c>
      <c r="S69" s="5">
        <f t="shared" ref="S69:S76" si="8">Q69*R69</f>
        <v>0</v>
      </c>
    </row>
    <row r="70" spans="1:19" x14ac:dyDescent="0.3">
      <c r="B70">
        <v>2</v>
      </c>
      <c r="O70">
        <v>2</v>
      </c>
      <c r="P70" s="5">
        <f t="shared" si="7"/>
        <v>43.480000000000011</v>
      </c>
      <c r="Q70" s="5">
        <f t="shared" ref="Q70:Q76" si="9">P71-P70</f>
        <v>0</v>
      </c>
      <c r="R70" s="13">
        <f t="shared" ref="R70:R76" si="10">(1+$B$11)^(O70*-0.25)</f>
        <v>0.93250480824031379</v>
      </c>
      <c r="S70" s="5">
        <f t="shared" si="8"/>
        <v>0</v>
      </c>
    </row>
    <row r="71" spans="1:19" x14ac:dyDescent="0.3">
      <c r="B71">
        <v>3</v>
      </c>
      <c r="O71">
        <v>3</v>
      </c>
      <c r="P71" s="5">
        <f t="shared" si="7"/>
        <v>43.480000000000011</v>
      </c>
      <c r="Q71" s="5">
        <f t="shared" si="9"/>
        <v>0</v>
      </c>
      <c r="R71" s="13">
        <f t="shared" si="10"/>
        <v>0.90048528377532355</v>
      </c>
      <c r="S71" s="5">
        <f t="shared" si="8"/>
        <v>0</v>
      </c>
    </row>
    <row r="72" spans="1:19" x14ac:dyDescent="0.3">
      <c r="B72">
        <v>4</v>
      </c>
      <c r="O72">
        <v>4</v>
      </c>
      <c r="P72" s="5">
        <f t="shared" si="7"/>
        <v>43.480000000000011</v>
      </c>
      <c r="Q72" s="14">
        <f t="shared" si="9"/>
        <v>-43.480000000000011</v>
      </c>
      <c r="R72" s="13">
        <f t="shared" si="10"/>
        <v>0.86956521739130443</v>
      </c>
      <c r="S72" s="5">
        <f t="shared" si="8"/>
        <v>-37.808695652173924</v>
      </c>
    </row>
    <row r="73" spans="1:19" x14ac:dyDescent="0.3">
      <c r="B73">
        <v>5</v>
      </c>
      <c r="O73">
        <v>5</v>
      </c>
      <c r="P73" s="5">
        <f t="shared" si="7"/>
        <v>0</v>
      </c>
      <c r="Q73" s="5">
        <f t="shared" si="9"/>
        <v>0</v>
      </c>
      <c r="R73" s="13">
        <f t="shared" si="10"/>
        <v>0.83970685687013269</v>
      </c>
      <c r="S73" s="5">
        <f t="shared" si="8"/>
        <v>0</v>
      </c>
    </row>
    <row r="74" spans="1:19" x14ac:dyDescent="0.3">
      <c r="B74">
        <v>6</v>
      </c>
      <c r="O74">
        <v>6</v>
      </c>
      <c r="P74" s="5">
        <f t="shared" si="7"/>
        <v>0</v>
      </c>
      <c r="Q74" s="5">
        <f t="shared" si="9"/>
        <v>0</v>
      </c>
      <c r="R74" s="13">
        <f t="shared" si="10"/>
        <v>0.81087374629592512</v>
      </c>
      <c r="S74" s="5">
        <f t="shared" si="8"/>
        <v>0</v>
      </c>
    </row>
    <row r="75" spans="1:19" x14ac:dyDescent="0.3">
      <c r="B75">
        <v>7</v>
      </c>
      <c r="O75">
        <v>7</v>
      </c>
      <c r="P75" s="5">
        <f t="shared" si="7"/>
        <v>0</v>
      </c>
      <c r="Q75" s="5">
        <f t="shared" si="9"/>
        <v>0</v>
      </c>
      <c r="R75" s="13">
        <f t="shared" si="10"/>
        <v>0.78303068154375965</v>
      </c>
      <c r="S75" s="5">
        <f t="shared" si="8"/>
        <v>0</v>
      </c>
    </row>
    <row r="76" spans="1:19" x14ac:dyDescent="0.3">
      <c r="B76">
        <v>8</v>
      </c>
      <c r="O76">
        <v>8</v>
      </c>
      <c r="P76" s="5">
        <f t="shared" si="7"/>
        <v>0</v>
      </c>
      <c r="Q76" s="5">
        <f t="shared" si="9"/>
        <v>0</v>
      </c>
      <c r="R76" s="13">
        <f t="shared" si="10"/>
        <v>0.7561436672967865</v>
      </c>
      <c r="S76" s="5">
        <f t="shared" si="8"/>
        <v>0</v>
      </c>
    </row>
    <row r="77" spans="1:19" x14ac:dyDescent="0.3">
      <c r="S77" s="5">
        <f>SUM(S68:S76)</f>
        <v>5.6713043478260872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71"/>
  <sheetViews>
    <sheetView topLeftCell="A20" workbookViewId="0">
      <selection activeCell="E30" sqref="E30"/>
    </sheetView>
  </sheetViews>
  <sheetFormatPr defaultRowHeight="14.4" x14ac:dyDescent="0.3"/>
  <cols>
    <col min="1" max="1" width="21.77734375" bestFit="1" customWidth="1"/>
  </cols>
  <sheetData>
    <row r="2" spans="1:4" x14ac:dyDescent="0.3">
      <c r="A2" t="s">
        <v>0</v>
      </c>
    </row>
    <row r="4" spans="1:4" x14ac:dyDescent="0.3">
      <c r="A4" t="s">
        <v>1</v>
      </c>
      <c r="B4" s="1">
        <v>15</v>
      </c>
    </row>
    <row r="5" spans="1:4" ht="13.8" customHeight="1" x14ac:dyDescent="0.3">
      <c r="A5" t="s">
        <v>2</v>
      </c>
      <c r="B5" s="2">
        <v>0.25</v>
      </c>
    </row>
    <row r="6" spans="1:4" x14ac:dyDescent="0.3">
      <c r="A6" t="s">
        <v>4</v>
      </c>
      <c r="B6">
        <v>3</v>
      </c>
    </row>
    <row r="7" spans="1:4" x14ac:dyDescent="0.3">
      <c r="A7" t="s">
        <v>52</v>
      </c>
      <c r="B7" s="2">
        <v>0.08</v>
      </c>
    </row>
    <row r="8" spans="1:4" x14ac:dyDescent="0.3">
      <c r="A8" t="s">
        <v>53</v>
      </c>
      <c r="B8" s="4">
        <v>0.105</v>
      </c>
    </row>
    <row r="9" spans="1:4" x14ac:dyDescent="0.3">
      <c r="A9" t="s">
        <v>54</v>
      </c>
      <c r="B9">
        <v>-0.75</v>
      </c>
    </row>
    <row r="10" spans="1:4" x14ac:dyDescent="0.3">
      <c r="A10" t="s">
        <v>8</v>
      </c>
      <c r="B10" s="2">
        <v>0.34</v>
      </c>
    </row>
    <row r="12" spans="1:4" x14ac:dyDescent="0.3">
      <c r="A12" t="s">
        <v>12</v>
      </c>
      <c r="B12" t="s">
        <v>10</v>
      </c>
      <c r="C12" t="s">
        <v>11</v>
      </c>
      <c r="D12" t="s">
        <v>13</v>
      </c>
    </row>
    <row r="13" spans="1:4" x14ac:dyDescent="0.3">
      <c r="A13">
        <v>0</v>
      </c>
      <c r="B13" s="4">
        <v>0.4</v>
      </c>
      <c r="C13" s="4">
        <v>0</v>
      </c>
      <c r="D13" s="4">
        <v>0.3</v>
      </c>
    </row>
    <row r="14" spans="1:4" x14ac:dyDescent="0.3">
      <c r="A14">
        <v>1</v>
      </c>
      <c r="B14" s="4">
        <v>0.15</v>
      </c>
      <c r="C14" s="4">
        <v>4.5999999999999999E-2</v>
      </c>
      <c r="D14" s="4">
        <v>0.17499999999999999</v>
      </c>
    </row>
    <row r="15" spans="1:4" x14ac:dyDescent="0.3">
      <c r="A15">
        <v>2</v>
      </c>
      <c r="B15" s="4">
        <v>0.15</v>
      </c>
      <c r="C15" s="4">
        <v>7.6999999999999999E-2</v>
      </c>
      <c r="D15" s="4">
        <v>0.17499999999999999</v>
      </c>
    </row>
    <row r="16" spans="1:4" x14ac:dyDescent="0.3">
      <c r="A16">
        <v>3</v>
      </c>
      <c r="B16" s="4">
        <v>0.15</v>
      </c>
      <c r="C16" s="4">
        <v>0.123</v>
      </c>
      <c r="D16" s="4">
        <v>0.17499999999999999</v>
      </c>
    </row>
    <row r="17" spans="1:4" x14ac:dyDescent="0.3">
      <c r="A17">
        <v>4</v>
      </c>
      <c r="B17" s="4">
        <v>0.15</v>
      </c>
      <c r="C17" s="4">
        <v>0.13800000000000001</v>
      </c>
      <c r="D17" s="4">
        <v>0.17499999999999999</v>
      </c>
    </row>
    <row r="18" spans="1:4" x14ac:dyDescent="0.3">
      <c r="A18">
        <v>5</v>
      </c>
      <c r="B18" s="4">
        <v>0</v>
      </c>
      <c r="C18" s="4">
        <v>0.16900000000000001</v>
      </c>
      <c r="D18" s="4">
        <v>0</v>
      </c>
    </row>
    <row r="19" spans="1:4" x14ac:dyDescent="0.3">
      <c r="A19">
        <v>6</v>
      </c>
      <c r="B19" s="4">
        <v>0</v>
      </c>
      <c r="C19" s="4">
        <v>0.154</v>
      </c>
      <c r="D19" s="4">
        <v>0</v>
      </c>
    </row>
    <row r="20" spans="1:4" x14ac:dyDescent="0.3">
      <c r="A20">
        <v>7</v>
      </c>
      <c r="B20" s="4">
        <v>0</v>
      </c>
      <c r="C20" s="4">
        <v>0.154</v>
      </c>
      <c r="D20" s="4">
        <v>0</v>
      </c>
    </row>
    <row r="21" spans="1:4" x14ac:dyDescent="0.3">
      <c r="A21">
        <v>8</v>
      </c>
      <c r="B21" s="4">
        <v>0</v>
      </c>
      <c r="C21" s="4">
        <v>0.13800000000000001</v>
      </c>
      <c r="D21" s="4">
        <v>0</v>
      </c>
    </row>
    <row r="24" spans="1:4" x14ac:dyDescent="0.3">
      <c r="A24" t="s">
        <v>89</v>
      </c>
    </row>
    <row r="25" spans="1:4" x14ac:dyDescent="0.3">
      <c r="A25" s="17" t="s">
        <v>88</v>
      </c>
    </row>
    <row r="26" spans="1:4" x14ac:dyDescent="0.3">
      <c r="A26" t="s">
        <v>64</v>
      </c>
    </row>
    <row r="27" spans="1:4" x14ac:dyDescent="0.3">
      <c r="A27" t="s">
        <v>65</v>
      </c>
    </row>
    <row r="29" spans="1:4" x14ac:dyDescent="0.3">
      <c r="A29" t="s">
        <v>77</v>
      </c>
    </row>
    <row r="30" spans="1:4" x14ac:dyDescent="0.3">
      <c r="A30" t="s">
        <v>78</v>
      </c>
    </row>
    <row r="32" spans="1:4" x14ac:dyDescent="0.3">
      <c r="A32" t="s">
        <v>66</v>
      </c>
    </row>
    <row r="33" spans="1:22" x14ac:dyDescent="0.3">
      <c r="A33" t="s">
        <v>67</v>
      </c>
    </row>
    <row r="35" spans="1:22" x14ac:dyDescent="0.3">
      <c r="O35" s="18">
        <f>B7+(B8-B7)*B9</f>
        <v>6.1250000000000006E-2</v>
      </c>
    </row>
    <row r="36" spans="1:22" x14ac:dyDescent="0.3">
      <c r="A36" t="s">
        <v>22</v>
      </c>
      <c r="B36" t="s">
        <v>23</v>
      </c>
      <c r="C36">
        <v>102.9</v>
      </c>
      <c r="K36" t="s">
        <v>10</v>
      </c>
      <c r="L36" t="s">
        <v>30</v>
      </c>
      <c r="M36" t="s">
        <v>68</v>
      </c>
      <c r="N36" t="s">
        <v>11</v>
      </c>
      <c r="O36" t="s">
        <v>30</v>
      </c>
      <c r="P36" t="s">
        <v>69</v>
      </c>
      <c r="Q36" t="s">
        <v>13</v>
      </c>
      <c r="R36" t="s">
        <v>70</v>
      </c>
      <c r="S36" s="21" t="s">
        <v>72</v>
      </c>
      <c r="T36" t="s">
        <v>73</v>
      </c>
      <c r="U36" s="9"/>
      <c r="V36" s="10"/>
    </row>
    <row r="37" spans="1:22" x14ac:dyDescent="0.3">
      <c r="B37" t="s">
        <v>24</v>
      </c>
      <c r="C37">
        <v>65</v>
      </c>
      <c r="J37">
        <v>0</v>
      </c>
      <c r="K37" s="5">
        <f>$C$36*B13</f>
        <v>41.160000000000004</v>
      </c>
      <c r="L37" s="3">
        <f>(1+$B$7)^(($J$41-J37)/4)</f>
        <v>1.08</v>
      </c>
      <c r="M37" s="3">
        <f>K37*L37</f>
        <v>44.452800000000003</v>
      </c>
      <c r="N37" s="5">
        <f>$C$37*C13</f>
        <v>0</v>
      </c>
      <c r="O37" s="19">
        <f>(1+$O$35)^(($J$41-J37)*0.25)</f>
        <v>1.06125</v>
      </c>
      <c r="P37" s="3">
        <f>N37*O37</f>
        <v>0</v>
      </c>
      <c r="Q37" s="5">
        <f>($B$4+($C$36*$B$5))*D13</f>
        <v>12.217499999999999</v>
      </c>
      <c r="R37" s="3">
        <f>L37*Q37</f>
        <v>13.194900000000001</v>
      </c>
      <c r="S37" s="22">
        <f>M37-P37-R37</f>
        <v>31.257900000000003</v>
      </c>
      <c r="T37" s="20">
        <f>$B$10*S37</f>
        <v>10.627686000000002</v>
      </c>
      <c r="U37" s="7"/>
      <c r="V37" s="10"/>
    </row>
    <row r="38" spans="1:22" x14ac:dyDescent="0.3">
      <c r="J38">
        <v>1</v>
      </c>
      <c r="K38" s="5">
        <f t="shared" ref="K38:K45" si="0">$C$36*B14</f>
        <v>15.435</v>
      </c>
      <c r="L38" s="3">
        <f t="shared" ref="L38:L45" si="1">(1+$B$7)^(($J$41-J38)/4)</f>
        <v>1.0594191442977763</v>
      </c>
      <c r="M38" s="3">
        <f t="shared" ref="M38:M45" si="2">K38*L38</f>
        <v>16.352134492236178</v>
      </c>
      <c r="N38" s="5">
        <f t="shared" ref="N38:N45" si="3">$C$37*C14</f>
        <v>2.9899999999999998</v>
      </c>
      <c r="O38" s="19">
        <f>(1+$O$35)^(($J$41-J38)*0.25)</f>
        <v>1.0455944694751702</v>
      </c>
      <c r="P38" s="3">
        <f>N38*O38</f>
        <v>3.1263274637307585</v>
      </c>
      <c r="Q38" s="5">
        <f t="shared" ref="Q38:Q45" si="4">($B$4+($C$36*$B$5))*D14</f>
        <v>7.1268750000000001</v>
      </c>
      <c r="R38" s="3">
        <f t="shared" ref="R38:R45" si="5">L38*Q38</f>
        <v>7.550347814017214</v>
      </c>
      <c r="S38" s="22">
        <f t="shared" ref="S38:S45" si="6">M38-P38-R38</f>
        <v>5.6754592144882059</v>
      </c>
      <c r="T38" s="20">
        <f t="shared" ref="T38:T45" si="7">$B$10*S38</f>
        <v>1.9296561329259903</v>
      </c>
      <c r="U38" s="7"/>
      <c r="V38" s="10"/>
    </row>
    <row r="39" spans="1:22" x14ac:dyDescent="0.3">
      <c r="J39">
        <v>2</v>
      </c>
      <c r="K39" s="5">
        <f t="shared" si="0"/>
        <v>15.435</v>
      </c>
      <c r="L39" s="3">
        <f t="shared" si="1"/>
        <v>1.0392304845413265</v>
      </c>
      <c r="M39" s="3">
        <f t="shared" si="2"/>
        <v>16.040522528895377</v>
      </c>
      <c r="N39" s="5">
        <f t="shared" si="3"/>
        <v>5.0049999999999999</v>
      </c>
      <c r="O39" s="19">
        <f t="shared" ref="O39:O45" si="8">(1+$O$35)^(($J$41-J39)*0.25)</f>
        <v>1.0301698889018258</v>
      </c>
      <c r="P39" s="3">
        <f t="shared" ref="P39:P45" si="9">N39*O39</f>
        <v>5.156000293953638</v>
      </c>
      <c r="Q39" s="5">
        <f t="shared" si="4"/>
        <v>7.1268750000000001</v>
      </c>
      <c r="R39" s="3">
        <f t="shared" si="5"/>
        <v>7.4064657595154664</v>
      </c>
      <c r="S39" s="22">
        <f t="shared" si="6"/>
        <v>3.4780564754262713</v>
      </c>
      <c r="T39" s="20">
        <f t="shared" si="7"/>
        <v>1.1825392016449323</v>
      </c>
      <c r="U39" s="7"/>
      <c r="V39" s="10"/>
    </row>
    <row r="40" spans="1:22" x14ac:dyDescent="0.3">
      <c r="J40">
        <v>3</v>
      </c>
      <c r="K40" s="5">
        <f t="shared" si="0"/>
        <v>15.435</v>
      </c>
      <c r="L40" s="3">
        <f t="shared" si="1"/>
        <v>1.0194265469082735</v>
      </c>
      <c r="M40" s="3">
        <f t="shared" si="2"/>
        <v>15.734848751529203</v>
      </c>
      <c r="N40" s="5">
        <f t="shared" si="3"/>
        <v>7.9950000000000001</v>
      </c>
      <c r="O40" s="19">
        <f t="shared" si="8"/>
        <v>1.0149728513126968</v>
      </c>
      <c r="P40" s="3">
        <f t="shared" si="9"/>
        <v>8.1147079462450105</v>
      </c>
      <c r="Q40" s="5">
        <f t="shared" si="4"/>
        <v>7.1268750000000001</v>
      </c>
      <c r="R40" s="3">
        <f t="shared" si="5"/>
        <v>7.2653255714969021</v>
      </c>
      <c r="S40" s="22">
        <f t="shared" si="6"/>
        <v>0.3548152337872903</v>
      </c>
      <c r="T40" s="20">
        <f t="shared" si="7"/>
        <v>0.12063717948767871</v>
      </c>
      <c r="U40" s="7"/>
      <c r="V40" s="10"/>
    </row>
    <row r="41" spans="1:22" x14ac:dyDescent="0.3">
      <c r="J41">
        <v>4</v>
      </c>
      <c r="K41" s="5">
        <f t="shared" si="0"/>
        <v>15.435</v>
      </c>
      <c r="L41" s="3">
        <f t="shared" si="1"/>
        <v>1</v>
      </c>
      <c r="M41" s="3">
        <f t="shared" si="2"/>
        <v>15.435</v>
      </c>
      <c r="N41" s="5">
        <f t="shared" si="3"/>
        <v>8.9700000000000006</v>
      </c>
      <c r="O41" s="19">
        <f t="shared" si="8"/>
        <v>1</v>
      </c>
      <c r="P41" s="3">
        <f t="shared" si="9"/>
        <v>8.9700000000000006</v>
      </c>
      <c r="Q41" s="5">
        <f t="shared" si="4"/>
        <v>7.1268750000000001</v>
      </c>
      <c r="R41" s="3">
        <f t="shared" si="5"/>
        <v>7.1268750000000001</v>
      </c>
      <c r="S41" s="22">
        <f t="shared" si="6"/>
        <v>-0.66187500000000021</v>
      </c>
      <c r="T41" s="20">
        <f t="shared" si="7"/>
        <v>-0.22503750000000008</v>
      </c>
      <c r="U41" s="7"/>
      <c r="V41" s="10"/>
    </row>
    <row r="42" spans="1:22" x14ac:dyDescent="0.3">
      <c r="J42">
        <v>5</v>
      </c>
      <c r="K42" s="5">
        <f t="shared" si="0"/>
        <v>0</v>
      </c>
      <c r="L42" s="3">
        <f t="shared" si="1"/>
        <v>0.98094365212757062</v>
      </c>
      <c r="M42" s="3">
        <f t="shared" si="2"/>
        <v>0</v>
      </c>
      <c r="N42" s="5">
        <f t="shared" si="3"/>
        <v>10.985000000000001</v>
      </c>
      <c r="O42" s="19">
        <f t="shared" si="8"/>
        <v>0.98524802777401199</v>
      </c>
      <c r="P42" s="3">
        <f t="shared" si="9"/>
        <v>10.822949585097524</v>
      </c>
      <c r="Q42" s="5">
        <f t="shared" si="4"/>
        <v>0</v>
      </c>
      <c r="R42" s="3">
        <f t="shared" si="5"/>
        <v>0</v>
      </c>
      <c r="S42" s="22">
        <f t="shared" si="6"/>
        <v>-10.822949585097524</v>
      </c>
      <c r="T42" s="20">
        <f t="shared" si="7"/>
        <v>-3.6798028589331584</v>
      </c>
      <c r="U42" s="7"/>
      <c r="V42" s="10"/>
    </row>
    <row r="43" spans="1:22" x14ac:dyDescent="0.3">
      <c r="J43">
        <v>6</v>
      </c>
      <c r="K43" s="5">
        <f t="shared" si="0"/>
        <v>0</v>
      </c>
      <c r="L43" s="3">
        <f t="shared" si="1"/>
        <v>0.96225044864937614</v>
      </c>
      <c r="M43" s="3">
        <f t="shared" si="2"/>
        <v>0</v>
      </c>
      <c r="N43" s="5">
        <f t="shared" si="3"/>
        <v>10.01</v>
      </c>
      <c r="O43" s="19">
        <f t="shared" si="8"/>
        <v>0.97071367623258009</v>
      </c>
      <c r="P43" s="3">
        <f t="shared" si="9"/>
        <v>9.7168438990881256</v>
      </c>
      <c r="Q43" s="5">
        <f t="shared" si="4"/>
        <v>0</v>
      </c>
      <c r="R43" s="3">
        <f t="shared" si="5"/>
        <v>0</v>
      </c>
      <c r="S43" s="22">
        <f t="shared" si="6"/>
        <v>-9.7168438990881256</v>
      </c>
      <c r="T43" s="20">
        <f t="shared" si="7"/>
        <v>-3.3037269256899631</v>
      </c>
      <c r="U43" s="7"/>
      <c r="V43" s="10"/>
    </row>
    <row r="44" spans="1:22" x14ac:dyDescent="0.3">
      <c r="J44">
        <v>7</v>
      </c>
      <c r="K44" s="5">
        <f t="shared" si="0"/>
        <v>0</v>
      </c>
      <c r="L44" s="3">
        <f t="shared" si="1"/>
        <v>0.94391346935951248</v>
      </c>
      <c r="M44" s="3">
        <f t="shared" si="2"/>
        <v>0</v>
      </c>
      <c r="N44" s="5">
        <f t="shared" si="3"/>
        <v>10.01</v>
      </c>
      <c r="O44" s="19">
        <f t="shared" si="8"/>
        <v>0.95639373504141034</v>
      </c>
      <c r="P44" s="3">
        <f t="shared" si="9"/>
        <v>9.5735012877645165</v>
      </c>
      <c r="Q44" s="5">
        <f t="shared" si="4"/>
        <v>0</v>
      </c>
      <c r="R44" s="3">
        <f t="shared" si="5"/>
        <v>0</v>
      </c>
      <c r="S44" s="22">
        <f t="shared" si="6"/>
        <v>-9.5735012877645165</v>
      </c>
      <c r="T44" s="20">
        <f t="shared" si="7"/>
        <v>-3.2549904378399357</v>
      </c>
      <c r="U44" s="7"/>
      <c r="V44" s="10"/>
    </row>
    <row r="45" spans="1:22" x14ac:dyDescent="0.3">
      <c r="J45">
        <v>8</v>
      </c>
      <c r="K45" s="5">
        <f t="shared" si="0"/>
        <v>0</v>
      </c>
      <c r="L45" s="3">
        <f t="shared" si="1"/>
        <v>0.92592592592592582</v>
      </c>
      <c r="M45" s="3">
        <f t="shared" si="2"/>
        <v>0</v>
      </c>
      <c r="N45" s="5">
        <f t="shared" si="3"/>
        <v>8.9700000000000006</v>
      </c>
      <c r="O45" s="19">
        <f t="shared" si="8"/>
        <v>0.94228504122497048</v>
      </c>
      <c r="P45" s="3">
        <f t="shared" si="9"/>
        <v>8.4522968197879855</v>
      </c>
      <c r="Q45" s="5">
        <f t="shared" si="4"/>
        <v>0</v>
      </c>
      <c r="R45" s="3">
        <f t="shared" si="5"/>
        <v>0</v>
      </c>
      <c r="S45" s="22">
        <f t="shared" si="6"/>
        <v>-8.4522968197879855</v>
      </c>
      <c r="T45" s="20">
        <f t="shared" si="7"/>
        <v>-2.8737809187279151</v>
      </c>
      <c r="U45" s="7"/>
      <c r="V45" s="10"/>
    </row>
    <row r="46" spans="1:22" x14ac:dyDescent="0.3">
      <c r="K46" s="5">
        <f>SUM(K37:K45)</f>
        <v>102.9</v>
      </c>
      <c r="M46" s="24">
        <f>SUM(M37:M45)</f>
        <v>108.01530577266077</v>
      </c>
      <c r="N46" s="5">
        <f>SUM(N37:N45)</f>
        <v>64.935000000000002</v>
      </c>
      <c r="O46" s="5"/>
      <c r="P46" s="24">
        <f>SUM(P37:P45)</f>
        <v>63.932627295667558</v>
      </c>
      <c r="Q46" s="5">
        <f>SUM(Q37:Q45)</f>
        <v>40.724999999999994</v>
      </c>
      <c r="R46" s="24">
        <f>SUM(R37:R45)</f>
        <v>42.543914145029582</v>
      </c>
      <c r="S46" s="23">
        <f>SUM(S37:S45)</f>
        <v>1.5387643319636144</v>
      </c>
      <c r="T46" s="24">
        <f>SUM(T37:T45)</f>
        <v>0.52317987286763001</v>
      </c>
      <c r="V46" s="11"/>
    </row>
    <row r="49" spans="1:20" x14ac:dyDescent="0.3">
      <c r="A49" t="s">
        <v>15</v>
      </c>
    </row>
    <row r="50" spans="1:20" x14ac:dyDescent="0.3">
      <c r="A50" t="s">
        <v>36</v>
      </c>
    </row>
    <row r="51" spans="1:20" x14ac:dyDescent="0.3">
      <c r="B51" t="s">
        <v>27</v>
      </c>
    </row>
    <row r="52" spans="1:20" x14ac:dyDescent="0.3">
      <c r="B52" t="s">
        <v>16</v>
      </c>
    </row>
    <row r="53" spans="1:20" x14ac:dyDescent="0.3">
      <c r="B53" t="s">
        <v>26</v>
      </c>
    </row>
    <row r="54" spans="1:20" x14ac:dyDescent="0.3">
      <c r="B54" t="s">
        <v>28</v>
      </c>
    </row>
    <row r="58" spans="1:20" x14ac:dyDescent="0.3">
      <c r="A58" t="s">
        <v>75</v>
      </c>
    </row>
    <row r="59" spans="1:20" x14ac:dyDescent="0.3">
      <c r="A59" t="s">
        <v>76</v>
      </c>
    </row>
    <row r="60" spans="1:20" x14ac:dyDescent="0.3">
      <c r="A60" t="s">
        <v>33</v>
      </c>
      <c r="P60" t="s">
        <v>3</v>
      </c>
      <c r="Q60" t="s">
        <v>29</v>
      </c>
      <c r="R60" t="s">
        <v>82</v>
      </c>
      <c r="S60" s="9" t="s">
        <v>50</v>
      </c>
      <c r="T60" t="s">
        <v>51</v>
      </c>
    </row>
    <row r="61" spans="1:20" x14ac:dyDescent="0.3">
      <c r="A61" t="s">
        <v>74</v>
      </c>
      <c r="N61">
        <v>0</v>
      </c>
      <c r="O61" s="7"/>
      <c r="P61" s="7">
        <f>$K$46/$B$6</f>
        <v>34.300000000000004</v>
      </c>
      <c r="Q61" s="5"/>
      <c r="R61" s="6">
        <f>Q61*$B$10</f>
        <v>0</v>
      </c>
      <c r="S61" s="13">
        <f t="shared" ref="S61:S69" si="10">(1+$B$7)^(($N$65-N61)*0.25)</f>
        <v>1.08</v>
      </c>
      <c r="T61" s="5">
        <f>Q61*S61</f>
        <v>0</v>
      </c>
    </row>
    <row r="62" spans="1:20" x14ac:dyDescent="0.3">
      <c r="A62" t="s">
        <v>84</v>
      </c>
      <c r="N62">
        <v>1</v>
      </c>
      <c r="O62" s="7"/>
      <c r="P62" s="7">
        <f>$K$46/$B$6</f>
        <v>34.300000000000004</v>
      </c>
      <c r="Q62" s="5">
        <f>P62*$B$7/4</f>
        <v>0.68600000000000005</v>
      </c>
      <c r="R62" s="6">
        <f t="shared" ref="R62:R69" si="11">Q62*$B$10</f>
        <v>0.23324000000000003</v>
      </c>
      <c r="S62" s="13">
        <f t="shared" si="10"/>
        <v>1.0594191442977763</v>
      </c>
      <c r="T62" s="5">
        <f>R62*S62</f>
        <v>0.24709892121601337</v>
      </c>
    </row>
    <row r="63" spans="1:20" x14ac:dyDescent="0.3">
      <c r="A63" t="s">
        <v>83</v>
      </c>
      <c r="N63">
        <v>2</v>
      </c>
      <c r="O63" s="7"/>
      <c r="P63" s="7">
        <f>$K$46/$B$6</f>
        <v>34.300000000000004</v>
      </c>
      <c r="Q63" s="5">
        <f>P63*$B$7/4</f>
        <v>0.68600000000000005</v>
      </c>
      <c r="R63" s="6">
        <f t="shared" si="11"/>
        <v>0.23324000000000003</v>
      </c>
      <c r="S63" s="13">
        <f t="shared" si="10"/>
        <v>1.0392304845413265</v>
      </c>
      <c r="T63" s="5">
        <f t="shared" ref="T63:T69" si="12">R63*S63</f>
        <v>0.24239011821441903</v>
      </c>
    </row>
    <row r="64" spans="1:20" x14ac:dyDescent="0.3">
      <c r="N64">
        <v>3</v>
      </c>
      <c r="O64" s="7"/>
      <c r="P64" s="7">
        <f>$K$46/$B$6</f>
        <v>34.300000000000004</v>
      </c>
      <c r="Q64" s="5">
        <f>P64*$B$7/4</f>
        <v>0.68600000000000005</v>
      </c>
      <c r="R64" s="6">
        <f t="shared" si="11"/>
        <v>0.23324000000000003</v>
      </c>
      <c r="S64" s="13">
        <f t="shared" si="10"/>
        <v>1.0194265469082735</v>
      </c>
      <c r="T64" s="5">
        <f t="shared" si="12"/>
        <v>0.23777104780088573</v>
      </c>
    </row>
    <row r="65" spans="14:20" x14ac:dyDescent="0.3">
      <c r="N65">
        <v>4</v>
      </c>
      <c r="O65" s="7"/>
      <c r="P65" s="7">
        <f>$K$46/$B$6</f>
        <v>34.300000000000004</v>
      </c>
      <c r="Q65" s="5">
        <f>P65*$B$7/4</f>
        <v>0.68600000000000005</v>
      </c>
      <c r="R65" s="6">
        <f t="shared" si="11"/>
        <v>0.23324000000000003</v>
      </c>
      <c r="S65" s="13">
        <f t="shared" si="10"/>
        <v>1</v>
      </c>
      <c r="T65" s="5">
        <f t="shared" si="12"/>
        <v>0.23324000000000003</v>
      </c>
    </row>
    <row r="66" spans="14:20" x14ac:dyDescent="0.3">
      <c r="N66">
        <v>5</v>
      </c>
      <c r="O66" s="7"/>
      <c r="P66" s="7">
        <v>0</v>
      </c>
      <c r="Q66" s="5"/>
      <c r="R66" s="6">
        <f t="shared" si="11"/>
        <v>0</v>
      </c>
      <c r="S66" s="13">
        <f t="shared" si="10"/>
        <v>0.98094365212757062</v>
      </c>
      <c r="T66" s="5">
        <f t="shared" si="12"/>
        <v>0</v>
      </c>
    </row>
    <row r="67" spans="14:20" x14ac:dyDescent="0.3">
      <c r="N67">
        <v>6</v>
      </c>
      <c r="O67" s="7"/>
      <c r="P67" s="7">
        <v>0</v>
      </c>
      <c r="Q67" s="5">
        <f>P66*$B$7/4</f>
        <v>0</v>
      </c>
      <c r="R67" s="6">
        <f t="shared" si="11"/>
        <v>0</v>
      </c>
      <c r="S67" s="13">
        <f t="shared" si="10"/>
        <v>0.96225044864937614</v>
      </c>
      <c r="T67" s="5">
        <f t="shared" si="12"/>
        <v>0</v>
      </c>
    </row>
    <row r="68" spans="14:20" x14ac:dyDescent="0.3">
      <c r="N68">
        <v>7</v>
      </c>
      <c r="O68" s="7"/>
      <c r="P68" s="7">
        <v>0</v>
      </c>
      <c r="Q68" s="5">
        <f>P67*$B$7/4</f>
        <v>0</v>
      </c>
      <c r="R68" s="6">
        <f t="shared" si="11"/>
        <v>0</v>
      </c>
      <c r="S68" s="13">
        <f t="shared" si="10"/>
        <v>0.94391346935951248</v>
      </c>
      <c r="T68" s="5">
        <f t="shared" si="12"/>
        <v>0</v>
      </c>
    </row>
    <row r="69" spans="14:20" x14ac:dyDescent="0.3">
      <c r="N69">
        <v>8</v>
      </c>
      <c r="O69" s="7"/>
      <c r="P69" s="7">
        <v>0</v>
      </c>
      <c r="Q69" s="5">
        <f>P68*$B$7/4</f>
        <v>0</v>
      </c>
      <c r="R69" s="6">
        <f t="shared" si="11"/>
        <v>0</v>
      </c>
      <c r="S69" s="13">
        <f t="shared" si="10"/>
        <v>0.92592592592592582</v>
      </c>
      <c r="T69" s="5">
        <f t="shared" si="12"/>
        <v>0</v>
      </c>
    </row>
    <row r="70" spans="14:20" x14ac:dyDescent="0.3">
      <c r="R70" s="5"/>
      <c r="T70" s="5">
        <f>SUM(T61:T69)</f>
        <v>0.96050008723131819</v>
      </c>
    </row>
    <row r="71" spans="14:20" x14ac:dyDescent="0.3">
      <c r="T71" s="20">
        <f>M46-P46-R46-T46</f>
        <v>1.0155844590959968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35"/>
  <sheetViews>
    <sheetView workbookViewId="0">
      <selection activeCell="J11" sqref="J11"/>
    </sheetView>
  </sheetViews>
  <sheetFormatPr defaultRowHeight="14.4" x14ac:dyDescent="0.3"/>
  <cols>
    <col min="1" max="1" width="22.109375" bestFit="1" customWidth="1"/>
    <col min="3" max="3" width="16.33203125" bestFit="1" customWidth="1"/>
    <col min="4" max="5" width="16.109375" bestFit="1" customWidth="1"/>
    <col min="7" max="7" width="14.5546875" customWidth="1"/>
    <col min="8" max="8" width="9.44140625" customWidth="1"/>
    <col min="9" max="9" width="13" customWidth="1"/>
    <col min="12" max="12" width="11.44140625" customWidth="1"/>
    <col min="13" max="13" width="10" customWidth="1"/>
    <col min="15" max="15" width="15.33203125" customWidth="1"/>
    <col min="16" max="16" width="10" customWidth="1"/>
  </cols>
  <sheetData>
    <row r="2" spans="1:37" s="26" customFormat="1" x14ac:dyDescent="0.3">
      <c r="A2" s="26" t="s">
        <v>0</v>
      </c>
      <c r="K2" s="27">
        <f>B4+B5*B11</f>
        <v>41.95</v>
      </c>
    </row>
    <row r="3" spans="1:37" s="26" customFormat="1" x14ac:dyDescent="0.3">
      <c r="D3" s="26" t="s">
        <v>12</v>
      </c>
      <c r="E3" s="26" t="s">
        <v>10</v>
      </c>
      <c r="F3" s="26" t="s">
        <v>11</v>
      </c>
      <c r="G3" s="26" t="s">
        <v>13</v>
      </c>
      <c r="H3" s="26" t="s">
        <v>119</v>
      </c>
      <c r="I3" s="26" t="s">
        <v>131</v>
      </c>
      <c r="J3" s="26" t="s">
        <v>132</v>
      </c>
      <c r="K3" s="26" t="s">
        <v>133</v>
      </c>
      <c r="L3" s="26" t="s">
        <v>135</v>
      </c>
    </row>
    <row r="4" spans="1:37" s="26" customFormat="1" x14ac:dyDescent="0.3">
      <c r="A4" s="26" t="s">
        <v>1</v>
      </c>
      <c r="B4" s="28">
        <v>15</v>
      </c>
      <c r="D4" s="26">
        <v>0</v>
      </c>
      <c r="E4" s="29">
        <v>0.4</v>
      </c>
      <c r="F4" s="29">
        <v>0</v>
      </c>
      <c r="G4" s="29">
        <v>0.3</v>
      </c>
      <c r="H4" s="26">
        <f t="shared" ref="H4:H12" si="0">$B$11*E4</f>
        <v>43.120000000000005</v>
      </c>
      <c r="I4" s="30">
        <f t="shared" ref="I4:I12" si="1">$B$12*F4</f>
        <v>0</v>
      </c>
      <c r="J4" s="27">
        <f t="shared" ref="J4:J12" si="2">$K$2*G4</f>
        <v>12.585000000000001</v>
      </c>
      <c r="K4" s="26">
        <f>0</f>
        <v>0</v>
      </c>
      <c r="L4" s="26">
        <v>0</v>
      </c>
    </row>
    <row r="5" spans="1:37" s="26" customFormat="1" x14ac:dyDescent="0.3">
      <c r="A5" s="26" t="s">
        <v>2</v>
      </c>
      <c r="B5" s="31">
        <v>0.25</v>
      </c>
      <c r="D5" s="26">
        <v>1</v>
      </c>
      <c r="E5" s="29">
        <v>0.15</v>
      </c>
      <c r="F5" s="29">
        <v>4.5999999999999999E-2</v>
      </c>
      <c r="G5" s="29">
        <v>0.17499999999999999</v>
      </c>
      <c r="H5" s="26">
        <f t="shared" si="0"/>
        <v>16.169999999999998</v>
      </c>
      <c r="I5" s="30">
        <f t="shared" si="1"/>
        <v>2.9899999999999998</v>
      </c>
      <c r="J5" s="27">
        <f t="shared" si="2"/>
        <v>7.3412499999999996</v>
      </c>
      <c r="K5" s="26">
        <f>$B$11/4</f>
        <v>26.95</v>
      </c>
      <c r="L5" s="26">
        <f>$B$12/4</f>
        <v>16.25</v>
      </c>
      <c r="AG5" s="26">
        <v>0</v>
      </c>
      <c r="AH5" s="26">
        <v>1</v>
      </c>
      <c r="AI5" s="26">
        <v>2</v>
      </c>
      <c r="AJ5" s="26">
        <v>3</v>
      </c>
      <c r="AK5" s="26">
        <v>4</v>
      </c>
    </row>
    <row r="6" spans="1:37" s="26" customFormat="1" x14ac:dyDescent="0.3">
      <c r="A6" s="26" t="s">
        <v>4</v>
      </c>
      <c r="B6" s="26">
        <v>3</v>
      </c>
      <c r="D6" s="26">
        <v>2</v>
      </c>
      <c r="E6" s="29">
        <v>0.15</v>
      </c>
      <c r="F6" s="29">
        <v>7.6999999999999999E-2</v>
      </c>
      <c r="G6" s="29">
        <v>0.17499999999999999</v>
      </c>
      <c r="H6" s="26">
        <f t="shared" si="0"/>
        <v>16.169999999999998</v>
      </c>
      <c r="I6" s="30">
        <f t="shared" si="1"/>
        <v>5.0049999999999999</v>
      </c>
      <c r="J6" s="27">
        <f t="shared" si="2"/>
        <v>7.3412499999999996</v>
      </c>
      <c r="K6" s="26">
        <f>$B$11/4</f>
        <v>26.95</v>
      </c>
      <c r="L6" s="26">
        <f>$B$12/4</f>
        <v>16.25</v>
      </c>
      <c r="AE6" s="26" t="s">
        <v>12</v>
      </c>
      <c r="AF6" s="26" t="s">
        <v>95</v>
      </c>
      <c r="AG6" s="26">
        <v>50</v>
      </c>
      <c r="AH6" s="26">
        <v>50</v>
      </c>
    </row>
    <row r="7" spans="1:37" s="26" customFormat="1" x14ac:dyDescent="0.3">
      <c r="A7" s="26" t="s">
        <v>6</v>
      </c>
      <c r="B7" s="31">
        <v>0.08</v>
      </c>
      <c r="D7" s="26">
        <v>3</v>
      </c>
      <c r="E7" s="29">
        <v>0.15</v>
      </c>
      <c r="F7" s="29">
        <v>0.123</v>
      </c>
      <c r="G7" s="29">
        <v>0.17499999999999999</v>
      </c>
      <c r="H7" s="26">
        <f t="shared" si="0"/>
        <v>16.169999999999998</v>
      </c>
      <c r="I7" s="30">
        <f t="shared" si="1"/>
        <v>7.9950000000000001</v>
      </c>
      <c r="J7" s="27">
        <f t="shared" si="2"/>
        <v>7.3412499999999996</v>
      </c>
      <c r="K7" s="26">
        <f>$B$11/4</f>
        <v>26.95</v>
      </c>
      <c r="L7" s="26">
        <f>$B$12/4</f>
        <v>16.25</v>
      </c>
      <c r="AF7" s="26" t="s">
        <v>97</v>
      </c>
      <c r="AH7" s="26">
        <f>0.6*100*0.5</f>
        <v>30</v>
      </c>
      <c r="AI7" s="26">
        <f>60*0.3</f>
        <v>18</v>
      </c>
      <c r="AJ7" s="26">
        <f>60*0.2</f>
        <v>12</v>
      </c>
    </row>
    <row r="8" spans="1:37" s="26" customFormat="1" x14ac:dyDescent="0.3">
      <c r="A8" s="26" t="s">
        <v>7</v>
      </c>
      <c r="B8" s="31">
        <v>0.08</v>
      </c>
      <c r="D8" s="26">
        <v>4</v>
      </c>
      <c r="E8" s="29">
        <v>0.15</v>
      </c>
      <c r="F8" s="29">
        <v>0.13800000000000001</v>
      </c>
      <c r="G8" s="29">
        <v>0.17499999999999999</v>
      </c>
      <c r="H8" s="26">
        <f t="shared" si="0"/>
        <v>16.169999999999998</v>
      </c>
      <c r="I8" s="30">
        <f t="shared" si="1"/>
        <v>8.9700000000000006</v>
      </c>
      <c r="J8" s="27">
        <f t="shared" si="2"/>
        <v>7.3412499999999996</v>
      </c>
      <c r="K8" s="26">
        <f>$B$11/4</f>
        <v>26.95</v>
      </c>
      <c r="L8" s="26">
        <f>$B$12/4</f>
        <v>16.25</v>
      </c>
      <c r="AF8" s="26" t="s">
        <v>98</v>
      </c>
      <c r="AH8" s="26">
        <f>AH7/0.6*0.4</f>
        <v>20</v>
      </c>
      <c r="AI8" s="26">
        <f>AI7/0.6*0.4</f>
        <v>12</v>
      </c>
      <c r="AJ8" s="26">
        <f>AJ7/0.6*0.4</f>
        <v>8</v>
      </c>
    </row>
    <row r="9" spans="1:37" s="26" customFormat="1" x14ac:dyDescent="0.3">
      <c r="A9" s="26" t="s">
        <v>8</v>
      </c>
      <c r="B9" s="31">
        <v>0.34</v>
      </c>
      <c r="D9" s="26">
        <v>5</v>
      </c>
      <c r="E9" s="29">
        <v>0</v>
      </c>
      <c r="F9" s="29">
        <v>0.16900000000000001</v>
      </c>
      <c r="G9" s="29">
        <v>0</v>
      </c>
      <c r="H9" s="26">
        <f t="shared" si="0"/>
        <v>0</v>
      </c>
      <c r="I9" s="30">
        <f t="shared" si="1"/>
        <v>10.985000000000001</v>
      </c>
      <c r="J9" s="27">
        <f t="shared" si="2"/>
        <v>0</v>
      </c>
      <c r="K9" s="26">
        <f>0</f>
        <v>0</v>
      </c>
      <c r="L9" s="26">
        <f>0</f>
        <v>0</v>
      </c>
      <c r="AF9" s="26" t="s">
        <v>102</v>
      </c>
    </row>
    <row r="10" spans="1:37" s="26" customFormat="1" x14ac:dyDescent="0.3">
      <c r="A10" s="26" t="s">
        <v>9</v>
      </c>
      <c r="B10" s="31">
        <v>0.15</v>
      </c>
      <c r="D10" s="26">
        <v>6</v>
      </c>
      <c r="E10" s="29">
        <v>0</v>
      </c>
      <c r="F10" s="29">
        <v>0.154</v>
      </c>
      <c r="G10" s="29">
        <v>0</v>
      </c>
      <c r="H10" s="26">
        <f t="shared" si="0"/>
        <v>0</v>
      </c>
      <c r="I10" s="30">
        <f t="shared" si="1"/>
        <v>10.01</v>
      </c>
      <c r="J10" s="27">
        <f t="shared" si="2"/>
        <v>0</v>
      </c>
      <c r="K10" s="26">
        <f>0</f>
        <v>0</v>
      </c>
      <c r="L10" s="26">
        <f>0</f>
        <v>0</v>
      </c>
      <c r="AF10" s="26" t="s">
        <v>96</v>
      </c>
      <c r="AG10" s="26">
        <v>0</v>
      </c>
      <c r="AH10" s="26">
        <v>100</v>
      </c>
    </row>
    <row r="11" spans="1:37" s="26" customFormat="1" x14ac:dyDescent="0.3">
      <c r="A11" s="26" t="s">
        <v>138</v>
      </c>
      <c r="B11" s="26">
        <v>107.8</v>
      </c>
      <c r="D11" s="26">
        <v>7</v>
      </c>
      <c r="E11" s="29">
        <v>0</v>
      </c>
      <c r="F11" s="29">
        <v>0.154</v>
      </c>
      <c r="G11" s="29">
        <v>0</v>
      </c>
      <c r="H11" s="26">
        <f t="shared" si="0"/>
        <v>0</v>
      </c>
      <c r="I11" s="30">
        <f t="shared" si="1"/>
        <v>10.01</v>
      </c>
      <c r="J11" s="27">
        <f t="shared" si="2"/>
        <v>0</v>
      </c>
      <c r="K11" s="26">
        <f>0</f>
        <v>0</v>
      </c>
      <c r="L11" s="26">
        <f>0</f>
        <v>0</v>
      </c>
      <c r="AF11" s="26" t="s">
        <v>99</v>
      </c>
      <c r="AG11" s="26">
        <v>100</v>
      </c>
      <c r="AH11" s="26">
        <v>0</v>
      </c>
    </row>
    <row r="12" spans="1:37" s="26" customFormat="1" x14ac:dyDescent="0.3">
      <c r="A12" s="26" t="s">
        <v>139</v>
      </c>
      <c r="B12" s="26">
        <v>65</v>
      </c>
      <c r="D12" s="26">
        <v>8</v>
      </c>
      <c r="E12" s="29">
        <v>0</v>
      </c>
      <c r="F12" s="29">
        <v>0.13800000000000001</v>
      </c>
      <c r="G12" s="29">
        <v>0</v>
      </c>
      <c r="H12" s="26">
        <f t="shared" si="0"/>
        <v>0</v>
      </c>
      <c r="I12" s="30">
        <f t="shared" si="1"/>
        <v>8.9700000000000006</v>
      </c>
      <c r="J12" s="27">
        <f t="shared" si="2"/>
        <v>0</v>
      </c>
      <c r="K12" s="26">
        <f>0</f>
        <v>0</v>
      </c>
      <c r="L12" s="26">
        <f>0</f>
        <v>0</v>
      </c>
      <c r="AF12" s="26" t="s">
        <v>100</v>
      </c>
      <c r="AG12" s="26">
        <v>0</v>
      </c>
      <c r="AH12" s="26">
        <f>60</f>
        <v>60</v>
      </c>
    </row>
    <row r="13" spans="1:37" s="25" customFormat="1" ht="15" thickBot="1" x14ac:dyDescent="0.35"/>
    <row r="14" spans="1:37" x14ac:dyDescent="0.3">
      <c r="A14" s="32"/>
      <c r="B14" s="32" t="s">
        <v>113</v>
      </c>
      <c r="C14" s="32"/>
      <c r="D14" s="32"/>
      <c r="E14" s="32"/>
      <c r="F14" s="32" t="s">
        <v>141</v>
      </c>
      <c r="G14" s="32"/>
    </row>
    <row r="15" spans="1:37" x14ac:dyDescent="0.3">
      <c r="A15" s="33" t="s">
        <v>134</v>
      </c>
      <c r="B15" s="33">
        <v>0</v>
      </c>
      <c r="C15" s="33">
        <v>0.25</v>
      </c>
      <c r="D15" s="33"/>
      <c r="E15" s="33"/>
      <c r="F15" s="33">
        <v>0</v>
      </c>
      <c r="G15" s="33">
        <v>0.25</v>
      </c>
    </row>
    <row r="16" spans="1:37" x14ac:dyDescent="0.3">
      <c r="A16" s="32" t="s">
        <v>119</v>
      </c>
      <c r="B16" s="34">
        <f>E4*B11</f>
        <v>43.120000000000005</v>
      </c>
      <c r="C16" s="34">
        <f>H5</f>
        <v>16.169999999999998</v>
      </c>
      <c r="D16" s="34"/>
      <c r="E16" s="35" t="s">
        <v>119</v>
      </c>
      <c r="F16" s="36">
        <f>B16</f>
        <v>43.120000000000005</v>
      </c>
      <c r="G16" s="37">
        <f>C16</f>
        <v>16.169999999999998</v>
      </c>
    </row>
    <row r="17" spans="1:7" x14ac:dyDescent="0.3">
      <c r="A17" s="32" t="s">
        <v>120</v>
      </c>
      <c r="B17" s="34">
        <f>(B11*B5+B4)*G4</f>
        <v>12.585000000000001</v>
      </c>
      <c r="C17" s="38">
        <f>J5</f>
        <v>7.3412499999999996</v>
      </c>
      <c r="D17" s="32"/>
      <c r="E17" s="35" t="s">
        <v>120</v>
      </c>
      <c r="F17" s="36">
        <f>B17</f>
        <v>12.585000000000001</v>
      </c>
      <c r="G17" s="38">
        <f>C17</f>
        <v>7.3412499999999996</v>
      </c>
    </row>
    <row r="18" spans="1:7" x14ac:dyDescent="0.3">
      <c r="A18" s="32" t="s">
        <v>101</v>
      </c>
      <c r="B18" s="34">
        <v>0</v>
      </c>
      <c r="C18" s="34"/>
      <c r="D18" s="34"/>
      <c r="E18" s="35" t="s">
        <v>101</v>
      </c>
      <c r="F18" s="36">
        <f>B18</f>
        <v>0</v>
      </c>
      <c r="G18" s="37">
        <f>L5-I5</f>
        <v>13.26</v>
      </c>
    </row>
    <row r="19" spans="1:7" x14ac:dyDescent="0.3">
      <c r="A19" s="32" t="s">
        <v>129</v>
      </c>
      <c r="B19" s="32">
        <v>0</v>
      </c>
      <c r="C19" s="34" t="s">
        <v>137</v>
      </c>
      <c r="D19" s="34"/>
      <c r="E19" s="32" t="s">
        <v>96</v>
      </c>
      <c r="F19" s="32">
        <v>0</v>
      </c>
      <c r="G19" s="32">
        <f>K5</f>
        <v>26.95</v>
      </c>
    </row>
    <row r="20" spans="1:7" x14ac:dyDescent="0.3">
      <c r="A20" s="32" t="s">
        <v>100</v>
      </c>
      <c r="B20" s="32">
        <v>0</v>
      </c>
      <c r="C20" s="34" t="s">
        <v>136</v>
      </c>
      <c r="D20" s="34"/>
      <c r="E20" s="32" t="s">
        <v>100</v>
      </c>
      <c r="F20" s="32">
        <v>0</v>
      </c>
      <c r="G20" s="32">
        <f>L5</f>
        <v>16.25</v>
      </c>
    </row>
    <row r="21" spans="1:7" x14ac:dyDescent="0.3">
      <c r="A21" s="32" t="s">
        <v>103</v>
      </c>
      <c r="B21" s="37">
        <f>B17</f>
        <v>12.585000000000001</v>
      </c>
      <c r="C21" s="34" t="s">
        <v>136</v>
      </c>
      <c r="D21" s="34"/>
      <c r="E21" s="32" t="s">
        <v>121</v>
      </c>
      <c r="F21" s="37">
        <f>B17</f>
        <v>12.585000000000001</v>
      </c>
      <c r="G21" s="38">
        <f>J5</f>
        <v>7.3412499999999996</v>
      </c>
    </row>
    <row r="22" spans="1:7" x14ac:dyDescent="0.3">
      <c r="A22" s="39" t="s">
        <v>128</v>
      </c>
      <c r="B22" s="32"/>
      <c r="C22" s="34" t="s">
        <v>136</v>
      </c>
      <c r="D22" s="32"/>
      <c r="E22" s="39" t="s">
        <v>117</v>
      </c>
      <c r="F22" s="37">
        <f>F19-F20-F21</f>
        <v>-12.585000000000001</v>
      </c>
      <c r="G22" s="38">
        <f>G19-G20-G21</f>
        <v>3.3587499999999997</v>
      </c>
    </row>
    <row r="23" spans="1:7" x14ac:dyDescent="0.3">
      <c r="A23" s="32" t="s">
        <v>99</v>
      </c>
      <c r="B23" s="34">
        <f>B11-B19</f>
        <v>107.8</v>
      </c>
      <c r="C23" s="37">
        <f>$B$11</f>
        <v>107.8</v>
      </c>
      <c r="D23" s="34"/>
      <c r="E23" s="32" t="s">
        <v>99</v>
      </c>
      <c r="F23" s="37">
        <f>B23</f>
        <v>107.8</v>
      </c>
      <c r="G23" s="32">
        <f>$B$11-G19</f>
        <v>80.849999999999994</v>
      </c>
    </row>
    <row r="24" spans="1:7" x14ac:dyDescent="0.3">
      <c r="A24" s="32"/>
      <c r="B24" s="32"/>
      <c r="C24" s="32"/>
      <c r="D24" s="32"/>
      <c r="E24" s="32"/>
      <c r="F24" s="37"/>
      <c r="G24" s="32"/>
    </row>
    <row r="25" spans="1:7" x14ac:dyDescent="0.3">
      <c r="A25" s="32"/>
      <c r="B25" s="32"/>
      <c r="C25" s="32"/>
      <c r="D25" s="32"/>
      <c r="E25" s="32" t="s">
        <v>122</v>
      </c>
      <c r="F25" s="37">
        <f>B11-F16</f>
        <v>64.679999999999993</v>
      </c>
      <c r="G25" s="40">
        <f>F25-G19</f>
        <v>37.72999999999999</v>
      </c>
    </row>
    <row r="26" spans="1:7" x14ac:dyDescent="0.3">
      <c r="A26" s="32"/>
      <c r="B26" s="32"/>
      <c r="C26" s="32"/>
      <c r="D26" s="32"/>
      <c r="E26" s="32" t="s">
        <v>118</v>
      </c>
      <c r="F26" s="37">
        <f>B31</f>
        <v>35.93333333333333</v>
      </c>
      <c r="G26" s="40">
        <f>C31</f>
        <v>35.93333333333333</v>
      </c>
    </row>
    <row r="27" spans="1:7" x14ac:dyDescent="0.3">
      <c r="A27" s="32" t="s">
        <v>123</v>
      </c>
      <c r="B27" s="32"/>
      <c r="C27" s="37">
        <f>B33</f>
        <v>143.73333333333332</v>
      </c>
      <c r="D27" s="37"/>
      <c r="E27" s="32" t="s">
        <v>123</v>
      </c>
      <c r="F27" s="37">
        <f>F23+F18-F25+F26</f>
        <v>79.053333333333342</v>
      </c>
      <c r="G27" s="40">
        <f>G23+G18-G25+G26</f>
        <v>92.313333333333333</v>
      </c>
    </row>
    <row r="28" spans="1:7" x14ac:dyDescent="0.3">
      <c r="A28" s="39" t="s">
        <v>116</v>
      </c>
      <c r="B28" s="32">
        <v>0</v>
      </c>
      <c r="C28" s="32"/>
      <c r="D28" s="32"/>
      <c r="E28" s="39" t="s">
        <v>29</v>
      </c>
      <c r="F28" s="32">
        <v>0</v>
      </c>
      <c r="G28" s="40">
        <f>(F27+G27)/2*B7*0.25</f>
        <v>1.7136666666666667</v>
      </c>
    </row>
    <row r="29" spans="1:7" x14ac:dyDescent="0.3">
      <c r="A29" s="32" t="s">
        <v>127</v>
      </c>
      <c r="B29" s="32"/>
      <c r="C29" s="32"/>
      <c r="D29" s="32"/>
      <c r="E29" s="32" t="s">
        <v>71</v>
      </c>
      <c r="F29" s="32">
        <f>(F22+F28)*B9</f>
        <v>-4.278900000000001</v>
      </c>
      <c r="G29" s="41">
        <f>(G22+G28)*$B$9</f>
        <v>1.7246216666666667</v>
      </c>
    </row>
    <row r="30" spans="1:7" x14ac:dyDescent="0.3">
      <c r="A30" s="32"/>
      <c r="B30" s="32"/>
      <c r="C30" s="32"/>
      <c r="D30" s="32"/>
      <c r="E30" s="32" t="s">
        <v>130</v>
      </c>
      <c r="F30" s="37">
        <f>F22+F28-F29</f>
        <v>-8.3061000000000007</v>
      </c>
      <c r="G30" s="37">
        <f>G22+G28-G29</f>
        <v>3.3477949999999996</v>
      </c>
    </row>
    <row r="31" spans="1:7" x14ac:dyDescent="0.3">
      <c r="A31" s="32" t="s">
        <v>118</v>
      </c>
      <c r="B31" s="34">
        <f>B11/B6</f>
        <v>35.93333333333333</v>
      </c>
      <c r="C31" s="34">
        <f>B11/B6</f>
        <v>35.93333333333333</v>
      </c>
      <c r="D31" s="32"/>
      <c r="E31" s="32" t="s">
        <v>140</v>
      </c>
      <c r="F31" s="34">
        <f>B31</f>
        <v>35.93333333333333</v>
      </c>
      <c r="G31" s="32">
        <v>0</v>
      </c>
    </row>
    <row r="32" spans="1:7" x14ac:dyDescent="0.3">
      <c r="A32" s="39" t="s">
        <v>115</v>
      </c>
      <c r="B32" s="34">
        <f>B31+B23-(B16-B17)</f>
        <v>113.19833333333332</v>
      </c>
      <c r="C32" s="32"/>
      <c r="D32" s="32"/>
      <c r="E32" s="39" t="s">
        <v>115</v>
      </c>
      <c r="F32" s="37">
        <f>-(F30-F31)</f>
        <v>44.239433333333331</v>
      </c>
      <c r="G32" s="37">
        <f>-(G30-G31)</f>
        <v>-3.3477949999999996</v>
      </c>
    </row>
    <row r="33" spans="1:7" x14ac:dyDescent="0.3">
      <c r="A33" s="32" t="s">
        <v>124</v>
      </c>
      <c r="B33" s="37">
        <f>B31+B23</f>
        <v>143.73333333333332</v>
      </c>
      <c r="C33" s="32"/>
      <c r="D33" s="32"/>
      <c r="E33" s="32"/>
      <c r="F33" s="32"/>
      <c r="G33" s="32"/>
    </row>
    <row r="34" spans="1:7" x14ac:dyDescent="0.3">
      <c r="A34" s="32" t="s">
        <v>125</v>
      </c>
      <c r="B34" s="32"/>
      <c r="C34" s="32"/>
      <c r="D34" s="32"/>
      <c r="E34" s="32"/>
      <c r="F34" s="32"/>
      <c r="G34" s="32"/>
    </row>
    <row r="35" spans="1:7" x14ac:dyDescent="0.3">
      <c r="A35" s="32" t="s">
        <v>126</v>
      </c>
      <c r="B35" s="37">
        <f>B33-B34</f>
        <v>143.73333333333332</v>
      </c>
      <c r="C35" s="32"/>
      <c r="D35" s="32"/>
      <c r="E35" s="32"/>
      <c r="F35" s="32"/>
      <c r="G35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>
      <selection activeCell="B4" sqref="B4"/>
    </sheetView>
  </sheetViews>
  <sheetFormatPr defaultRowHeight="14.4" x14ac:dyDescent="0.3"/>
  <cols>
    <col min="1" max="1" width="26.5546875" bestFit="1" customWidth="1"/>
    <col min="2" max="2" width="37.77734375" bestFit="1" customWidth="1"/>
    <col min="3" max="3" width="44.6640625" bestFit="1" customWidth="1"/>
    <col min="4" max="4" width="39.21875" bestFit="1" customWidth="1"/>
  </cols>
  <sheetData>
    <row r="2" spans="1:4" x14ac:dyDescent="0.3">
      <c r="C2" t="s">
        <v>21</v>
      </c>
      <c r="D2" t="s">
        <v>60</v>
      </c>
    </row>
    <row r="3" spans="1:4" x14ac:dyDescent="0.3">
      <c r="A3" t="s">
        <v>86</v>
      </c>
      <c r="C3" t="s">
        <v>90</v>
      </c>
      <c r="D3" s="17" t="s">
        <v>87</v>
      </c>
    </row>
    <row r="4" spans="1:4" x14ac:dyDescent="0.3">
      <c r="A4" t="s">
        <v>57</v>
      </c>
      <c r="C4" t="s">
        <v>85</v>
      </c>
      <c r="D4" t="s">
        <v>93</v>
      </c>
    </row>
    <row r="5" spans="1:4" x14ac:dyDescent="0.3">
      <c r="D5" t="s">
        <v>62</v>
      </c>
    </row>
    <row r="6" spans="1:4" x14ac:dyDescent="0.3">
      <c r="A6" t="s">
        <v>58</v>
      </c>
      <c r="B6" t="s">
        <v>147</v>
      </c>
      <c r="C6" t="s">
        <v>59</v>
      </c>
      <c r="D6" t="s">
        <v>61</v>
      </c>
    </row>
    <row r="7" spans="1:4" x14ac:dyDescent="0.3">
      <c r="A7" t="s">
        <v>63</v>
      </c>
      <c r="B7" t="s">
        <v>144</v>
      </c>
      <c r="C7" t="s">
        <v>94</v>
      </c>
      <c r="D7" t="s">
        <v>94</v>
      </c>
    </row>
    <row r="8" spans="1:4" x14ac:dyDescent="0.3">
      <c r="B8" t="s">
        <v>145</v>
      </c>
      <c r="C8" t="s">
        <v>145</v>
      </c>
      <c r="D8" t="s">
        <v>146</v>
      </c>
    </row>
    <row r="9" spans="1:4" x14ac:dyDescent="0.3">
      <c r="B9" t="s">
        <v>143</v>
      </c>
      <c r="C9" t="s">
        <v>142</v>
      </c>
    </row>
    <row r="10" spans="1:4" x14ac:dyDescent="0.3">
      <c r="A10" t="s">
        <v>79</v>
      </c>
      <c r="C10" t="s">
        <v>80</v>
      </c>
      <c r="D10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8"/>
  <sheetViews>
    <sheetView topLeftCell="A13" workbookViewId="0">
      <selection activeCell="F33" sqref="F33"/>
    </sheetView>
  </sheetViews>
  <sheetFormatPr defaultRowHeight="14.4" x14ac:dyDescent="0.3"/>
  <cols>
    <col min="8" max="8" width="8.88671875" customWidth="1"/>
  </cols>
  <sheetData>
    <row r="4" spans="1:6" x14ac:dyDescent="0.3">
      <c r="A4" t="s">
        <v>0</v>
      </c>
    </row>
    <row r="6" spans="1:6" x14ac:dyDescent="0.3">
      <c r="A6" t="s">
        <v>1</v>
      </c>
      <c r="B6" s="1">
        <v>15</v>
      </c>
      <c r="E6" t="s">
        <v>23</v>
      </c>
      <c r="F6">
        <v>107.8</v>
      </c>
    </row>
    <row r="7" spans="1:6" x14ac:dyDescent="0.3">
      <c r="A7" t="s">
        <v>2</v>
      </c>
      <c r="B7" s="2">
        <v>0.25</v>
      </c>
      <c r="E7" t="s">
        <v>24</v>
      </c>
      <c r="F7">
        <v>65</v>
      </c>
    </row>
    <row r="8" spans="1:6" x14ac:dyDescent="0.3">
      <c r="A8" t="s">
        <v>4</v>
      </c>
      <c r="B8">
        <v>3</v>
      </c>
    </row>
    <row r="9" spans="1:6" x14ac:dyDescent="0.3">
      <c r="A9" t="s">
        <v>6</v>
      </c>
      <c r="B9" s="2">
        <v>0.08</v>
      </c>
    </row>
    <row r="10" spans="1:6" x14ac:dyDescent="0.3">
      <c r="A10" t="s">
        <v>7</v>
      </c>
      <c r="B10" s="2">
        <v>0.08</v>
      </c>
    </row>
    <row r="11" spans="1:6" x14ac:dyDescent="0.3">
      <c r="A11" t="s">
        <v>8</v>
      </c>
      <c r="B11" s="2">
        <v>0.34</v>
      </c>
    </row>
    <row r="12" spans="1:6" x14ac:dyDescent="0.3">
      <c r="A12" t="s">
        <v>9</v>
      </c>
      <c r="B12" s="2">
        <v>0.15</v>
      </c>
    </row>
    <row r="15" spans="1:6" x14ac:dyDescent="0.3">
      <c r="A15" t="s">
        <v>12</v>
      </c>
      <c r="B15" t="s">
        <v>10</v>
      </c>
      <c r="C15" t="s">
        <v>11</v>
      </c>
      <c r="D15" t="s">
        <v>13</v>
      </c>
    </row>
    <row r="16" spans="1:6" x14ac:dyDescent="0.3">
      <c r="A16">
        <v>0</v>
      </c>
      <c r="B16" s="4">
        <v>0.4</v>
      </c>
      <c r="C16" s="4">
        <v>0</v>
      </c>
      <c r="D16" s="4">
        <v>0.3</v>
      </c>
    </row>
    <row r="17" spans="1:8" x14ac:dyDescent="0.3">
      <c r="A17">
        <v>1</v>
      </c>
      <c r="B17" s="4">
        <v>0.15</v>
      </c>
      <c r="C17" s="4">
        <v>4.5999999999999999E-2</v>
      </c>
      <c r="D17" s="4">
        <v>0.17499999999999999</v>
      </c>
    </row>
    <row r="18" spans="1:8" x14ac:dyDescent="0.3">
      <c r="A18">
        <v>2</v>
      </c>
      <c r="B18" s="4">
        <v>0.15</v>
      </c>
      <c r="C18" s="4">
        <v>7.6999999999999999E-2</v>
      </c>
      <c r="D18" s="4">
        <v>0.17499999999999999</v>
      </c>
    </row>
    <row r="19" spans="1:8" x14ac:dyDescent="0.3">
      <c r="A19">
        <v>3</v>
      </c>
      <c r="B19" s="4">
        <v>0.15</v>
      </c>
      <c r="C19" s="4">
        <v>0.123</v>
      </c>
      <c r="D19" s="4">
        <v>0.17499999999999999</v>
      </c>
    </row>
    <row r="20" spans="1:8" x14ac:dyDescent="0.3">
      <c r="A20">
        <v>4</v>
      </c>
      <c r="B20" s="4">
        <v>0.15</v>
      </c>
      <c r="C20" s="4">
        <v>0.13800000000000001</v>
      </c>
      <c r="D20" s="4">
        <v>0.17499999999999999</v>
      </c>
    </row>
    <row r="21" spans="1:8" x14ac:dyDescent="0.3">
      <c r="A21">
        <v>5</v>
      </c>
      <c r="B21" s="4">
        <v>0</v>
      </c>
      <c r="C21" s="4">
        <v>0.16900000000000001</v>
      </c>
      <c r="D21" s="4">
        <v>0</v>
      </c>
    </row>
    <row r="22" spans="1:8" x14ac:dyDescent="0.3">
      <c r="A22">
        <v>6</v>
      </c>
      <c r="B22" s="4">
        <v>0</v>
      </c>
      <c r="C22" s="4">
        <v>0.154</v>
      </c>
      <c r="D22" s="4">
        <v>0</v>
      </c>
    </row>
    <row r="23" spans="1:8" x14ac:dyDescent="0.3">
      <c r="A23">
        <v>7</v>
      </c>
      <c r="B23" s="4">
        <v>0</v>
      </c>
      <c r="C23" s="4">
        <v>0.154</v>
      </c>
      <c r="D23" s="4">
        <v>0</v>
      </c>
    </row>
    <row r="24" spans="1:8" x14ac:dyDescent="0.3">
      <c r="A24">
        <v>8</v>
      </c>
      <c r="B24" s="4">
        <v>0</v>
      </c>
      <c r="C24" s="4">
        <v>0.13800000000000001</v>
      </c>
      <c r="D24" s="4">
        <v>0</v>
      </c>
    </row>
    <row r="28" spans="1:8" x14ac:dyDescent="0.3">
      <c r="A28" t="s">
        <v>89</v>
      </c>
    </row>
    <row r="29" spans="1:8" x14ac:dyDescent="0.3">
      <c r="A29" t="s">
        <v>104</v>
      </c>
    </row>
    <row r="30" spans="1:8" x14ac:dyDescent="0.3">
      <c r="B30" t="s">
        <v>105</v>
      </c>
      <c r="H30" t="s">
        <v>107</v>
      </c>
    </row>
    <row r="31" spans="1:8" x14ac:dyDescent="0.3">
      <c r="B31" t="s">
        <v>106</v>
      </c>
      <c r="H31" t="s">
        <v>108</v>
      </c>
    </row>
    <row r="32" spans="1:8" x14ac:dyDescent="0.3">
      <c r="B32" t="s">
        <v>111</v>
      </c>
      <c r="H32" t="s">
        <v>109</v>
      </c>
    </row>
    <row r="33" spans="1:8" x14ac:dyDescent="0.3">
      <c r="B33" t="s">
        <v>112</v>
      </c>
      <c r="H33" t="s">
        <v>110</v>
      </c>
    </row>
    <row r="37" spans="1:8" x14ac:dyDescent="0.3">
      <c r="A37" t="s">
        <v>114</v>
      </c>
      <c r="B37" t="s">
        <v>23</v>
      </c>
      <c r="C37">
        <v>107.8</v>
      </c>
    </row>
    <row r="38" spans="1:8" x14ac:dyDescent="0.3">
      <c r="B38" t="s">
        <v>24</v>
      </c>
      <c r="C3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5.PVCF</vt:lpstr>
      <vt:lpstr>6.RiskAdjReturn</vt:lpstr>
      <vt:lpstr>RobinIRR_Feldblum</vt:lpstr>
      <vt:lpstr>Sheet4</vt:lpstr>
      <vt:lpstr>7. IRREquityFlow_</vt:lpstr>
    </vt:vector>
  </TitlesOfParts>
  <Company>BTS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Lingxiao</dc:creator>
  <cp:lastModifiedBy>Li, Lingxiao</cp:lastModifiedBy>
  <dcterms:created xsi:type="dcterms:W3CDTF">2016-04-15T20:15:20Z</dcterms:created>
  <dcterms:modified xsi:type="dcterms:W3CDTF">2016-05-09T18:09:39Z</dcterms:modified>
</cp:coreProperties>
</file>